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YPI\Desktop\패널\1KCYPS2018 데이터, 코드북 작업\제2차조사\2019년 제2차조사 데이터\코드북 작업\"/>
    </mc:Choice>
  </mc:AlternateContent>
  <bookViews>
    <workbookView xWindow="0" yWindow="465" windowWidth="19200" windowHeight="21135" tabRatio="719"/>
  </bookViews>
  <sheets>
    <sheet name="GUIDE" sheetId="25" r:id="rId1"/>
    <sheet name="LAYOUT_e4" sheetId="21" r:id="rId2"/>
    <sheet name="LAYOUT_m1" sheetId="20" r:id="rId3"/>
    <sheet name="LAYOUT_p" sheetId="23" r:id="rId4"/>
    <sheet name="CB_e4" sheetId="6" r:id="rId5"/>
    <sheet name="CB_m1" sheetId="1" r:id="rId6"/>
    <sheet name="CB_p" sheetId="5" r:id="rId7"/>
    <sheet name="QN18_e4" sheetId="11" r:id="rId8"/>
    <sheet name="QN18_m1" sheetId="12" r:id="rId9"/>
    <sheet name="QN18_p" sheetId="13" r:id="rId10"/>
    <sheet name="QN19_e4" sheetId="31" r:id="rId11"/>
    <sheet name="QN19_m1" sheetId="27" r:id="rId12"/>
    <sheet name="QN19_p" sheetId="30" r:id="rId13"/>
  </sheets>
  <definedNames>
    <definedName name="code보PARENT">CB_p!$E$8</definedName>
    <definedName name="code보PBRP1">CB_p!$E$491</definedName>
    <definedName name="code보PBRP2">CB_p!$E$493</definedName>
    <definedName name="code보PBRP3">CB_p!$E$510</definedName>
    <definedName name="code보PBRTA1">CB_p!$E$32</definedName>
    <definedName name="code보PBRTB1">CB_p!$E$33</definedName>
    <definedName name="code보PEDU1A00">CB_p!$E$75</definedName>
    <definedName name="code보PEDU1B01">CB_p!$E$77</definedName>
    <definedName name="code보PEDU1B02">CB_p!$E$85</definedName>
    <definedName name="code보PEDU1B02_T">CB_p!$E$93</definedName>
    <definedName name="code보PEDU1B03">CB_p!$E$95</definedName>
    <definedName name="code보PEDU1B04">CB_p!$E$103</definedName>
    <definedName name="code보PEDU1B04_T">CB_p!$E$111</definedName>
    <definedName name="code보PEDU1C00">CB_p!$E$94</definedName>
    <definedName name="code보PFAM1A00">CB_p!$E$68</definedName>
    <definedName name="code보PFAM1A00_T">CB_p!$E$74</definedName>
    <definedName name="code보PFAM2A01">CB_p!$E$112</definedName>
    <definedName name="code보PFAM2A01_T">CB_p!$E$119</definedName>
    <definedName name="code보PFAM2A02">CB_p!$E$120</definedName>
    <definedName name="code보PFAM2A02_T">CB_p!$E$127</definedName>
    <definedName name="code보PFAM2A03">CB_p!$E$128</definedName>
    <definedName name="code보PFAM2A03_T">CB_p!$E$135</definedName>
    <definedName name="code보PFAM2A04">CB_p!$E$136</definedName>
    <definedName name="code보PFAM2A04_T">CB_p!$E$143</definedName>
    <definedName name="code보PFAM3A00">CB_p!$E$170</definedName>
    <definedName name="code보PFAM3B00">CB_p!$E$176</definedName>
    <definedName name="code보PFAM3C00">CB_p!$E$182</definedName>
    <definedName name="code보PFAM3D00">CB_p!$E$188</definedName>
    <definedName name="code보PFAM4A01">CB_p!$E$146</definedName>
    <definedName name="code보PFAM4A02">CB_p!$E$147</definedName>
    <definedName name="code보PFAM4A03">CB_p!$E$148</definedName>
    <definedName name="code보PFAM4A04">CB_p!$E$149</definedName>
    <definedName name="code보PFAM5A01">CB_p!$E$150</definedName>
    <definedName name="code보PFAM5A02">CB_p!$E$151</definedName>
    <definedName name="code보PFAM5A03">CB_p!$E$152</definedName>
    <definedName name="code보PFAM5A04">CB_p!$E$153</definedName>
    <definedName name="code보PFAM5B01">CB_p!$E$154</definedName>
    <definedName name="code보PFAM5B02">CB_p!$E$155</definedName>
    <definedName name="code보PFAM5B03">CB_p!$E$156</definedName>
    <definedName name="code보PFAM5B04">CB_p!$E$157</definedName>
    <definedName name="code보PFAM5C01">CB_p!$E$158</definedName>
    <definedName name="code보PFAM5C02">CB_p!$E$159</definedName>
    <definedName name="code보PFAM5C03">CB_p!$E$160</definedName>
    <definedName name="code보PFAM5C04">CB_p!$E$161</definedName>
    <definedName name="code보PFAM5D01">CB_p!$E$162</definedName>
    <definedName name="code보PFAM5D02">CB_p!$E$163</definedName>
    <definedName name="code보PFAM5D03">CB_p!$E$164</definedName>
    <definedName name="code보PFAM5D04">CB_p!$E$165</definedName>
    <definedName name="code보PFAM5E01">CB_p!$E$166</definedName>
    <definedName name="code보PFAM5E02">CB_p!$E$167</definedName>
    <definedName name="code보PFAM5E03">CB_p!$E$168</definedName>
    <definedName name="code보PFAM5E04">CB_p!$E$169</definedName>
    <definedName name="code보PFAM6A00">CB_p!$E$144</definedName>
    <definedName name="code보PFAM6B00">CB_p!$E$145</definedName>
    <definedName name="code보PFBRTA1">CB_p!$E$46</definedName>
    <definedName name="code보PFBRTB1">CB_p!$E$47</definedName>
    <definedName name="code보PFGENDER1">CB_p!$E$44</definedName>
    <definedName name="code보PFRELATION1">CB_p!$E$34</definedName>
    <definedName name="code보PGENDER1">CB_p!$E$30</definedName>
    <definedName name="code보PHOMPOP">CB_p!$E$19</definedName>
    <definedName name="code보PINCOME">CB_p!$E$583</definedName>
    <definedName name="code보PINCOME1">CB_p!$E$596</definedName>
    <definedName name="code보PJOB1">CB_p!$E$547</definedName>
    <definedName name="code보PJOB1_T">CB_p!$E$558</definedName>
    <definedName name="code보PJOB2">CB_p!$E$559</definedName>
    <definedName name="code보PJOB2_T">CB_p!$E$570</definedName>
    <definedName name="code보PJOB3">CB_p!$E$571</definedName>
    <definedName name="code보PJOB3_T">CB_p!$E$582</definedName>
    <definedName name="code보PMDA1A00">CB_p!$E$193</definedName>
    <definedName name="code보PMDA1B01">CB_p!$E$196</definedName>
    <definedName name="code보PMDA1B02">CB_p!$E$200</definedName>
    <definedName name="code보PMDA1B03">CB_p!$E$204</definedName>
    <definedName name="code보PMDA1B04">CB_p!$E$208</definedName>
    <definedName name="code보PMDA1B05">CB_p!$E$212</definedName>
    <definedName name="code보PMDA1B06">CB_p!$E$216</definedName>
    <definedName name="code보PMDA1B07">CB_p!$E$220</definedName>
    <definedName name="code보PMDA1B08">CB_p!$E$224</definedName>
    <definedName name="code보PMDA1B09">CB_p!$E$228</definedName>
    <definedName name="code보PMDA1B10">CB_p!$E$232</definedName>
    <definedName name="code보PMDA1B11">CB_p!$E$236</definedName>
    <definedName name="code보PMDA1B12">CB_p!$E$240</definedName>
    <definedName name="code보PMDA1B13">CB_p!$E$244</definedName>
    <definedName name="code보PMDA1B13_T">CB_p!$E$249</definedName>
    <definedName name="code보PMDA1C01">CB_p!$E$250</definedName>
    <definedName name="code보PMDA1C02">CB_p!$E$254</definedName>
    <definedName name="code보PMDA1C03">CB_p!$E$258</definedName>
    <definedName name="code보PMDA1C04">CB_p!$E$262</definedName>
    <definedName name="code보PMDA1C05">CB_p!$E$266</definedName>
    <definedName name="code보PMDA1C06">CB_p!$E$270</definedName>
    <definedName name="code보PMDA1C07">CB_p!$E$274</definedName>
    <definedName name="code보PMDA1C08">CB_p!$E$278</definedName>
    <definedName name="code보PMDA1C09">CB_p!$E$282</definedName>
    <definedName name="code보PMDA1C10">CB_p!$E$286</definedName>
    <definedName name="code보PMDA1C11">CB_p!$E$290</definedName>
    <definedName name="code보PMDA1C12">CB_p!$E$294</definedName>
    <definedName name="code보PMDA1C13">CB_p!$E$298</definedName>
    <definedName name="code보PMDA1C14">CB_p!$E$302</definedName>
    <definedName name="code보PMDA1C15">CB_p!$E$306</definedName>
    <definedName name="code보PPHY1A00">CB_p!$E$479</definedName>
    <definedName name="code보PPHY1B00">CB_p!$E$483</definedName>
    <definedName name="code보PPHY1C00">CB_p!$E$488</definedName>
    <definedName name="code보PPHY2A00">CB_p!$E$489</definedName>
    <definedName name="code보PPHY2B00">CB_p!$E$490</definedName>
    <definedName name="code보PPSY1A01">CB_p!$E$310</definedName>
    <definedName name="code보PPSY1A02">CB_p!$E$314</definedName>
    <definedName name="code보PPSY1A03">CB_p!$E$318</definedName>
    <definedName name="code보PPSY1A04">CB_p!$E$322</definedName>
    <definedName name="code보PPSY1A05">CB_p!$E$326</definedName>
    <definedName name="code보PPSY2A01">CB_p!$E$330</definedName>
    <definedName name="code보PPSY2A02">CB_p!$E$334</definedName>
    <definedName name="code보PPSY2A03">CB_p!$E$338</definedName>
    <definedName name="code보PPSY2A04">CB_p!$E$342</definedName>
    <definedName name="code보PPSY3A01">CB_p!$E$346</definedName>
    <definedName name="code보PPSY3A02">CB_p!$E$350</definedName>
    <definedName name="code보PPSY3A03">CB_p!$E$354</definedName>
    <definedName name="code보PPSY3A04">CB_p!$E$358</definedName>
    <definedName name="code보PPSY3A05">CB_p!$E$362</definedName>
    <definedName name="code보PPSY3A06">CB_p!$E$366</definedName>
    <definedName name="code보PPSY3A07">CB_p!$E$370</definedName>
    <definedName name="code보PPSY3A08">CB_p!$E$374</definedName>
    <definedName name="code보PPSY3A09">CB_p!$E$378</definedName>
    <definedName name="code보PPSY3A10">CB_p!$E$382</definedName>
    <definedName name="code보PPSY4A01">CB_p!$E$386</definedName>
    <definedName name="code보PPSY4A02">CB_p!$E$388</definedName>
    <definedName name="code보PPSY4A03">CB_p!$E$390</definedName>
    <definedName name="code보PPSY4A04">CB_p!$E$392</definedName>
    <definedName name="code보PPSY4A05">CB_p!$E$394</definedName>
    <definedName name="code보PPSY4A06">CB_p!$E$396</definedName>
    <definedName name="code보PPSY4A07">CB_p!$E$398</definedName>
    <definedName name="code보PPSY4A08">CB_p!$E$400</definedName>
    <definedName name="code보PPSY4A09">CB_p!$E$402</definedName>
    <definedName name="code보PPSY4A10">CB_p!$E$404</definedName>
    <definedName name="code보PPSY4A11">CB_p!$E$406</definedName>
    <definedName name="code보PPSY4A12">CB_p!$E$408</definedName>
    <definedName name="code보PPSY4A13">CB_p!$E$410</definedName>
    <definedName name="code보PPSY4A14">CB_p!$E$412</definedName>
    <definedName name="code보PPSY4A15">CB_p!$E$414</definedName>
    <definedName name="code보PPSY4A16">CB_p!$E$416</definedName>
    <definedName name="code보PPSY4A17">CB_p!$E$418</definedName>
    <definedName name="code보PPSY4A18">CB_p!$E$420</definedName>
    <definedName name="code보PPSY4A19">CB_p!$E$422</definedName>
    <definedName name="code보PPSY4A20">CB_p!$E$424</definedName>
    <definedName name="code보PPSY4A21">CB_p!$E$426</definedName>
    <definedName name="code보PPSY4A22">CB_p!$E$428</definedName>
    <definedName name="code보PPSY4A23">CB_p!$E$430</definedName>
    <definedName name="code보PPSY4A24">CB_p!$E$432</definedName>
    <definedName name="code보PPSY4A25">CB_p!$E$434</definedName>
    <definedName name="code보PPSY4A26">CB_p!$E$436</definedName>
    <definedName name="code보PPSY4A27">CB_p!$E$438</definedName>
    <definedName name="code보PPSY4A28">CB_p!$E$440</definedName>
    <definedName name="code보PPSY4A29">CB_p!$E$442</definedName>
    <definedName name="code보PPSY4A30">CB_p!$E$444</definedName>
    <definedName name="code보PPSY4Asc">CB_p!$E$446</definedName>
    <definedName name="code보PPSY5A01">CB_p!$E$447</definedName>
    <definedName name="code보PPSY5A02">CB_p!$E$451</definedName>
    <definedName name="code보PPSY5A03">CB_p!$E$455</definedName>
    <definedName name="code보PPSY5A04">CB_p!$E$459</definedName>
    <definedName name="code보PPSY5A05">CB_p!$E$463</definedName>
    <definedName name="code보PPSY5A06">CB_p!$E$467</definedName>
    <definedName name="code보PPSY5A07">CB_p!$E$471</definedName>
    <definedName name="code보PPSY5A08">CB_p!$E$475</definedName>
    <definedName name="code보PRELATE1">CB_p!$E$20</definedName>
    <definedName name="code보PSCHOOL1">CB_p!$E$511</definedName>
    <definedName name="code보PSCHOOL2">CB_p!$E$520</definedName>
    <definedName name="code보PSCHOOL3">CB_p!$E$529</definedName>
    <definedName name="code보PWORKW1">CB_p!$E$538</definedName>
    <definedName name="code보PWORKW2">CB_p!$E$541</definedName>
    <definedName name="code보PWORKW3">CB_p!$E$544</definedName>
    <definedName name="code보PYBRP1">CB_p!$E$48</definedName>
    <definedName name="code보PYBRP2">CB_p!$E$50</definedName>
    <definedName name="code보PYBRP3">CB_p!$E$67</definedName>
    <definedName name="code보PYBRT1A">CB_p!$E$15</definedName>
    <definedName name="code보PYBRT1B">CB_p!$E$16</definedName>
    <definedName name="code보PYGENDER">CB_p!$E$17</definedName>
    <definedName name="code중ARA1A">CB_m1!$E$39</definedName>
    <definedName name="code중ARA1B">CB_m1!$E$59</definedName>
    <definedName name="code중ARA2A">CB_m1!$E$56</definedName>
    <definedName name="code중COHORT">CB_m1!$E$35</definedName>
    <definedName name="code중SGRADE">CB_m1!$E$19</definedName>
    <definedName name="code중SIBLING">CB_m1!$E$13</definedName>
    <definedName name="code중SIBLING_T">CB_m1!$E$18</definedName>
    <definedName name="code중SURVEY1">CB_m1!$E$31</definedName>
    <definedName name="code중SURVEY2">CB_m1!$E$33</definedName>
    <definedName name="code중YACT1A01">CB_m1!$E$371</definedName>
    <definedName name="code중YACT1A02">CB_m1!$E$375</definedName>
    <definedName name="code중YACT1A03">CB_m1!$E$379</definedName>
    <definedName name="code중YACT1A04">CB_m1!$E$383</definedName>
    <definedName name="code중YACT1A05">CB_m1!$E$387</definedName>
    <definedName name="code중YACT1A06">CB_m1!$E$391</definedName>
    <definedName name="code중YACT1A07">CB_m1!$E$395</definedName>
    <definedName name="code중YACT1A08">CB_m1!$E$399</definedName>
    <definedName name="code중YACT1A09">CB_m1!$E$403</definedName>
    <definedName name="code중YACT1B01">CB_m1!$E$407</definedName>
    <definedName name="code중YACT1B02">CB_m1!$E$411</definedName>
    <definedName name="code중YACT1B03">CB_m1!$E$415</definedName>
    <definedName name="code중YACT1B04">CB_m1!$E$419</definedName>
    <definedName name="code중YACT1B05">CB_m1!$E$423</definedName>
    <definedName name="code중YACT1B06">CB_m1!$E$427</definedName>
    <definedName name="code중YACT1B07">CB_m1!$E$431</definedName>
    <definedName name="code중YACT1B08">CB_m1!$E$435</definedName>
    <definedName name="code중YACT1B09">CB_m1!$E$439</definedName>
    <definedName name="code중YACT2A01">CB_m1!$E$443</definedName>
    <definedName name="code중YACT2A02">CB_m1!$E$447</definedName>
    <definedName name="code중YACT2B01">CB_m1!$E$451</definedName>
    <definedName name="code중YACT2B02">CB_m1!$E$455</definedName>
    <definedName name="code중YACT3A00">CB_m1!$E$459</definedName>
    <definedName name="code중YACT3B01">CB_m1!$E$461</definedName>
    <definedName name="code중YACT3B02">CB_m1!$E$467</definedName>
    <definedName name="code중YACT3B03">CB_m1!$E$473</definedName>
    <definedName name="code중YACT3B04">CB_m1!$E$479</definedName>
    <definedName name="code중YACT3B05">CB_m1!$E$485</definedName>
    <definedName name="code중YACT3B06">CB_m1!$E$491</definedName>
    <definedName name="code중YACT3B07">CB_m1!$E$497</definedName>
    <definedName name="code중YACT3B08">CB_m1!$E$503</definedName>
    <definedName name="code중YACT3B09">CB_m1!$E$509</definedName>
    <definedName name="code중YBRT1A">CB_m1!$E$80</definedName>
    <definedName name="code중YBRT1B">CB_m1!$E$81</definedName>
    <definedName name="code중YDLQ1A01">CB_m1!$E$1309</definedName>
    <definedName name="code중YDLQ1A02">CB_m1!$E$1315</definedName>
    <definedName name="code중YDLQ1A03">CB_m1!$E$1321</definedName>
    <definedName name="code중YDLQ1A04">CB_m1!$E$1327</definedName>
    <definedName name="code중YDLQ1A05">CB_m1!$E$1333</definedName>
    <definedName name="code중YDLQ1A06">CB_m1!$E$1339</definedName>
    <definedName name="code중YDLQ1A07">CB_m1!$E$1345</definedName>
    <definedName name="code중YDLQ1A08">CB_m1!$E$1351</definedName>
    <definedName name="code중YDLQ1A09">CB_m1!$E$1357</definedName>
    <definedName name="code중YDLQ1A10">CB_m1!$E$1363</definedName>
    <definedName name="code중YDLQ1A11">CB_m1!$E$1369</definedName>
    <definedName name="code중YDLQ1A12">CB_m1!$E$1375</definedName>
    <definedName name="code중YDLQ1A13">CB_m1!$E$1381</definedName>
    <definedName name="code중YDLQ1A14">CB_m1!$E$1387</definedName>
    <definedName name="code중YDLQ1A15">CB_m1!$E$1393</definedName>
    <definedName name="code중YDLQ2A01">CB_m1!$E$1399</definedName>
    <definedName name="code중YDLQ2A02">CB_m1!$E$1405</definedName>
    <definedName name="code중YDLQ2A03">CB_m1!$E$1411</definedName>
    <definedName name="code중YDLQ2A04">CB_m1!$E$1417</definedName>
    <definedName name="code중YDLQ2A05">CB_m1!$E$1423</definedName>
    <definedName name="code중YDLQ2A06">CB_m1!$E$1429</definedName>
    <definedName name="code중YDLQ2A07">CB_m1!$E$1435</definedName>
    <definedName name="code중YDLQ2A08">CB_m1!$E$1441</definedName>
    <definedName name="code중YDLQ2A09">CB_m1!$E$1447</definedName>
    <definedName name="code중YDLQ2A10">CB_m1!$E$1453</definedName>
    <definedName name="code중YDLQ2A11">CB_m1!$E$1459</definedName>
    <definedName name="code중YDLQ2A12">CB_m1!$E$1465</definedName>
    <definedName name="code중YDLQ2A13">CB_m1!$E$1471</definedName>
    <definedName name="code중YDLQ2A14">CB_m1!$E$1477</definedName>
    <definedName name="code중YDLQ2A15">CB_m1!$E$1483</definedName>
    <definedName name="code중YEDU1A00">CB_m1!$E$527</definedName>
    <definedName name="code중YEDU2A01">CB_m1!$E$1201</definedName>
    <definedName name="code중YEDU2A02">CB_m1!$E$1205</definedName>
    <definedName name="code중YEDU2A03">CB_m1!$E$1209</definedName>
    <definedName name="code중YEDU2A04">CB_m1!$E$1213</definedName>
    <definedName name="code중YEDU2A05">CB_m1!$E$1217</definedName>
    <definedName name="code중YEDU2A06">CB_m1!$E$1221</definedName>
    <definedName name="code중YEDU2A07">CB_m1!$E$1225</definedName>
    <definedName name="code중YEDU2A08">CB_m1!$E$1229</definedName>
    <definedName name="code중YEDU2A09">CB_m1!$E$1233</definedName>
    <definedName name="code중YEDU2A10">CB_m1!$E$1237</definedName>
    <definedName name="code중YEDU2A11">CB_m1!$E$1241</definedName>
    <definedName name="code중YEDU2A12">CB_m1!$E$1245</definedName>
    <definedName name="code중YEDU2A13">CB_m1!$E$1249</definedName>
    <definedName name="code중YEDU3A01">CB_m1!$E$1253</definedName>
    <definedName name="code중YEDU3A02">CB_m1!$E$1257</definedName>
    <definedName name="code중YEDU3A03">CB_m1!$E$1261</definedName>
    <definedName name="code중YEDU3A04">CB_m1!$E$1265</definedName>
    <definedName name="code중YEDU3A05">CB_m1!$E$1269</definedName>
    <definedName name="code중YEDU3A06">CB_m1!$E$1273</definedName>
    <definedName name="code중YEDU3A07">CB_m1!$E$1277</definedName>
    <definedName name="code중YEDU3A08">CB_m1!$E$1281</definedName>
    <definedName name="code중YEDU3A09">CB_m1!$E$1285</definedName>
    <definedName name="code중YEDU3A10">CB_m1!$E$1289</definedName>
    <definedName name="code중YEDU3A11">CB_m1!$E$1293</definedName>
    <definedName name="code중YEDU3A12">CB_m1!$E$1297</definedName>
    <definedName name="code중YEDU3A13">CB_m1!$E$1301</definedName>
    <definedName name="code중YEDU3A14">CB_m1!$E$1305</definedName>
    <definedName name="code중YFAM1A01">CB_m1!$E$1079</definedName>
    <definedName name="code중YFAM1A02">CB_m1!$E$1080</definedName>
    <definedName name="code중YFAM1A03">CB_m1!$E$1081</definedName>
    <definedName name="code중YFAM1A04">CB_m1!$E$1082</definedName>
    <definedName name="code중YFAM1B01">CB_m1!$E$1085</definedName>
    <definedName name="code중YFAM1B02">CB_m1!$E$1086</definedName>
    <definedName name="code중YFAM1B03">CB_m1!$E$1087</definedName>
    <definedName name="code중YFAM1B04">CB_m1!$E$1088</definedName>
    <definedName name="code중YFAM1C01">CB_m1!$E$1089</definedName>
    <definedName name="code중YFAM1C02">CB_m1!$E$1090</definedName>
    <definedName name="code중YFAM1C03">CB_m1!$E$1091</definedName>
    <definedName name="code중YFAM1C04">CB_m1!$E$1092</definedName>
    <definedName name="code중YFAM1D01">CB_m1!$E$1093</definedName>
    <definedName name="code중YFAM1D02">CB_m1!$E$1094</definedName>
    <definedName name="code중YFAM1D03">CB_m1!$E$1095</definedName>
    <definedName name="code중YFAM1D04">CB_m1!$E$1096</definedName>
    <definedName name="code중YFAM1E01">CB_m1!$E$1097</definedName>
    <definedName name="code중YFAM1E02">CB_m1!$E$1098</definedName>
    <definedName name="code중YFAM1E03">CB_m1!$E$1099</definedName>
    <definedName name="code중YFAM1E04">CB_m1!$E$1100</definedName>
    <definedName name="code중YFAM1F01">CB_m1!$E$1101</definedName>
    <definedName name="code중YFAM1F02">CB_m1!$E$1102</definedName>
    <definedName name="code중YFAM1F03">CB_m1!$E$1103</definedName>
    <definedName name="code중YFAM1F04">CB_m1!$E$1104</definedName>
    <definedName name="code중YFAM2A01">CB_m1!$E$1105</definedName>
    <definedName name="code중YFAM2A02">CB_m1!$E$1109</definedName>
    <definedName name="code중YFAM2A03">CB_m1!$E$1113</definedName>
    <definedName name="code중YFAM2A04">CB_m1!$E$1117</definedName>
    <definedName name="code중YFAM2B01">CB_m1!$E$1121</definedName>
    <definedName name="code중YFAM2B02">CB_m1!$E$1125</definedName>
    <definedName name="code중YFAM2B03">CB_m1!$E$1129</definedName>
    <definedName name="code중YFAM2B04">CB_m1!$E$1133</definedName>
    <definedName name="code중YFAM2C01">CB_m1!$E$1137</definedName>
    <definedName name="code중YFAM2C02">CB_m1!$E$1141</definedName>
    <definedName name="code중YFAM2C03">CB_m1!$E$1145</definedName>
    <definedName name="code중YFAM2C04">CB_m1!$E$1149</definedName>
    <definedName name="code중YFAM2D01">CB_m1!$E$1153</definedName>
    <definedName name="code중YFAM2D02">CB_m1!$E$1157</definedName>
    <definedName name="code중YFAM2D03">CB_m1!$E$1161</definedName>
    <definedName name="code중YFAM2D04">CB_m1!$E$1165</definedName>
    <definedName name="code중YFAM2E01">CB_m1!$E$1169</definedName>
    <definedName name="code중YFAM2E02">CB_m1!$E$1173</definedName>
    <definedName name="code중YFAM2E03">CB_m1!$E$1177</definedName>
    <definedName name="code중YFAM2E04">CB_m1!$E$1181</definedName>
    <definedName name="code중YFAM2F01">CB_m1!$E$1185</definedName>
    <definedName name="code중YFAM2F02">CB_m1!$E$1189</definedName>
    <definedName name="code중YFAM2F03">CB_m1!$E$1193</definedName>
    <definedName name="code중YFAM2F04">CB_m1!$E$1197</definedName>
    <definedName name="code중YFAM3A00">CB_m1!$E$1083</definedName>
    <definedName name="code중YFAM3B00">CB_m1!$E$1084</definedName>
    <definedName name="code중YFUR1A00">CB_m1!$E$661</definedName>
    <definedName name="code중YFUR1B00">CB_m1!$E$666</definedName>
    <definedName name="code중YFUR2A01">CB_m1!$E$669</definedName>
    <definedName name="code중YFUR2A02">CB_m1!$E$674</definedName>
    <definedName name="code중YFUR2A03">CB_m1!$E$679</definedName>
    <definedName name="code중YFUR2A04">CB_m1!$E$684</definedName>
    <definedName name="code중YFUR2A05">CB_m1!$E$689</definedName>
    <definedName name="code중YFUR2A06">CB_m1!$E$694</definedName>
    <definedName name="code중YFUR2A07">CB_m1!$E$699</definedName>
    <definedName name="code중YFUR2A08">CB_m1!$E$704</definedName>
    <definedName name="code중YFUR2A08_T">CB_m1!$E$709</definedName>
    <definedName name="code중YGENDER">CB_m1!$E$82</definedName>
    <definedName name="code중YINT1A00">CB_m1!$E$515</definedName>
    <definedName name="code중YINT1B00">CB_m1!$E$521</definedName>
    <definedName name="code중YINT2A01">CB_m1!$E$533</definedName>
    <definedName name="code중YINT2A02">CB_m1!$E$537</definedName>
    <definedName name="code중YINT2A03">CB_m1!$E$541</definedName>
    <definedName name="code중YINT2A04">CB_m1!$E$545</definedName>
    <definedName name="code중YINT2A05">CB_m1!$E$549</definedName>
    <definedName name="code중YINT2A06">CB_m1!$E$553</definedName>
    <definedName name="code중YINT2A07">CB_m1!$E$557</definedName>
    <definedName name="code중YINT2A08">CB_m1!$E$561</definedName>
    <definedName name="code중YINT2A09">CB_m1!$E$565</definedName>
    <definedName name="code중YINT2A10">CB_m1!$E$569</definedName>
    <definedName name="code중YINT2A11">CB_m1!$E$573</definedName>
    <definedName name="code중YINT2A12">CB_m1!$E$577</definedName>
    <definedName name="code중YINT2A13">CB_m1!$E$581</definedName>
    <definedName name="code중YINT2A14">CB_m1!$E$585</definedName>
    <definedName name="code중YINT2A15">CB_m1!$E$589</definedName>
    <definedName name="code중YINT2A16">CB_m1!$E$593</definedName>
    <definedName name="code중YINT2B01">CB_m1!$E$597</definedName>
    <definedName name="code중YINT2B02">CB_m1!$E$601</definedName>
    <definedName name="code중YINT2B03">CB_m1!$E$605</definedName>
    <definedName name="code중YINT2B04">CB_m1!$E$609</definedName>
    <definedName name="code중YINT2B05">CB_m1!$E$613</definedName>
    <definedName name="code중YINT2B06">CB_m1!$E$617</definedName>
    <definedName name="code중YINT2B07">CB_m1!$E$621</definedName>
    <definedName name="code중YINT2B08">CB_m1!$E$625</definedName>
    <definedName name="code중YINT2B09">CB_m1!$E$629</definedName>
    <definedName name="code중YINT2B10">CB_m1!$E$633</definedName>
    <definedName name="code중YINT2B11">CB_m1!$E$637</definedName>
    <definedName name="code중YINT2B12">CB_m1!$E$641</definedName>
    <definedName name="code중YINT2B13">CB_m1!$E$645</definedName>
    <definedName name="code중YINT2B14">CB_m1!$E$649</definedName>
    <definedName name="code중YINT2B15">CB_m1!$E$653</definedName>
    <definedName name="code중YINT2B16">CB_m1!$E$657</definedName>
    <definedName name="code중YMDA1A00">CB_m1!$E$254</definedName>
    <definedName name="code중YMDA1B01">CB_m1!$E$257</definedName>
    <definedName name="code중YMDA1B02">CB_m1!$E$261</definedName>
    <definedName name="code중YMDA1B03">CB_m1!$E$265</definedName>
    <definedName name="code중YMDA1B04">CB_m1!$E$269</definedName>
    <definedName name="code중YMDA1B05">CB_m1!$E$273</definedName>
    <definedName name="code중YMDA1B06">CB_m1!$E$277</definedName>
    <definedName name="code중YMDA1B07">CB_m1!$E$281</definedName>
    <definedName name="code중YMDA1B08">CB_m1!$E$285</definedName>
    <definedName name="code중YMDA1B09">CB_m1!$E$289</definedName>
    <definedName name="code중YMDA1B10">CB_m1!$E$293</definedName>
    <definedName name="code중YMDA1B11">CB_m1!$E$297</definedName>
    <definedName name="code중YMDA1B12">CB_m1!$E$301</definedName>
    <definedName name="code중YMDA1B13">CB_m1!$E$305</definedName>
    <definedName name="code중YMDA1B13_T">CB_m1!$E$310</definedName>
    <definedName name="code중YMDA1C01">CB_m1!$E$311</definedName>
    <definedName name="code중YMDA1C02">CB_m1!$E$315</definedName>
    <definedName name="code중YMDA1C03">CB_m1!$E$319</definedName>
    <definedName name="code중YMDA1C04">CB_m1!$E$323</definedName>
    <definedName name="code중YMDA1C05">CB_m1!$E$327</definedName>
    <definedName name="code중YMDA1C06">CB_m1!$E$331</definedName>
    <definedName name="code중YMDA1C07">CB_m1!$E$335</definedName>
    <definedName name="code중YMDA1C08">CB_m1!$E$339</definedName>
    <definedName name="code중YMDA1C09">CB_m1!$E$343</definedName>
    <definedName name="code중YMDA1C10">CB_m1!$E$347</definedName>
    <definedName name="code중YMDA1C11">CB_m1!$E$351</definedName>
    <definedName name="code중YMDA1C12">CB_m1!$E$355</definedName>
    <definedName name="code중YMDA1C13">CB_m1!$E$359</definedName>
    <definedName name="code중YMDA1C14">CB_m1!$E$363</definedName>
    <definedName name="code중YMDA1C15">CB_m1!$E$367</definedName>
    <definedName name="code중YPHY1A00">CB_m1!$E$1489</definedName>
    <definedName name="code중YPHY1B00">CB_m1!$E$1493</definedName>
    <definedName name="code중YPHY1C00">CB_m1!$E$1498</definedName>
    <definedName name="code중YPHY2A00">CB_m1!$E$1499</definedName>
    <definedName name="code중YPHY2B00">CB_m1!$E$1500</definedName>
    <definedName name="code중YPHY2C00">CB_m1!$E$1501</definedName>
    <definedName name="code중YPSY1A01">CB_m1!$E$710</definedName>
    <definedName name="code중YPSY1A02">CB_m1!$E$714</definedName>
    <definedName name="code중YPSY1A03">CB_m1!$E$718</definedName>
    <definedName name="code중YPSY1A04">CB_m1!$E$722</definedName>
    <definedName name="code중YPSY1A05">CB_m1!$E$726</definedName>
    <definedName name="code중YPSY2A01">CB_m1!$E$730</definedName>
    <definedName name="code중YPSY2A02">CB_m1!$E$734</definedName>
    <definedName name="code중YPSY2A03">CB_m1!$E$738</definedName>
    <definedName name="code중YPSY2A04">CB_m1!$E$742</definedName>
    <definedName name="code중YPSY3A01">CB_m1!$E$746</definedName>
    <definedName name="code중YPSY3A02">CB_m1!$E$750</definedName>
    <definedName name="code중YPSY3A03">CB_m1!$E$754</definedName>
    <definedName name="code중YPSY3A04">CB_m1!$E$758</definedName>
    <definedName name="code중YPSY3A05">CB_m1!$E$762</definedName>
    <definedName name="code중YPSY3A06">CB_m1!$E$766</definedName>
    <definedName name="code중YPSY3A07">CB_m1!$E$770</definedName>
    <definedName name="code중YPSY3A08">CB_m1!$E$774</definedName>
    <definedName name="code중YPSY3A09">CB_m1!$E$778</definedName>
    <definedName name="code중YPSY3A10">CB_m1!$E$782</definedName>
    <definedName name="code중YPSY4A01">CB_m1!$E$786</definedName>
    <definedName name="code중YPSY4A02">CB_m1!$E$790</definedName>
    <definedName name="code중YPSY4A03">CB_m1!$E$794</definedName>
    <definedName name="code중YPSY4A04">CB_m1!$E$798</definedName>
    <definedName name="code중YPSY4A05">CB_m1!$E$802</definedName>
    <definedName name="code중YPSY4A06">CB_m1!$E$806</definedName>
    <definedName name="code중YPSY4A07">CB_m1!$E$810</definedName>
    <definedName name="code중YPSY4B01">CB_m1!$E$814</definedName>
    <definedName name="code중YPSY4B02">CB_m1!$E$818</definedName>
    <definedName name="code중YPSY4B03">CB_m1!$E$822</definedName>
    <definedName name="code중YPSY4B04">CB_m1!$E$826</definedName>
    <definedName name="code중YPSY4B05">CB_m1!$E$830</definedName>
    <definedName name="code중YPSY4B06">CB_m1!$E$834</definedName>
    <definedName name="code중YPSY4C01">CB_m1!$E$838</definedName>
    <definedName name="code중YPSY4C02">CB_m1!$E$842</definedName>
    <definedName name="code중YPSY4C03">CB_m1!$E$846</definedName>
    <definedName name="code중YPSY4C04">CB_m1!$E$850</definedName>
    <definedName name="code중YPSY4C05">CB_m1!$E$854</definedName>
    <definedName name="code중YPSY4C06">CB_m1!$E$858</definedName>
    <definedName name="code중YPSY4C07">CB_m1!$E$862</definedName>
    <definedName name="code중YPSY4C08">CB_m1!$E$866</definedName>
    <definedName name="code중YPSY4D01">CB_m1!$E$870</definedName>
    <definedName name="code중YPSY4D02">CB_m1!$E$874</definedName>
    <definedName name="code중YPSY4D03">CB_m1!$E$878</definedName>
    <definedName name="code중YPSY4D04">CB_m1!$E$882</definedName>
    <definedName name="code중YPSY4D05">CB_m1!$E$886</definedName>
    <definedName name="code중YPSY4E01">CB_m1!$E$890</definedName>
    <definedName name="code중YPSY4E02">CB_m1!$E$894</definedName>
    <definedName name="code중YPSY4E03">CB_m1!$E$898</definedName>
    <definedName name="code중YPSY4E04">CB_m1!$E$902</definedName>
    <definedName name="code중YPSY4E05">CB_m1!$E$906</definedName>
    <definedName name="code중YPSY4E06">CB_m1!$E$910</definedName>
    <definedName name="code중YPSY4E07">CB_m1!$E$914</definedName>
    <definedName name="code중YPSY4E08">CB_m1!$E$918</definedName>
    <definedName name="code중YPSY4E09">CB_m1!$E$922</definedName>
    <definedName name="code중YPSY4E10">CB_m1!$E$926</definedName>
    <definedName name="code중YPSY5A01">CB_m1!$E$930</definedName>
    <definedName name="code중YPSY5A02">CB_m1!$E$934</definedName>
    <definedName name="code중YPSY5A03">CB_m1!$E$938</definedName>
    <definedName name="code중YPSY5A04">CB_m1!$E$942</definedName>
    <definedName name="code중YPSY5A05">CB_m1!$E$946</definedName>
    <definedName name="code중YPSY5A06">CB_m1!$E$950</definedName>
    <definedName name="code중YPSY5A07">CB_m1!$E$954</definedName>
    <definedName name="code중YPSY5A08">CB_m1!$E$958</definedName>
    <definedName name="code중YPSY5A09">CB_m1!$E$962</definedName>
    <definedName name="code중YPSY5A10">CB_m1!$E$966</definedName>
    <definedName name="code중YPSY5A11">CB_m1!$E$970</definedName>
    <definedName name="code중YPSY5A12">CB_m1!$E$974</definedName>
    <definedName name="code중YPSY5A13">CB_m1!$E$978</definedName>
    <definedName name="code중YPSY5A14">CB_m1!$E$982</definedName>
    <definedName name="code중YPSY6A01">CB_m1!$E$986</definedName>
    <definedName name="code중YPSY6A02">CB_m1!$E$988</definedName>
    <definedName name="code중YPSY6A03">CB_m1!$E$990</definedName>
    <definedName name="code중YPSY6A04">CB_m1!$E$992</definedName>
    <definedName name="code중YPSY6A05">CB_m1!$E$994</definedName>
    <definedName name="code중YPSY6A06">CB_m1!$E$996</definedName>
    <definedName name="code중YPSY6A07">CB_m1!$E$998</definedName>
    <definedName name="code중YPSY6A08">CB_m1!$E$1000</definedName>
    <definedName name="code중YPSY6A09">CB_m1!$E$1002</definedName>
    <definedName name="code중YPSY6A10">CB_m1!$E$1004</definedName>
    <definedName name="code중YPSY6A11">CB_m1!$E$1006</definedName>
    <definedName name="code중YPSY6A12">CB_m1!$E$1008</definedName>
    <definedName name="code중YPSY6A13">CB_m1!$E$1010</definedName>
    <definedName name="code중YPSY6A14">CB_m1!$E$1012</definedName>
    <definedName name="code중YPSY6A15">CB_m1!$E$1014</definedName>
    <definedName name="code중YPSY6A16">CB_m1!$E$1016</definedName>
    <definedName name="code중YPSY6A17">CB_m1!$E$1018</definedName>
    <definedName name="code중YPSY6A18">CB_m1!$E$1020</definedName>
    <definedName name="code중YPSY6A19">CB_m1!$E$1022</definedName>
    <definedName name="code중YPSY6A20">CB_m1!$E$1024</definedName>
    <definedName name="code중YPSY6A21">CB_m1!$E$1026</definedName>
    <definedName name="code중YPSY6A22">CB_m1!$E$1028</definedName>
    <definedName name="code중YPSY6A23">CB_m1!$E$1030</definedName>
    <definedName name="code중YPSY6A24">CB_m1!$E$1032</definedName>
    <definedName name="code중YPSY6A25">CB_m1!$E$1034</definedName>
    <definedName name="code중YPSY6A26">CB_m1!$E$1036</definedName>
    <definedName name="code중YPSY6A27">CB_m1!$E$1038</definedName>
    <definedName name="code중YPSY6A28">CB_m1!$E$1040</definedName>
    <definedName name="code중YPSY6A29">CB_m1!$E$1042</definedName>
    <definedName name="code중YPSY6A30">CB_m1!$E$1044</definedName>
    <definedName name="code중YPSY6Asc">CB_m1!$E$1046</definedName>
    <definedName name="code중YPSY7A01">CB_m1!$E$1047</definedName>
    <definedName name="code중YPSY7A02">CB_m1!$E$1051</definedName>
    <definedName name="code중YPSY7A03">CB_m1!$E$1055</definedName>
    <definedName name="code중YPSY7A04">CB_m1!$E$1059</definedName>
    <definedName name="code중YPSY7A05">CB_m1!$E$1063</definedName>
    <definedName name="code중YPSY7A06">CB_m1!$E$1067</definedName>
    <definedName name="code중YPSY7A07">CB_m1!$E$1071</definedName>
    <definedName name="code중YPSY7A08">CB_m1!$E$1075</definedName>
    <definedName name="code중YTIM1A01">CB_m1!$E$84</definedName>
    <definedName name="code중YTIM1A02">CB_m1!$E$85</definedName>
    <definedName name="code중YTIM1A03">CB_m1!$E$92</definedName>
    <definedName name="code중YTIM1A04">CB_m1!$E$93</definedName>
    <definedName name="code중YTIM1B01">CB_m1!$E$86</definedName>
    <definedName name="code중YTIM1B02">CB_m1!$E$87</definedName>
    <definedName name="code중YTIM1B03">CB_m1!$E$94</definedName>
    <definedName name="code중YTIM1B04">CB_m1!$E$95</definedName>
    <definedName name="code중YTIM1C01">CB_m1!$E$88</definedName>
    <definedName name="code중YTIM1C02">CB_m1!$E$96</definedName>
    <definedName name="code중YTIM1D01">CB_m1!$E$100</definedName>
    <definedName name="code중YTIM1D02">CB_m1!$E$107</definedName>
    <definedName name="code중YTIM1E01">CB_m1!$E$114</definedName>
    <definedName name="code중YTIM1E02">CB_m1!$E$121</definedName>
    <definedName name="code중YTIM1F01">CB_m1!$E$128</definedName>
    <definedName name="code중YTIM1F02">CB_m1!$E$135</definedName>
    <definedName name="code중YTIM1G01">CB_m1!$E$142</definedName>
    <definedName name="code중YTIM1G02">CB_m1!$E$149</definedName>
    <definedName name="code중YTIM1H01">CB_m1!$E$156</definedName>
    <definedName name="code중YTIM1H02">CB_m1!$E$163</definedName>
    <definedName name="code중YTIM1I01">CB_m1!$E$170</definedName>
    <definedName name="code중YTIM1I02">CB_m1!$E$177</definedName>
    <definedName name="code중YTIM1J01">CB_m1!$E$184</definedName>
    <definedName name="code중YTIM1J02">CB_m1!$E$191</definedName>
    <definedName name="code중YTIM1K01">CB_m1!$E$198</definedName>
    <definedName name="code중YTIM1K02">CB_m1!$E$205</definedName>
    <definedName name="code중YTIM1L01">CB_m1!$E$212</definedName>
    <definedName name="code중YTIM1L02">CB_m1!$E$219</definedName>
    <definedName name="code중YTIM1M01">CB_m1!$E$226</definedName>
    <definedName name="code중YTIM1M02">CB_m1!$E$233</definedName>
    <definedName name="code중YTIM1N01">CB_m1!$E$240</definedName>
    <definedName name="code중YTIM1N02">CB_m1!$E$247</definedName>
    <definedName name="code중YTWIN">CB_m1!$E$76</definedName>
    <definedName name="code초ARA1A">CB_e4!$E$39</definedName>
    <definedName name="code초ARA1B">CB_e4!$E$59</definedName>
    <definedName name="code초ARA2A">CB_e4!$E$56</definedName>
    <definedName name="code초COHORT">CB_e4!$E$35</definedName>
    <definedName name="code초SGRADE">CB_e4!$E$19</definedName>
    <definedName name="code초SIBLING">CB_e4!$E$13</definedName>
    <definedName name="code초SIBLING_T">CB_e4!$E$18</definedName>
    <definedName name="code초SURVEY1">CB_e4!$E$31</definedName>
    <definedName name="code초SURVEY2">CB_e4!$E$33</definedName>
    <definedName name="code초YBRT1A">CB_e4!$E$80</definedName>
    <definedName name="code초YBRT1B">CB_e4!$E$81</definedName>
    <definedName name="code초YEDU1A00">CB_e4!$E$383</definedName>
    <definedName name="code초YEDU2A01">CB_e4!$E$924</definedName>
    <definedName name="code초YEDU2A02">CB_e4!$E$928</definedName>
    <definedName name="code초YEDU2A03">CB_e4!$E$932</definedName>
    <definedName name="code초YEDU2A04">CB_e4!$E$936</definedName>
    <definedName name="code초YEDU2A05">CB_e4!$E$940</definedName>
    <definedName name="code초YEDU2A06">CB_e4!$E$944</definedName>
    <definedName name="code초YEDU2A07">CB_e4!$E$948</definedName>
    <definedName name="code초YEDU2A08">CB_e4!$E$952</definedName>
    <definedName name="code초YEDU2A09">CB_e4!$E$956</definedName>
    <definedName name="code초YEDU2A10">CB_e4!$E$960</definedName>
    <definedName name="code초YEDU2A11">CB_e4!$E$964</definedName>
    <definedName name="code초YEDU2A12">CB_e4!$E$968</definedName>
    <definedName name="code초YEDU2A13">CB_e4!$E$972</definedName>
    <definedName name="code초YEDU3A01">CB_e4!$E$976</definedName>
    <definedName name="code초YEDU3A02">CB_e4!$E$980</definedName>
    <definedName name="code초YEDU3A03">CB_e4!$E$984</definedName>
    <definedName name="code초YEDU3A04">CB_e4!$E$988</definedName>
    <definedName name="code초YEDU3A05">CB_e4!$E$992</definedName>
    <definedName name="code초YEDU3A06">CB_e4!$E$996</definedName>
    <definedName name="code초YEDU3A07">CB_e4!$E$1000</definedName>
    <definedName name="code초YEDU3A08">CB_e4!$E$1004</definedName>
    <definedName name="code초YEDU3A09">CB_e4!$E$1008</definedName>
    <definedName name="code초YEDU3A10">CB_e4!$E$1012</definedName>
    <definedName name="code초YEDU3A11">CB_e4!$E$1016</definedName>
    <definedName name="code초YEDU3A12">CB_e4!$E$1020</definedName>
    <definedName name="code초YEDU3A13">CB_e4!$E$1024</definedName>
    <definedName name="code초YEDU3A14">CB_e4!$E$1028</definedName>
    <definedName name="code초YFAM1A01">CB_e4!$E$802</definedName>
    <definedName name="code초YFAM1A02">CB_e4!$E$803</definedName>
    <definedName name="code초YFAM1A03">CB_e4!$E$804</definedName>
    <definedName name="code초YFAM1A04">CB_e4!$E$805</definedName>
    <definedName name="code초YFAM1B01">CB_e4!$E$808</definedName>
    <definedName name="code초YFAM1B02">CB_e4!$E$809</definedName>
    <definedName name="code초YFAM1B03">CB_e4!$E$810</definedName>
    <definedName name="code초YFAM1B04">CB_e4!$E$811</definedName>
    <definedName name="code초YFAM1C01">CB_e4!$E$812</definedName>
    <definedName name="code초YFAM1C02">CB_e4!$E$813</definedName>
    <definedName name="code초YFAM1C03">CB_e4!$E$814</definedName>
    <definedName name="code초YFAM1C04">CB_e4!$E$815</definedName>
    <definedName name="code초YFAM1D01">CB_e4!$E$816</definedName>
    <definedName name="code초YFAM1D02">CB_e4!$E$817</definedName>
    <definedName name="code초YFAM1D03">CB_e4!$E$818</definedName>
    <definedName name="code초YFAM1D04">CB_e4!$E$819</definedName>
    <definedName name="code초YFAM1E01">CB_e4!$E$820</definedName>
    <definedName name="code초YFAM1E02">CB_e4!$E$821</definedName>
    <definedName name="code초YFAM1E03">CB_e4!$E$822</definedName>
    <definedName name="code초YFAM1E04">CB_e4!$E$823</definedName>
    <definedName name="code초YFAM1F01">CB_e4!$E$824</definedName>
    <definedName name="code초YFAM1F02">CB_e4!$E$825</definedName>
    <definedName name="code초YFAM1F03">CB_e4!$E$826</definedName>
    <definedName name="code초YFAM1F04">CB_e4!$E$827</definedName>
    <definedName name="code초YFAM2A01">CB_e4!$E$828</definedName>
    <definedName name="code초YFAM2A02">CB_e4!$E$832</definedName>
    <definedName name="code초YFAM2A03">CB_e4!$E$836</definedName>
    <definedName name="code초YFAM2A04">CB_e4!$E$840</definedName>
    <definedName name="code초YFAM2B01">CB_e4!$E$844</definedName>
    <definedName name="code초YFAM2B02">CB_e4!$E$848</definedName>
    <definedName name="code초YFAM2B03">CB_e4!$E$852</definedName>
    <definedName name="code초YFAM2B04">CB_e4!$E$856</definedName>
    <definedName name="code초YFAM2C01">CB_e4!$E$860</definedName>
    <definedName name="code초YFAM2C02">CB_e4!$E$864</definedName>
    <definedName name="code초YFAM2C03">CB_e4!$E$868</definedName>
    <definedName name="code초YFAM2C04">CB_e4!$E$872</definedName>
    <definedName name="code초YFAM2D01">CB_e4!$E$876</definedName>
    <definedName name="code초YFAM2D02">CB_e4!$E$880</definedName>
    <definedName name="code초YFAM2D03">CB_e4!$E$884</definedName>
    <definedName name="code초YFAM2D04">CB_e4!$E$888</definedName>
    <definedName name="code초YFAM2E01">CB_e4!$E$892</definedName>
    <definedName name="code초YFAM2E02">CB_e4!$E$896</definedName>
    <definedName name="code초YFAM2E03">CB_e4!$E$900</definedName>
    <definedName name="code초YFAM2E04">CB_e4!$E$904</definedName>
    <definedName name="code초YFAM2F01">CB_e4!$E$908</definedName>
    <definedName name="code초YFAM2F02">CB_e4!$E$912</definedName>
    <definedName name="code초YFAM2F03">CB_e4!$E$916</definedName>
    <definedName name="code초YFAM2F04">CB_e4!$E$920</definedName>
    <definedName name="code초YFAM3A00">CB_e4!$E$806</definedName>
    <definedName name="code초YFAM3B00">CB_e4!$E$807</definedName>
    <definedName name="code초YFUR2A01">CB_e4!$E$453</definedName>
    <definedName name="code초YFUR2A02">CB_e4!$E$458</definedName>
    <definedName name="code초YFUR2A03">CB_e4!$E$463</definedName>
    <definedName name="code초YFUR2A04">CB_e4!$E$468</definedName>
    <definedName name="code초YFUR2A05">CB_e4!$E$473</definedName>
    <definedName name="code초YFUR2A06">CB_e4!$E$478</definedName>
    <definedName name="code초YFUR2A07">CB_e4!$E$483</definedName>
    <definedName name="code초YFUR2A08">CB_e4!$E$488</definedName>
    <definedName name="code초YFUR2A08_T">CB_e4!$E$493</definedName>
    <definedName name="code초YGENDER">CB_e4!$E$82</definedName>
    <definedName name="code초YINT1A00">CB_e4!$E$371</definedName>
    <definedName name="code초YINT1B00">CB_e4!$E$377</definedName>
    <definedName name="code초YINT2A01">CB_e4!$E$389</definedName>
    <definedName name="code초YINT2A02">CB_e4!$E$393</definedName>
    <definedName name="code초YINT2A03">CB_e4!$E$397</definedName>
    <definedName name="code초YINT2A04">CB_e4!$E$401</definedName>
    <definedName name="code초YINT2A05">CB_e4!$E$405</definedName>
    <definedName name="code초YINT2A06">CB_e4!$E$409</definedName>
    <definedName name="code초YINT2A07">CB_e4!$E$413</definedName>
    <definedName name="code초YINT2A08">CB_e4!$E$417</definedName>
    <definedName name="code초YINT2A09">CB_e4!$E$421</definedName>
    <definedName name="code초YINT2A10">CB_e4!$E$425</definedName>
    <definedName name="code초YINT2A11">CB_e4!$E$429</definedName>
    <definedName name="code초YINT2A12">CB_e4!$E$433</definedName>
    <definedName name="code초YINT2A13">CB_e4!$E$437</definedName>
    <definedName name="code초YINT2A14">CB_e4!$E$441</definedName>
    <definedName name="code초YINT2A15">CB_e4!$E$445</definedName>
    <definedName name="code초YINT2A16">CB_e4!$E$449</definedName>
    <definedName name="code초YMDA1A00">CB_e4!$E$254</definedName>
    <definedName name="code초YMDA1B01">CB_e4!$E$257</definedName>
    <definedName name="code초YMDA1B02">CB_e4!$E$261</definedName>
    <definedName name="code초YMDA1B03">CB_e4!$E$265</definedName>
    <definedName name="code초YMDA1B04">CB_e4!$E$269</definedName>
    <definedName name="code초YMDA1B05">CB_e4!$E$273</definedName>
    <definedName name="code초YMDA1B06">CB_e4!$E$277</definedName>
    <definedName name="code초YMDA1B07">CB_e4!$E$281</definedName>
    <definedName name="code초YMDA1B08">CB_e4!$E$285</definedName>
    <definedName name="code초YMDA1B09">CB_e4!$E$289</definedName>
    <definedName name="code초YMDA1B10">CB_e4!$E$293</definedName>
    <definedName name="code초YMDA1B11">CB_e4!$E$297</definedName>
    <definedName name="code초YMDA1B12">CB_e4!$E$301</definedName>
    <definedName name="code초YMDA1B13">CB_e4!$E$305</definedName>
    <definedName name="code초YMDA1B13_T">CB_e4!$E$310</definedName>
    <definedName name="code초YMDA1C01">CB_e4!$E$311</definedName>
    <definedName name="code초YMDA1C02">CB_e4!$E$315</definedName>
    <definedName name="code초YMDA1C03">CB_e4!$E$319</definedName>
    <definedName name="code초YMDA1C04">CB_e4!$E$323</definedName>
    <definedName name="code초YMDA1C05">CB_e4!$E$327</definedName>
    <definedName name="code초YMDA1C06">CB_e4!$E$331</definedName>
    <definedName name="code초YMDA1C07">CB_e4!$E$335</definedName>
    <definedName name="code초YMDA1C08">CB_e4!$E$339</definedName>
    <definedName name="code초YMDA1C09">CB_e4!$E$343</definedName>
    <definedName name="code초YMDA1C10">CB_e4!$E$347</definedName>
    <definedName name="code초YMDA1C11">CB_e4!$E$351</definedName>
    <definedName name="code초YMDA1C12">CB_e4!$E$355</definedName>
    <definedName name="code초YMDA1C13">CB_e4!$E$359</definedName>
    <definedName name="code초YMDA1C14">CB_e4!$E$363</definedName>
    <definedName name="code초YMDA1C15">CB_e4!$E$367</definedName>
    <definedName name="code초YPHY1A00">CB_e4!$E$1032</definedName>
    <definedName name="code초YPHY1B00">CB_e4!$E$1036</definedName>
    <definedName name="code초YPHY1C00">CB_e4!$E$1041</definedName>
    <definedName name="code초YPHY2A00">CB_e4!$E$1042</definedName>
    <definedName name="code초YPHY2B00">CB_e4!$E$1043</definedName>
    <definedName name="code초YPSY1A01">CB_e4!$E$494</definedName>
    <definedName name="code초YPSY1A02">CB_e4!$E$498</definedName>
    <definedName name="code초YPSY1A03">CB_e4!$E$502</definedName>
    <definedName name="code초YPSY1A04">CB_e4!$E$506</definedName>
    <definedName name="code초YPSY1A05">CB_e4!$E$510</definedName>
    <definedName name="code초YPSY2A01">CB_e4!$E$514</definedName>
    <definedName name="code초YPSY2A02">CB_e4!$E$518</definedName>
    <definedName name="code초YPSY2A03">CB_e4!$E$522</definedName>
    <definedName name="code초YPSY2A04">CB_e4!$E$526</definedName>
    <definedName name="code초YPSY3A01">CB_e4!$E$530</definedName>
    <definedName name="code초YPSY3A02">CB_e4!$E$534</definedName>
    <definedName name="code초YPSY3A03">CB_e4!$E$538</definedName>
    <definedName name="code초YPSY3A04">CB_e4!$E$542</definedName>
    <definedName name="code초YPSY3A05">CB_e4!$E$546</definedName>
    <definedName name="code초YPSY3A06">CB_e4!$E$550</definedName>
    <definedName name="code초YPSY3A07">CB_e4!$E$554</definedName>
    <definedName name="code초YPSY3A08">CB_e4!$E$558</definedName>
    <definedName name="code초YPSY3A09">CB_e4!$E$562</definedName>
    <definedName name="code초YPSY3A10">CB_e4!$E$566</definedName>
    <definedName name="code초YPSY4A01">CB_e4!$E$570</definedName>
    <definedName name="code초YPSY4A02">CB_e4!$E$574</definedName>
    <definedName name="code초YPSY4A03">CB_e4!$E$578</definedName>
    <definedName name="code초YPSY4A04">CB_e4!$E$582</definedName>
    <definedName name="code초YPSY4A05">CB_e4!$E$586</definedName>
    <definedName name="code초YPSY4A06">CB_e4!$E$590</definedName>
    <definedName name="code초YPSY4A07">CB_e4!$E$594</definedName>
    <definedName name="code초YPSY4B01">CB_e4!$E$598</definedName>
    <definedName name="code초YPSY4B02">CB_e4!$E$602</definedName>
    <definedName name="code초YPSY4B03">CB_e4!$E$606</definedName>
    <definedName name="code초YPSY4B04">CB_e4!$E$610</definedName>
    <definedName name="code초YPSY4B05">CB_e4!$E$614</definedName>
    <definedName name="code초YPSY4B06">CB_e4!$E$618</definedName>
    <definedName name="code초YPSY4C01">CB_e4!$E$622</definedName>
    <definedName name="code초YPSY4C02">CB_e4!$E$626</definedName>
    <definedName name="code초YPSY4C03">CB_e4!$E$630</definedName>
    <definedName name="code초YPSY4C04">CB_e4!$E$634</definedName>
    <definedName name="code초YPSY4C05">CB_e4!$E$638</definedName>
    <definedName name="code초YPSY4C06">CB_e4!$E$642</definedName>
    <definedName name="code초YPSY4C07">CB_e4!$E$646</definedName>
    <definedName name="code초YPSY4C08">CB_e4!$E$650</definedName>
    <definedName name="code초YPSY4D01">CB_e4!$E$654</definedName>
    <definedName name="code초YPSY4D02">CB_e4!$E$658</definedName>
    <definedName name="code초YPSY4D03">CB_e4!$E$662</definedName>
    <definedName name="code초YPSY4D04">CB_e4!$E$666</definedName>
    <definedName name="code초YPSY4D05">CB_e4!$E$670</definedName>
    <definedName name="code초YPSY4E01">CB_e4!$E$674</definedName>
    <definedName name="code초YPSY4E02">CB_e4!$E$678</definedName>
    <definedName name="code초YPSY4E03">CB_e4!$E$682</definedName>
    <definedName name="code초YPSY4E04">CB_e4!$E$686</definedName>
    <definedName name="code초YPSY4E05">CB_e4!$E$690</definedName>
    <definedName name="code초YPSY4E06">CB_e4!$E$694</definedName>
    <definedName name="code초YPSY4E07">CB_e4!$E$698</definedName>
    <definedName name="code초YPSY4E08">CB_e4!$E$702</definedName>
    <definedName name="code초YPSY4E09">CB_e4!$E$706</definedName>
    <definedName name="code초YPSY4E10">CB_e4!$E$710</definedName>
    <definedName name="code초YPSY5A01">CB_e4!$E$714</definedName>
    <definedName name="code초YPSY5A02">CB_e4!$E$718</definedName>
    <definedName name="code초YPSY5A03">CB_e4!$E$722</definedName>
    <definedName name="code초YPSY5A04">CB_e4!$E$726</definedName>
    <definedName name="code초YPSY5A05">CB_e4!$E$730</definedName>
    <definedName name="code초YPSY5A06">CB_e4!$E$734</definedName>
    <definedName name="code초YPSY5A07">CB_e4!$E$738</definedName>
    <definedName name="code초YPSY5A08">CB_e4!$E$742</definedName>
    <definedName name="code초YPSY5A09">CB_e4!$E$746</definedName>
    <definedName name="code초YPSY5A10">CB_e4!$E$750</definedName>
    <definedName name="code초YPSY5A11">CB_e4!$E$754</definedName>
    <definedName name="code초YPSY5A12">CB_e4!$E$758</definedName>
    <definedName name="code초YPSY5A13">CB_e4!$E$762</definedName>
    <definedName name="code초YPSY5A14">CB_e4!$E$766</definedName>
    <definedName name="code초YPSY7A01">CB_e4!$E$770</definedName>
    <definedName name="code초YPSY7A02">CB_e4!$E$774</definedName>
    <definedName name="code초YPSY7A03">CB_e4!$E$778</definedName>
    <definedName name="code초YPSY7A04">CB_e4!$E$782</definedName>
    <definedName name="code초YPSY7A05">CB_e4!$E$786</definedName>
    <definedName name="code초YPSY7A06">CB_e4!$E$790</definedName>
    <definedName name="code초YPSY7A07">CB_e4!$E$794</definedName>
    <definedName name="code초YPSY7A08">CB_e4!$E$798</definedName>
    <definedName name="code초YTIM1A01">CB_e4!$E$84</definedName>
    <definedName name="code초YTIM1A02">CB_e4!$E$85</definedName>
    <definedName name="code초YTIM1A03">CB_e4!$E$92</definedName>
    <definedName name="code초YTIM1A04">CB_e4!$E$93</definedName>
    <definedName name="code초YTIM1B01">CB_e4!$E$86</definedName>
    <definedName name="code초YTIM1B02">CB_e4!$E$87</definedName>
    <definedName name="code초YTIM1B03">CB_e4!$E$94</definedName>
    <definedName name="code초YTIM1B04">CB_e4!$E$95</definedName>
    <definedName name="code초YTIM1C01">CB_e4!$E$88</definedName>
    <definedName name="code초YTIM1C02">CB_e4!$E$96</definedName>
    <definedName name="code초YTIM1D01">CB_e4!$E$100</definedName>
    <definedName name="code초YTIM1D02">CB_e4!$E$107</definedName>
    <definedName name="code초YTIM1E01">CB_e4!$E$114</definedName>
    <definedName name="code초YTIM1E02">CB_e4!$E$121</definedName>
    <definedName name="code초YTIM1F01">CB_e4!$E$128</definedName>
    <definedName name="code초YTIM1F02">CB_e4!$E$135</definedName>
    <definedName name="code초YTIM1G01">CB_e4!$E$142</definedName>
    <definedName name="code초YTIM1G02">CB_e4!$E$149</definedName>
    <definedName name="code초YTIM1H01">CB_e4!$E$156</definedName>
    <definedName name="code초YTIM1H02">CB_e4!$E$163</definedName>
    <definedName name="code초YTIM1I01">CB_e4!$E$170</definedName>
    <definedName name="code초YTIM1I02">CB_e4!$E$177</definedName>
    <definedName name="code초YTIM1J01">CB_e4!$E$184</definedName>
    <definedName name="code초YTIM1J02">CB_e4!$E$191</definedName>
    <definedName name="code초YTIM1K01">CB_e4!$E$198</definedName>
    <definedName name="code초YTIM1K02">CB_e4!$E$205</definedName>
    <definedName name="code초YTIM1L01">CB_e4!$E$212</definedName>
    <definedName name="code초YTIM1L02">CB_e4!$E$219</definedName>
    <definedName name="code초YTIM1M01">CB_e4!$E$226</definedName>
    <definedName name="code초YTIM1M02">CB_e4!$E$233</definedName>
    <definedName name="code초YTIM1N01">CB_e4!$E$240</definedName>
    <definedName name="code초YTIM1N02">CB_e4!$E$247</definedName>
    <definedName name="code초YTWIN">CB_e4!$E$76</definedName>
    <definedName name="lay보PARENT">LAYOUT_p!$H$8</definedName>
    <definedName name="lay보PBRP1">LAYOUT_p!$H$17</definedName>
    <definedName name="lay보PBRP2">LAYOUT_p!$H$18</definedName>
    <definedName name="lay보PBRP3">LAYOUT_p!$H$19</definedName>
    <definedName name="lay보PBRTA1">LAYOUT_p!$H$35</definedName>
    <definedName name="lay보PBRTA2">LAYOUT_p!$H$39</definedName>
    <definedName name="lay보PBRTA3">LAYOUT_p!$H$43</definedName>
    <definedName name="lay보PBRTA4">LAYOUT_p!$H$47</definedName>
    <definedName name="lay보PBRTA5">LAYOUT_p!$H$51</definedName>
    <definedName name="lay보PBRTA6">LAYOUT_p!$H$55</definedName>
    <definedName name="lay보PBRTA7">LAYOUT_p!$H$59</definedName>
    <definedName name="lay보PBRTA8">LAYOUT_p!$H$63</definedName>
    <definedName name="lay보PBRTB1">LAYOUT_p!$H$36</definedName>
    <definedName name="lay보PBRTB2">LAYOUT_p!$H$40</definedName>
    <definedName name="lay보PBRTB3">LAYOUT_p!$H$44</definedName>
    <definedName name="lay보PBRTB4">LAYOUT_p!$H$48</definedName>
    <definedName name="lay보PBRTB5">LAYOUT_p!$H$52</definedName>
    <definedName name="lay보PBRTB6">LAYOUT_p!$H$56</definedName>
    <definedName name="lay보PBRTB7">LAYOUT_p!$H$60</definedName>
    <definedName name="lay보PBRTB8">LAYOUT_p!$H$64</definedName>
    <definedName name="lay보PEDU1A00">LAYOUT_p!$H$137</definedName>
    <definedName name="lay보PEDU1B01">LAYOUT_p!$H$138</definedName>
    <definedName name="lay보PEDU1B02">LAYOUT_p!$H$139</definedName>
    <definedName name="lay보PEDU1B02_T">LAYOUT_p!$H$140</definedName>
    <definedName name="lay보PEDU1B03">LAYOUT_p!$H$142</definedName>
    <definedName name="lay보PEDU1B04">LAYOUT_p!$H$143</definedName>
    <definedName name="lay보PEDU1B04_T">LAYOUT_p!$H$144</definedName>
    <definedName name="lay보PEDU1C00">LAYOUT_p!$H$141</definedName>
    <definedName name="lay보PFAM1A00">LAYOUT_p!$H$97</definedName>
    <definedName name="lay보PFAM1A00_T">LAYOUT_p!$H$98</definedName>
    <definedName name="lay보PFAM2A01">LAYOUT_p!$H$99</definedName>
    <definedName name="lay보PFAM2A01_T">LAYOUT_p!$H$100</definedName>
    <definedName name="lay보PFAM2A02">LAYOUT_p!$H$101</definedName>
    <definedName name="lay보PFAM2A02_T">LAYOUT_p!$H$102</definedName>
    <definedName name="lay보PFAM2A03">LAYOUT_p!$H$103</definedName>
    <definedName name="lay보PFAM2A03_T">LAYOUT_p!$H$104</definedName>
    <definedName name="lay보PFAM2A04">LAYOUT_p!$H$105</definedName>
    <definedName name="lay보PFAM2A04_T">LAYOUT_p!$H$106</definedName>
    <definedName name="lay보PFAM3A00">LAYOUT_p!$H$107</definedName>
    <definedName name="lay보PFAM3B00">LAYOUT_p!$H$108</definedName>
    <definedName name="lay보PFAM3C00">LAYOUT_p!$H$109</definedName>
    <definedName name="lay보PFAM3D00">LAYOUT_p!$H$110</definedName>
    <definedName name="lay보PFAM4A01">LAYOUT_p!$H$113</definedName>
    <definedName name="lay보PFAM4A02">LAYOUT_p!$H$114</definedName>
    <definedName name="lay보PFAM4A03">LAYOUT_p!$H$115</definedName>
    <definedName name="lay보PFAM4A04">LAYOUT_p!$H$116</definedName>
    <definedName name="lay보PFAM5A01">LAYOUT_p!$H$117</definedName>
    <definedName name="lay보PFAM5A02">LAYOUT_p!$H$118</definedName>
    <definedName name="lay보PFAM5A03">LAYOUT_p!$H$119</definedName>
    <definedName name="lay보PFAM5A04">LAYOUT_p!$H$120</definedName>
    <definedName name="lay보PFAM5B01">LAYOUT_p!$H$121</definedName>
    <definedName name="lay보PFAM5B02">LAYOUT_p!$H$122</definedName>
    <definedName name="lay보PFAM5B03">LAYOUT_p!$H$123</definedName>
    <definedName name="lay보PFAM5B04">LAYOUT_p!$H$124</definedName>
    <definedName name="lay보PFAM5C01">LAYOUT_p!$H$125</definedName>
    <definedName name="lay보PFAM5C02">LAYOUT_p!$H$126</definedName>
    <definedName name="lay보PFAM5C03">LAYOUT_p!$H$127</definedName>
    <definedName name="lay보PFAM5C04">LAYOUT_p!$H$128</definedName>
    <definedName name="lay보PFAM5D01">LAYOUT_p!$H$129</definedName>
    <definedName name="lay보PFAM5D02">LAYOUT_p!$H$130</definedName>
    <definedName name="lay보PFAM5D03">LAYOUT_p!$H$131</definedName>
    <definedName name="lay보PFAM5D04">LAYOUT_p!$H$132</definedName>
    <definedName name="lay보PFAM5E01">LAYOUT_p!$H$133</definedName>
    <definedName name="lay보PFAM5E02">LAYOUT_p!$H$134</definedName>
    <definedName name="lay보PFAM5E03">LAYOUT_p!$H$135</definedName>
    <definedName name="lay보PFAM5E04">LAYOUT_p!$H$136</definedName>
    <definedName name="lay보PFAM6A00">LAYOUT_p!$H$111</definedName>
    <definedName name="lay보PFAM6B00">LAYOUT_p!$H$112</definedName>
    <definedName name="lay보PFBRTA1">LAYOUT_p!$H$67</definedName>
    <definedName name="lay보PFBRTA2">LAYOUT_p!$H$71</definedName>
    <definedName name="lay보PFBRTA3">LAYOUT_p!$H$75</definedName>
    <definedName name="lay보PFBRTA4">LAYOUT_p!$H$79</definedName>
    <definedName name="lay보PFBRTA5">LAYOUT_p!$H$83</definedName>
    <definedName name="lay보PFBRTA6">LAYOUT_p!$H$87</definedName>
    <definedName name="lay보PFBRTA7">LAYOUT_p!$H$91</definedName>
    <definedName name="lay보PFBRTA8">LAYOUT_p!$H$95</definedName>
    <definedName name="lay보PFBRTB1">LAYOUT_p!$H$68</definedName>
    <definedName name="lay보PFBRTB2">LAYOUT_p!$H$72</definedName>
    <definedName name="lay보PFBRTB3">LAYOUT_p!$H$76</definedName>
    <definedName name="lay보PFBRTB4">LAYOUT_p!$H$80</definedName>
    <definedName name="lay보PFBRTB5">LAYOUT_p!$H$84</definedName>
    <definedName name="lay보PFBRTB6">LAYOUT_p!$H$88</definedName>
    <definedName name="lay보PFBRTB7">LAYOUT_p!$H$92</definedName>
    <definedName name="lay보PFBRTB8">LAYOUT_p!$H$96</definedName>
    <definedName name="lay보PFGENDER1">LAYOUT_p!$H$66</definedName>
    <definedName name="lay보PFGENDER2">LAYOUT_p!$H$70</definedName>
    <definedName name="lay보PFGENDER3">LAYOUT_p!$H$74</definedName>
    <definedName name="lay보PFGENDER4">LAYOUT_p!$H$78</definedName>
    <definedName name="lay보PFGENDER5">LAYOUT_p!$H$82</definedName>
    <definedName name="lay보PFGENDER6">LAYOUT_p!$H$86</definedName>
    <definedName name="lay보PFGENDER7">LAYOUT_p!$H$90</definedName>
    <definedName name="lay보PFGENDER8">LAYOUT_p!$H$94</definedName>
    <definedName name="lay보PFRELATION1">LAYOUT_p!$H$65</definedName>
    <definedName name="lay보PFRELATION2">LAYOUT_p!$H$69</definedName>
    <definedName name="lay보PFRELATION3">LAYOUT_p!$H$73</definedName>
    <definedName name="lay보PFRELATION4">LAYOUT_p!$H$77</definedName>
    <definedName name="lay보PFRELATION5">LAYOUT_p!$H$81</definedName>
    <definedName name="lay보PFRELATION6">LAYOUT_p!$H$85</definedName>
    <definedName name="lay보PFRELATION7">LAYOUT_p!$H$89</definedName>
    <definedName name="lay보PFRELATION8">LAYOUT_p!$H$93</definedName>
    <definedName name="lay보PGENDER1">LAYOUT_p!$H$34</definedName>
    <definedName name="lay보PGENDER2">LAYOUT_p!$H$38</definedName>
    <definedName name="lay보PGENDER3">LAYOUT_p!$H$42</definedName>
    <definedName name="lay보PGENDER4">LAYOUT_p!$H$46</definedName>
    <definedName name="lay보PGENDER5">LAYOUT_p!$H$50</definedName>
    <definedName name="lay보PGENDER6">LAYOUT_p!$H$54</definedName>
    <definedName name="lay보PGENDER7">LAYOUT_p!$H$58</definedName>
    <definedName name="lay보PGENDER8">LAYOUT_p!$H$62</definedName>
    <definedName name="lay보PHOMPOP">LAYOUT_p!$H$32</definedName>
    <definedName name="lay보PINCOME">LAYOUT_p!$H$12</definedName>
    <definedName name="lay보PINCOME1">LAYOUT_p!$H$13</definedName>
    <definedName name="lay보PJOB1">LAYOUT_p!$H$26</definedName>
    <definedName name="lay보PJOB1_T">LAYOUT_p!$H$29</definedName>
    <definedName name="lay보PJOB2">LAYOUT_p!$H$27</definedName>
    <definedName name="lay보PJOB2_T">LAYOUT_p!$H$30</definedName>
    <definedName name="lay보PJOB3">LAYOUT_p!$H$28</definedName>
    <definedName name="lay보PJOB3_T">LAYOUT_p!$H$31</definedName>
    <definedName name="lay보PMDA1A00">LAYOUT_p!$H$203</definedName>
    <definedName name="lay보PMDA1B01">LAYOUT_p!$H$204</definedName>
    <definedName name="lay보PMDA1B02">LAYOUT_p!$H$205</definedName>
    <definedName name="lay보PMDA1B03">LAYOUT_p!$H$206</definedName>
    <definedName name="lay보PMDA1B04">LAYOUT_p!$H$207</definedName>
    <definedName name="lay보PMDA1B05">LAYOUT_p!$H$208</definedName>
    <definedName name="lay보PMDA1B06">LAYOUT_p!$H$209</definedName>
    <definedName name="lay보PMDA1B07">LAYOUT_p!$H$210</definedName>
    <definedName name="lay보PMDA1B08">LAYOUT_p!$H$211</definedName>
    <definedName name="lay보PMDA1B09">LAYOUT_p!$H$212</definedName>
    <definedName name="lay보PMDA1B10">LAYOUT_p!$H$213</definedName>
    <definedName name="lay보PMDA1B11">LAYOUT_p!$H$214</definedName>
    <definedName name="lay보PMDA1B12">LAYOUT_p!$H$215</definedName>
    <definedName name="lay보PMDA1B13">LAYOUT_p!$H$216</definedName>
    <definedName name="lay보PMDA1B13_T">LAYOUT_p!$H$217</definedName>
    <definedName name="lay보PMDA1C01">LAYOUT_p!$H$218</definedName>
    <definedName name="lay보PMDA1C02">LAYOUT_p!$H$219</definedName>
    <definedName name="lay보PMDA1C03">LAYOUT_p!$H$220</definedName>
    <definedName name="lay보PMDA1C04">LAYOUT_p!$H$221</definedName>
    <definedName name="lay보PMDA1C05">LAYOUT_p!$H$222</definedName>
    <definedName name="lay보PMDA1C06">LAYOUT_p!$H$223</definedName>
    <definedName name="lay보PMDA1C07">LAYOUT_p!$H$224</definedName>
    <definedName name="lay보PMDA1C08">LAYOUT_p!$H$225</definedName>
    <definedName name="lay보PMDA1C09">LAYOUT_p!$H$226</definedName>
    <definedName name="lay보PMDA1C10">LAYOUT_p!$H$227</definedName>
    <definedName name="lay보PMDA1C11">LAYOUT_p!$H$228</definedName>
    <definedName name="lay보PMDA1C12">LAYOUT_p!$H$229</definedName>
    <definedName name="lay보PMDA1C13">LAYOUT_p!$H$230</definedName>
    <definedName name="lay보PMDA1C14">LAYOUT_p!$H$231</definedName>
    <definedName name="lay보PMDA1C15">LAYOUT_p!$H$232</definedName>
    <definedName name="lay보PPHY1A00">LAYOUT_p!$H$233</definedName>
    <definedName name="lay보PPHY1B00">LAYOUT_p!$H$234</definedName>
    <definedName name="lay보PPHY1C00">LAYOUT_p!$H$235</definedName>
    <definedName name="lay보PPHY2A00">LAYOUT_p!$H$236</definedName>
    <definedName name="lay보PPHY2B00">LAYOUT_p!$H$237</definedName>
    <definedName name="lay보PPSY1A01">LAYOUT_p!$H$145</definedName>
    <definedName name="lay보PPSY1A02">LAYOUT_p!$H$146</definedName>
    <definedName name="lay보PPSY1A03">LAYOUT_p!$H$147</definedName>
    <definedName name="lay보PPSY1A04">LAYOUT_p!$H$148</definedName>
    <definedName name="lay보PPSY1A05">LAYOUT_p!$H$149</definedName>
    <definedName name="lay보PPSY2A01">LAYOUT_p!$H$150</definedName>
    <definedName name="lay보PPSY2A02">LAYOUT_p!$H$151</definedName>
    <definedName name="lay보PPSY2A03">LAYOUT_p!$H$152</definedName>
    <definedName name="lay보PPSY2A04">LAYOUT_p!$H$153</definedName>
    <definedName name="lay보PPSY3A01">LAYOUT_p!$H$154</definedName>
    <definedName name="lay보PPSY3A02">LAYOUT_p!$H$155</definedName>
    <definedName name="lay보PPSY3A03">LAYOUT_p!$H$156</definedName>
    <definedName name="lay보PPSY3A04">LAYOUT_p!$H$157</definedName>
    <definedName name="lay보PPSY3A05">LAYOUT_p!$H$158</definedName>
    <definedName name="lay보PPSY3A06">LAYOUT_p!$H$159</definedName>
    <definedName name="lay보PPSY3A07">LAYOUT_p!$H$160</definedName>
    <definedName name="lay보PPSY3A08">LAYOUT_p!$H$161</definedName>
    <definedName name="lay보PPSY3A09">LAYOUT_p!$H$162</definedName>
    <definedName name="lay보PPSY3A10">LAYOUT_p!$H$163</definedName>
    <definedName name="lay보PPSY4A01">LAYOUT_p!$H$164</definedName>
    <definedName name="lay보PPSY4A02">LAYOUT_p!$H$165</definedName>
    <definedName name="lay보PPSY4A03">LAYOUT_p!$H$166</definedName>
    <definedName name="lay보PPSY4A04">LAYOUT_p!$H$167</definedName>
    <definedName name="lay보PPSY4A05">LAYOUT_p!$H$168</definedName>
    <definedName name="lay보PPSY4A06">LAYOUT_p!$H$169</definedName>
    <definedName name="lay보PPSY4A07">LAYOUT_p!$H$170</definedName>
    <definedName name="lay보PPSY4A08">LAYOUT_p!$H$171</definedName>
    <definedName name="lay보PPSY4A09">LAYOUT_p!$H$172</definedName>
    <definedName name="lay보PPSY4A10">LAYOUT_p!$H$173</definedName>
    <definedName name="lay보PPSY4A11">LAYOUT_p!$H$174</definedName>
    <definedName name="lay보PPSY4A12">LAYOUT_p!$H$175</definedName>
    <definedName name="lay보PPSY4A13">LAYOUT_p!$H$176</definedName>
    <definedName name="lay보PPSY4A14">LAYOUT_p!$H$177</definedName>
    <definedName name="lay보PPSY4A15">LAYOUT_p!$H$178</definedName>
    <definedName name="lay보PPSY4A16">LAYOUT_p!$H$179</definedName>
    <definedName name="lay보PPSY4A17">LAYOUT_p!$H$180</definedName>
    <definedName name="lay보PPSY4A18">LAYOUT_p!$H$181</definedName>
    <definedName name="lay보PPSY4A19">LAYOUT_p!$H$182</definedName>
    <definedName name="lay보PPSY4A20">LAYOUT_p!$H$183</definedName>
    <definedName name="lay보PPSY4A21">LAYOUT_p!$H$184</definedName>
    <definedName name="lay보PPSY4A22">LAYOUT_p!$H$185</definedName>
    <definedName name="lay보PPSY4A23">LAYOUT_p!$H$186</definedName>
    <definedName name="lay보PPSY4A24">LAYOUT_p!$H$187</definedName>
    <definedName name="lay보PPSY4A25">LAYOUT_p!$H$188</definedName>
    <definedName name="lay보PPSY4A26">LAYOUT_p!$H$189</definedName>
    <definedName name="lay보PPSY4A27">LAYOUT_p!$H$190</definedName>
    <definedName name="lay보PPSY4A28">LAYOUT_p!$H$191</definedName>
    <definedName name="lay보PPSY4A29">LAYOUT_p!$H$192</definedName>
    <definedName name="lay보PPSY4A30">LAYOUT_p!$H$193</definedName>
    <definedName name="lay보PPSY4Asc">LAYOUT_p!$H$194</definedName>
    <definedName name="lay보PPSY5A01">LAYOUT_p!$H$195</definedName>
    <definedName name="lay보PPSY5A02">LAYOUT_p!$H$196</definedName>
    <definedName name="lay보PPSY5A03">LAYOUT_p!$H$197</definedName>
    <definedName name="lay보PPSY5A04">LAYOUT_p!$H$198</definedName>
    <definedName name="lay보PPSY5A05">LAYOUT_p!$H$199</definedName>
    <definedName name="lay보PPSY5A06">LAYOUT_p!$H$200</definedName>
    <definedName name="lay보PPSY5A07">LAYOUT_p!$H$201</definedName>
    <definedName name="lay보PPSY5A08">LAYOUT_p!$H$202</definedName>
    <definedName name="lay보PRELATE1">LAYOUT_p!$H$33</definedName>
    <definedName name="lay보PRELATE2">LAYOUT_p!$H$37</definedName>
    <definedName name="lay보PRELATE3">LAYOUT_p!$H$41</definedName>
    <definedName name="lay보PRELATE4">LAYOUT_p!$H$45</definedName>
    <definedName name="lay보PRELATE5">LAYOUT_p!$H$49</definedName>
    <definedName name="lay보PRELATE6">LAYOUT_p!$H$53</definedName>
    <definedName name="lay보PRELATE7">LAYOUT_p!$H$57</definedName>
    <definedName name="lay보PRELATE8">LAYOUT_p!$H$61</definedName>
    <definedName name="lay보PSCHOOL1">LAYOUT_p!$H$20</definedName>
    <definedName name="lay보PSCHOOL2">LAYOUT_p!$H$21</definedName>
    <definedName name="lay보PSCHOOL3">LAYOUT_p!$H$22</definedName>
    <definedName name="lay보PWORKW1">LAYOUT_p!$H$23</definedName>
    <definedName name="lay보PWORKW2">LAYOUT_p!$H$24</definedName>
    <definedName name="lay보PWORKW3">LAYOUT_p!$H$25</definedName>
    <definedName name="lay보PYBRP1">LAYOUT_p!$H$14</definedName>
    <definedName name="lay보PYBRP2">LAYOUT_p!$H$15</definedName>
    <definedName name="lay보PYBRP3">LAYOUT_p!$H$16</definedName>
    <definedName name="lay보PYBRT1A">LAYOUT_p!$H$9</definedName>
    <definedName name="lay보PYBRT1B">LAYOUT_p!$H$10</definedName>
    <definedName name="lay보PYGENDER">LAYOUT_p!$H$11</definedName>
    <definedName name="lay중ARA1A">LAYOUT_m1!$H$19</definedName>
    <definedName name="lay중ARA1B">LAYOUT_m1!$H$21</definedName>
    <definedName name="lay중ARA2A">LAYOUT_m1!$H$20</definedName>
    <definedName name="lay중COHORT">LAYOUT_m1!$H$18</definedName>
    <definedName name="lay중SGRADE">LAYOUT_m1!$H$15</definedName>
    <definedName name="lay중SIBLING">LAYOUT_m1!$H$13</definedName>
    <definedName name="lay중SIBLING_T">LAYOUT_m1!$H$14</definedName>
    <definedName name="lay중SURVEY1">LAYOUT_m1!$H$16</definedName>
    <definedName name="lay중SURVEY2">LAYOUT_m1!$H$17</definedName>
    <definedName name="lay중YACT1A01">LAYOUT_m1!$H$277</definedName>
    <definedName name="lay중YACT1A02">LAYOUT_m1!$H$278</definedName>
    <definedName name="lay중YACT1A03">LAYOUT_m1!$H$279</definedName>
    <definedName name="lay중YACT1A04">LAYOUT_m1!$H$280</definedName>
    <definedName name="lay중YACT1A05">LAYOUT_m1!$H$281</definedName>
    <definedName name="lay중YACT1A06">LAYOUT_m1!$H$282</definedName>
    <definedName name="lay중YACT1A07">LAYOUT_m1!$H$283</definedName>
    <definedName name="lay중YACT1A08">LAYOUT_m1!$H$284</definedName>
    <definedName name="lay중YACT1A09">LAYOUT_m1!$H$285</definedName>
    <definedName name="lay중YACT1B01">LAYOUT_m1!$H$286</definedName>
    <definedName name="lay중YACT1B02">LAYOUT_m1!$H$287</definedName>
    <definedName name="lay중YACT1B03">LAYOUT_m1!$H$288</definedName>
    <definedName name="lay중YACT1B04">LAYOUT_m1!$H$289</definedName>
    <definedName name="lay중YACT1B05">LAYOUT_m1!$H$290</definedName>
    <definedName name="lay중YACT1B06">LAYOUT_m1!$H$291</definedName>
    <definedName name="lay중YACT1B07">LAYOUT_m1!$H$292</definedName>
    <definedName name="lay중YACT1B08">LAYOUT_m1!$H$293</definedName>
    <definedName name="lay중YACT1B09">LAYOUT_m1!$H$294</definedName>
    <definedName name="lay중YACT2A01">LAYOUT_m1!$H$295</definedName>
    <definedName name="lay중YACT2A02">LAYOUT_m1!$H$296</definedName>
    <definedName name="lay중YACT2B01">LAYOUT_m1!$H$297</definedName>
    <definedName name="lay중YACT2B02">LAYOUT_m1!$H$298</definedName>
    <definedName name="lay중YACT3A00">LAYOUT_m1!$H$299</definedName>
    <definedName name="lay중YACT3B01">LAYOUT_m1!$H$300</definedName>
    <definedName name="lay중YACT3B02">LAYOUT_m1!$H$301</definedName>
    <definedName name="lay중YACT3B03">LAYOUT_m1!$H$302</definedName>
    <definedName name="lay중YACT3B04">LAYOUT_m1!$H$303</definedName>
    <definedName name="lay중YACT3B05">LAYOUT_m1!$H$304</definedName>
    <definedName name="lay중YACT3B06">LAYOUT_m1!$H$305</definedName>
    <definedName name="lay중YACT3B07">LAYOUT_m1!$H$306</definedName>
    <definedName name="lay중YACT3B08">LAYOUT_m1!$H$307</definedName>
    <definedName name="lay중YACT3B09">LAYOUT_m1!$H$308</definedName>
    <definedName name="lay중YBRT1A">LAYOUT_m1!$H$23</definedName>
    <definedName name="lay중YBRT1B">LAYOUT_m1!$H$24</definedName>
    <definedName name="lay중YDLQ1A01">LAYOUT_m1!$H$211</definedName>
    <definedName name="lay중YDLQ1A02">LAYOUT_m1!$H$212</definedName>
    <definedName name="lay중YDLQ1A03">LAYOUT_m1!$H$213</definedName>
    <definedName name="lay중YDLQ1A04">LAYOUT_m1!$H$214</definedName>
    <definedName name="lay중YDLQ1A05">LAYOUT_m1!$H$215</definedName>
    <definedName name="lay중YDLQ1A06">LAYOUT_m1!$H$216</definedName>
    <definedName name="lay중YDLQ1A07">LAYOUT_m1!$H$217</definedName>
    <definedName name="lay중YDLQ1A08">LAYOUT_m1!$H$218</definedName>
    <definedName name="lay중YDLQ1A09">LAYOUT_m1!$H$219</definedName>
    <definedName name="lay중YDLQ1A10">LAYOUT_m1!$H$220</definedName>
    <definedName name="lay중YDLQ1A11">LAYOUT_m1!$H$221</definedName>
    <definedName name="lay중YDLQ1A12">LAYOUT_m1!$H$222</definedName>
    <definedName name="lay중YDLQ1A13">LAYOUT_m1!$H$223</definedName>
    <definedName name="lay중YDLQ1A14">LAYOUT_m1!$H$224</definedName>
    <definedName name="lay중YDLQ1A15">LAYOUT_m1!$H$225</definedName>
    <definedName name="lay중YDLQ2A01">LAYOUT_m1!$H$226</definedName>
    <definedName name="lay중YDLQ2A02">LAYOUT_m1!$H$227</definedName>
    <definedName name="lay중YDLQ2A03">LAYOUT_m1!$H$228</definedName>
    <definedName name="lay중YDLQ2A04">LAYOUT_m1!$H$229</definedName>
    <definedName name="lay중YDLQ2A05">LAYOUT_m1!$H$230</definedName>
    <definedName name="lay중YDLQ2A06">LAYOUT_m1!$H$231</definedName>
    <definedName name="lay중YDLQ2A07">LAYOUT_m1!$H$232</definedName>
    <definedName name="lay중YDLQ2A08">LAYOUT_m1!$H$233</definedName>
    <definedName name="lay중YDLQ2A09">LAYOUT_m1!$H$234</definedName>
    <definedName name="lay중YDLQ2A10">LAYOUT_m1!$H$235</definedName>
    <definedName name="lay중YDLQ2A11">LAYOUT_m1!$H$236</definedName>
    <definedName name="lay중YDLQ2A12">LAYOUT_m1!$H$237</definedName>
    <definedName name="lay중YDLQ2A13">LAYOUT_m1!$H$238</definedName>
    <definedName name="lay중YDLQ2A14">LAYOUT_m1!$H$239</definedName>
    <definedName name="lay중YDLQ2A15">LAYOUT_m1!$H$240</definedName>
    <definedName name="lay중YEDU1A00">LAYOUT_m1!$H$309</definedName>
    <definedName name="lay중YEDU2A01">LAYOUT_m1!$H$310</definedName>
    <definedName name="lay중YEDU2A02">LAYOUT_m1!$H$311</definedName>
    <definedName name="lay중YEDU2A03">LAYOUT_m1!$H$312</definedName>
    <definedName name="lay중YEDU2A04">LAYOUT_m1!$H$313</definedName>
    <definedName name="lay중YEDU2A05">LAYOUT_m1!$H$314</definedName>
    <definedName name="lay중YEDU2A06">LAYOUT_m1!$H$315</definedName>
    <definedName name="lay중YEDU2A07">LAYOUT_m1!$H$316</definedName>
    <definedName name="lay중YEDU2A08">LAYOUT_m1!$H$317</definedName>
    <definedName name="lay중YEDU2A09">LAYOUT_m1!$H$318</definedName>
    <definedName name="lay중YEDU2A10">LAYOUT_m1!$H$319</definedName>
    <definedName name="lay중YEDU2A11">LAYOUT_m1!$H$320</definedName>
    <definedName name="lay중YEDU2A12">LAYOUT_m1!$H$321</definedName>
    <definedName name="lay중YEDU2A13">LAYOUT_m1!$H$322</definedName>
    <definedName name="lay중YEDU3A01">LAYOUT_m1!$H$323</definedName>
    <definedName name="lay중YEDU3A02">LAYOUT_m1!$H$324</definedName>
    <definedName name="lay중YEDU3A03">LAYOUT_m1!$H$325</definedName>
    <definedName name="lay중YEDU3A04">LAYOUT_m1!$H$326</definedName>
    <definedName name="lay중YEDU3A05">LAYOUT_m1!$H$327</definedName>
    <definedName name="lay중YEDU3A06">LAYOUT_m1!$H$328</definedName>
    <definedName name="lay중YEDU3A07">LAYOUT_m1!$H$329</definedName>
    <definedName name="lay중YEDU3A08">LAYOUT_m1!$H$330</definedName>
    <definedName name="lay중YEDU3A09">LAYOUT_m1!$H$331</definedName>
    <definedName name="lay중YEDU3A10">LAYOUT_m1!$H$332</definedName>
    <definedName name="lay중YEDU3A11">LAYOUT_m1!$H$333</definedName>
    <definedName name="lay중YEDU3A12">LAYOUT_m1!$H$334</definedName>
    <definedName name="lay중YEDU3A13">LAYOUT_m1!$H$335</definedName>
    <definedName name="lay중YEDU3A14">LAYOUT_m1!$H$336</definedName>
    <definedName name="lay중YFAM1A01">LAYOUT_m1!$H$337</definedName>
    <definedName name="lay중YFAM1A02">LAYOUT_m1!$H$338</definedName>
    <definedName name="lay중YFAM1A03">LAYOUT_m1!$H$339</definedName>
    <definedName name="lay중YFAM1A04">LAYOUT_m1!$H$340</definedName>
    <definedName name="lay중YFAM1B01">LAYOUT_m1!$H$343</definedName>
    <definedName name="lay중YFAM1B02">LAYOUT_m1!$H$344</definedName>
    <definedName name="lay중YFAM1B03">LAYOUT_m1!$H$345</definedName>
    <definedName name="lay중YFAM1B04">LAYOUT_m1!$H$346</definedName>
    <definedName name="lay중YFAM1C01">LAYOUT_m1!$H$347</definedName>
    <definedName name="lay중YFAM1C02">LAYOUT_m1!$H$348</definedName>
    <definedName name="lay중YFAM1C03">LAYOUT_m1!$H$349</definedName>
    <definedName name="lay중YFAM1C04">LAYOUT_m1!$H$350</definedName>
    <definedName name="lay중YFAM1D01">LAYOUT_m1!$H$351</definedName>
    <definedName name="lay중YFAM1D02">LAYOUT_m1!$H$352</definedName>
    <definedName name="lay중YFAM1D03">LAYOUT_m1!$H$353</definedName>
    <definedName name="lay중YFAM1D04">LAYOUT_m1!$H$354</definedName>
    <definedName name="lay중YFAM1E01">LAYOUT_m1!$H$355</definedName>
    <definedName name="lay중YFAM1E02">LAYOUT_m1!$H$356</definedName>
    <definedName name="lay중YFAM1E03">LAYOUT_m1!$H$357</definedName>
    <definedName name="lay중YFAM1E04">LAYOUT_m1!$H$358</definedName>
    <definedName name="lay중YFAM1F01">LAYOUT_m1!$H$359</definedName>
    <definedName name="lay중YFAM1F02">LAYOUT_m1!$H$360</definedName>
    <definedName name="lay중YFAM1F03">LAYOUT_m1!$H$361</definedName>
    <definedName name="lay중YFAM1F04">LAYOUT_m1!$H$362</definedName>
    <definedName name="lay중YFAM2A01">LAYOUT_m1!$H$363</definedName>
    <definedName name="lay중YFAM2A02">LAYOUT_m1!$H$364</definedName>
    <definedName name="lay중YFAM2A03">LAYOUT_m1!$H$365</definedName>
    <definedName name="lay중YFAM2A04">LAYOUT_m1!$H$366</definedName>
    <definedName name="lay중YFAM2B01">LAYOUT_m1!$H$367</definedName>
    <definedName name="lay중YFAM2B02">LAYOUT_m1!$H$368</definedName>
    <definedName name="lay중YFAM2B03">LAYOUT_m1!$H$369</definedName>
    <definedName name="lay중YFAM2B04">LAYOUT_m1!$H$370</definedName>
    <definedName name="lay중YFAM2C01">LAYOUT_m1!$H$371</definedName>
    <definedName name="lay중YFAM2C02">LAYOUT_m1!$H$372</definedName>
    <definedName name="lay중YFAM2C03">LAYOUT_m1!$H$373</definedName>
    <definedName name="lay중YFAM2C04">LAYOUT_m1!$H$374</definedName>
    <definedName name="lay중YFAM2D01">LAYOUT_m1!$H$375</definedName>
    <definedName name="lay중YFAM2D02">LAYOUT_m1!$H$376</definedName>
    <definedName name="lay중YFAM2D03">LAYOUT_m1!$H$377</definedName>
    <definedName name="lay중YFAM2D04">LAYOUT_m1!$H$378</definedName>
    <definedName name="lay중YFAM2E01">LAYOUT_m1!$H$379</definedName>
    <definedName name="lay중YFAM2E02">LAYOUT_m1!$H$380</definedName>
    <definedName name="lay중YFAM2E03">LAYOUT_m1!$H$381</definedName>
    <definedName name="lay중YFAM2E04">LAYOUT_m1!$H$382</definedName>
    <definedName name="lay중YFAM2F01">LAYOUT_m1!$H$383</definedName>
    <definedName name="lay중YFAM2F02">LAYOUT_m1!$H$384</definedName>
    <definedName name="lay중YFAM2F03">LAYOUT_m1!$H$385</definedName>
    <definedName name="lay중YFAM2F04">LAYOUT_m1!$H$386</definedName>
    <definedName name="lay중YFAM3A00">LAYOUT_m1!$H$341</definedName>
    <definedName name="lay중YFAM3B00">LAYOUT_m1!$H$342</definedName>
    <definedName name="lay중YFUR1A00">LAYOUT_m1!$H$92</definedName>
    <definedName name="lay중YFUR1B00">LAYOUT_m1!$H$93</definedName>
    <definedName name="lay중YFUR2A01">LAYOUT_m1!$H$94</definedName>
    <definedName name="lay중YFUR2A02">LAYOUT_m1!$H$95</definedName>
    <definedName name="lay중YFUR2A03">LAYOUT_m1!$H$96</definedName>
    <definedName name="lay중YFUR2A04">LAYOUT_m1!$H$97</definedName>
    <definedName name="lay중YFUR2A05">LAYOUT_m1!$H$98</definedName>
    <definedName name="lay중YFUR2A06">LAYOUT_m1!$H$99</definedName>
    <definedName name="lay중YFUR2A07">LAYOUT_m1!$H$100</definedName>
    <definedName name="lay중YFUR2A08">LAYOUT_m1!$H$101</definedName>
    <definedName name="lay중YFUR2A08_T">LAYOUT_m1!$H$102</definedName>
    <definedName name="lay중YGENDER">LAYOUT_m1!$H$25</definedName>
    <definedName name="lay중YINT1A00">LAYOUT_m1!$H$58</definedName>
    <definedName name="lay중YINT1B00">LAYOUT_m1!$H$59</definedName>
    <definedName name="lay중YINT2A01">LAYOUT_m1!$H$60</definedName>
    <definedName name="lay중YINT2A02">LAYOUT_m1!$H$61</definedName>
    <definedName name="lay중YINT2A03">LAYOUT_m1!$H$62</definedName>
    <definedName name="lay중YINT2A04">LAYOUT_m1!$H$63</definedName>
    <definedName name="lay중YINT2A05">LAYOUT_m1!$H$64</definedName>
    <definedName name="lay중YINT2A06">LAYOUT_m1!$H$65</definedName>
    <definedName name="lay중YINT2A07">LAYOUT_m1!$H$66</definedName>
    <definedName name="lay중YINT2A08">LAYOUT_m1!$H$67</definedName>
    <definedName name="lay중YINT2A09">LAYOUT_m1!$H$68</definedName>
    <definedName name="lay중YINT2A10">LAYOUT_m1!$H$69</definedName>
    <definedName name="lay중YINT2A11">LAYOUT_m1!$H$70</definedName>
    <definedName name="lay중YINT2A12">LAYOUT_m1!$H$71</definedName>
    <definedName name="lay중YINT2A13">LAYOUT_m1!$H$72</definedName>
    <definedName name="lay중YINT2A14">LAYOUT_m1!$H$73</definedName>
    <definedName name="lay중YINT2A15">LAYOUT_m1!$H$74</definedName>
    <definedName name="lay중YINT2A16">LAYOUT_m1!$H$75</definedName>
    <definedName name="lay중YINT2B01">LAYOUT_m1!$H$76</definedName>
    <definedName name="lay중YINT2B02">LAYOUT_m1!$H$77</definedName>
    <definedName name="lay중YINT2B03">LAYOUT_m1!$H$78</definedName>
    <definedName name="lay중YINT2B04">LAYOUT_m1!$H$79</definedName>
    <definedName name="lay중YINT2B05">LAYOUT_m1!$H$80</definedName>
    <definedName name="lay중YINT2B06">LAYOUT_m1!$H$81</definedName>
    <definedName name="lay중YINT2B07">LAYOUT_m1!$H$82</definedName>
    <definedName name="lay중YINT2B08">LAYOUT_m1!$H$83</definedName>
    <definedName name="lay중YINT2B09">LAYOUT_m1!$H$84</definedName>
    <definedName name="lay중YINT2B10">LAYOUT_m1!$H$85</definedName>
    <definedName name="lay중YINT2B11">LAYOUT_m1!$H$86</definedName>
    <definedName name="lay중YINT2B12">LAYOUT_m1!$H$87</definedName>
    <definedName name="lay중YINT2B13">LAYOUT_m1!$H$88</definedName>
    <definedName name="lay중YINT2B14">LAYOUT_m1!$H$89</definedName>
    <definedName name="lay중YINT2B15">LAYOUT_m1!$H$90</definedName>
    <definedName name="lay중YINT2B16">LAYOUT_m1!$H$91</definedName>
    <definedName name="lay중YMDA1A00">LAYOUT_m1!$H$247</definedName>
    <definedName name="lay중YMDA1B01">LAYOUT_m1!$H$248</definedName>
    <definedName name="lay중YMDA1B02">LAYOUT_m1!$H$249</definedName>
    <definedName name="lay중YMDA1B03">LAYOUT_m1!$H$250</definedName>
    <definedName name="lay중YMDA1B04">LAYOUT_m1!$H$251</definedName>
    <definedName name="lay중YMDA1B05">LAYOUT_m1!$H$252</definedName>
    <definedName name="lay중YMDA1B06">LAYOUT_m1!$H$253</definedName>
    <definedName name="lay중YMDA1B07">LAYOUT_m1!$H$254</definedName>
    <definedName name="lay중YMDA1B08">LAYOUT_m1!$H$255</definedName>
    <definedName name="lay중YMDA1B09">LAYOUT_m1!$H$256</definedName>
    <definedName name="lay중YMDA1B10">LAYOUT_m1!$H$257</definedName>
    <definedName name="lay중YMDA1B11">LAYOUT_m1!$H$258</definedName>
    <definedName name="lay중YMDA1B12">LAYOUT_m1!$H$259</definedName>
    <definedName name="lay중YMDA1B13">LAYOUT_m1!$H$260</definedName>
    <definedName name="lay중YMDA1B13_T">LAYOUT_m1!$H$261</definedName>
    <definedName name="lay중YMDA1C01">LAYOUT_m1!$H$262</definedName>
    <definedName name="lay중YMDA1C02">LAYOUT_m1!$H$263</definedName>
    <definedName name="lay중YMDA1C03">LAYOUT_m1!$H$264</definedName>
    <definedName name="lay중YMDA1C04">LAYOUT_m1!$H$265</definedName>
    <definedName name="lay중YMDA1C05">LAYOUT_m1!$H$266</definedName>
    <definedName name="lay중YMDA1C06">LAYOUT_m1!$H$267</definedName>
    <definedName name="lay중YMDA1C07">LAYOUT_m1!$H$268</definedName>
    <definedName name="lay중YMDA1C08">LAYOUT_m1!$H$269</definedName>
    <definedName name="lay중YMDA1C09">LAYOUT_m1!$H$270</definedName>
    <definedName name="lay중YMDA1C10">LAYOUT_m1!$H$271</definedName>
    <definedName name="lay중YMDA1C11">LAYOUT_m1!$H$272</definedName>
    <definedName name="lay중YMDA1C12">LAYOUT_m1!$H$273</definedName>
    <definedName name="lay중YMDA1C13">LAYOUT_m1!$H$274</definedName>
    <definedName name="lay중YMDA1C14">LAYOUT_m1!$H$275</definedName>
    <definedName name="lay중YMDA1C15">LAYOUT_m1!$H$276</definedName>
    <definedName name="lay중YPHY1A00">LAYOUT_m1!$H$241</definedName>
    <definedName name="lay중YPHY1B00">LAYOUT_m1!$H$242</definedName>
    <definedName name="lay중YPHY1C00">LAYOUT_m1!$H$243</definedName>
    <definedName name="lay중YPHY2A00">LAYOUT_m1!$H$244</definedName>
    <definedName name="lay중YPHY2B00">LAYOUT_m1!$H$245</definedName>
    <definedName name="lay중YPHY2C00">LAYOUT_m1!$H$246</definedName>
    <definedName name="lay중YPSY1A01">LAYOUT_m1!$H$103</definedName>
    <definedName name="lay중YPSY1A02">LAYOUT_m1!$H$104</definedName>
    <definedName name="lay중YPSY1A03">LAYOUT_m1!$H$105</definedName>
    <definedName name="lay중YPSY1A04">LAYOUT_m1!$H$106</definedName>
    <definedName name="lay중YPSY1A05">LAYOUT_m1!$H$107</definedName>
    <definedName name="lay중YPSY2A01">LAYOUT_m1!$H$108</definedName>
    <definedName name="lay중YPSY2A02">LAYOUT_m1!$H$109</definedName>
    <definedName name="lay중YPSY2A03">LAYOUT_m1!$H$110</definedName>
    <definedName name="lay중YPSY2A04">LAYOUT_m1!$H$111</definedName>
    <definedName name="lay중YPSY3A01">LAYOUT_m1!$H$112</definedName>
    <definedName name="lay중YPSY3A02">LAYOUT_m1!$H$113</definedName>
    <definedName name="lay중YPSY3A03">LAYOUT_m1!$H$114</definedName>
    <definedName name="lay중YPSY3A04">LAYOUT_m1!$H$115</definedName>
    <definedName name="lay중YPSY3A05">LAYOUT_m1!$H$116</definedName>
    <definedName name="lay중YPSY3A06">LAYOUT_m1!$H$117</definedName>
    <definedName name="lay중YPSY3A07">LAYOUT_m1!$H$118</definedName>
    <definedName name="lay중YPSY3A08">LAYOUT_m1!$H$119</definedName>
    <definedName name="lay중YPSY3A09">LAYOUT_m1!$H$120</definedName>
    <definedName name="lay중YPSY3A10">LAYOUT_m1!$H$121</definedName>
    <definedName name="lay중YPSY4A01">LAYOUT_m1!$H$122</definedName>
    <definedName name="lay중YPSY4A02">LAYOUT_m1!$H$123</definedName>
    <definedName name="lay중YPSY4A03">LAYOUT_m1!$H$124</definedName>
    <definedName name="lay중YPSY4A04">LAYOUT_m1!$H$125</definedName>
    <definedName name="lay중YPSY4A05">LAYOUT_m1!$H$126</definedName>
    <definedName name="lay중YPSY4A06">LAYOUT_m1!$H$127</definedName>
    <definedName name="lay중YPSY4A07">LAYOUT_m1!$H$128</definedName>
    <definedName name="lay중YPSY4B01">LAYOUT_m1!$H$129</definedName>
    <definedName name="lay중YPSY4B02">LAYOUT_m1!$H$130</definedName>
    <definedName name="lay중YPSY4B03">LAYOUT_m1!$H$131</definedName>
    <definedName name="lay중YPSY4B04">LAYOUT_m1!$H$132</definedName>
    <definedName name="lay중YPSY4B05">LAYOUT_m1!$H$133</definedName>
    <definedName name="lay중YPSY4B06">LAYOUT_m1!$H$134</definedName>
    <definedName name="lay중YPSY4C01">LAYOUT_m1!$H$135</definedName>
    <definedName name="lay중YPSY4C02">LAYOUT_m1!$H$136</definedName>
    <definedName name="lay중YPSY4C03">LAYOUT_m1!$H$137</definedName>
    <definedName name="lay중YPSY4C04">LAYOUT_m1!$H$138</definedName>
    <definedName name="lay중YPSY4C05">LAYOUT_m1!$H$139</definedName>
    <definedName name="lay중YPSY4C06">LAYOUT_m1!$H$140</definedName>
    <definedName name="lay중YPSY4C07">LAYOUT_m1!$H$141</definedName>
    <definedName name="lay중YPSY4C08">LAYOUT_m1!$H$142</definedName>
    <definedName name="lay중YPSY4D01">LAYOUT_m1!$H$143</definedName>
    <definedName name="lay중YPSY4D02">LAYOUT_m1!$H$144</definedName>
    <definedName name="lay중YPSY4D03">LAYOUT_m1!$H$145</definedName>
    <definedName name="lay중YPSY4D04">LAYOUT_m1!$H$146</definedName>
    <definedName name="lay중YPSY4D05">LAYOUT_m1!$H$147</definedName>
    <definedName name="lay중YPSY4E01">LAYOUT_m1!$H$148</definedName>
    <definedName name="lay중YPSY4E02">LAYOUT_m1!$H$149</definedName>
    <definedName name="lay중YPSY4E03">LAYOUT_m1!$H$150</definedName>
    <definedName name="lay중YPSY4E04">LAYOUT_m1!$H$151</definedName>
    <definedName name="lay중YPSY4E05">LAYOUT_m1!$H$152</definedName>
    <definedName name="lay중YPSY4E06">LAYOUT_m1!$H$153</definedName>
    <definedName name="lay중YPSY4E07">LAYOUT_m1!$H$154</definedName>
    <definedName name="lay중YPSY4E08">LAYOUT_m1!$H$155</definedName>
    <definedName name="lay중YPSY4E09">LAYOUT_m1!$H$156</definedName>
    <definedName name="lay중YPSY4E10">LAYOUT_m1!$H$157</definedName>
    <definedName name="lay중YPSY5A01">LAYOUT_m1!$H$158</definedName>
    <definedName name="lay중YPSY5A02">LAYOUT_m1!$H$159</definedName>
    <definedName name="lay중YPSY5A03">LAYOUT_m1!$H$160</definedName>
    <definedName name="lay중YPSY5A04">LAYOUT_m1!$H$161</definedName>
    <definedName name="lay중YPSY5A05">LAYOUT_m1!$H$162</definedName>
    <definedName name="lay중YPSY5A06">LAYOUT_m1!$H$163</definedName>
    <definedName name="lay중YPSY5A07">LAYOUT_m1!$H$164</definedName>
    <definedName name="lay중YPSY5A08">LAYOUT_m1!$H$165</definedName>
    <definedName name="lay중YPSY5A09">LAYOUT_m1!$H$166</definedName>
    <definedName name="lay중YPSY5A10">LAYOUT_m1!$H$167</definedName>
    <definedName name="lay중YPSY5A11">LAYOUT_m1!$H$168</definedName>
    <definedName name="lay중YPSY5A12">LAYOUT_m1!$H$169</definedName>
    <definedName name="lay중YPSY5A13">LAYOUT_m1!$H$170</definedName>
    <definedName name="lay중YPSY5A14">LAYOUT_m1!$H$171</definedName>
    <definedName name="lay중YPSY6A01">LAYOUT_m1!$H$172</definedName>
    <definedName name="lay중YPSY6A02">LAYOUT_m1!$H$173</definedName>
    <definedName name="lay중YPSY6A03">LAYOUT_m1!$H$174</definedName>
    <definedName name="lay중YPSY6A04">LAYOUT_m1!$H$175</definedName>
    <definedName name="lay중YPSY6A05">LAYOUT_m1!$H$176</definedName>
    <definedName name="lay중YPSY6A06">LAYOUT_m1!$H$177</definedName>
    <definedName name="lay중YPSY6A07">LAYOUT_m1!$H$178</definedName>
    <definedName name="lay중YPSY6A08">LAYOUT_m1!$H$179</definedName>
    <definedName name="lay중YPSY6A09">LAYOUT_m1!$H$180</definedName>
    <definedName name="lay중YPSY6A10">LAYOUT_m1!$H$181</definedName>
    <definedName name="lay중YPSY6A11">LAYOUT_m1!$H$182</definedName>
    <definedName name="lay중YPSY6A12">LAYOUT_m1!$H$183</definedName>
    <definedName name="lay중YPSY6A13">LAYOUT_m1!$H$184</definedName>
    <definedName name="lay중YPSY6A14">LAYOUT_m1!$H$185</definedName>
    <definedName name="lay중YPSY6A15">LAYOUT_m1!$H$186</definedName>
    <definedName name="lay중YPSY6A16">LAYOUT_m1!$H$187</definedName>
    <definedName name="lay중YPSY6A17">LAYOUT_m1!$H$188</definedName>
    <definedName name="lay중YPSY6A18">LAYOUT_m1!$H$189</definedName>
    <definedName name="lay중YPSY6A19">LAYOUT_m1!$H$190</definedName>
    <definedName name="lay중YPSY6A20">LAYOUT_m1!$H$191</definedName>
    <definedName name="lay중YPSY6A21">LAYOUT_m1!$H$192</definedName>
    <definedName name="lay중YPSY6A22">LAYOUT_m1!$H$193</definedName>
    <definedName name="lay중YPSY6A23">LAYOUT_m1!$H$194</definedName>
    <definedName name="lay중YPSY6A24">LAYOUT_m1!$H$195</definedName>
    <definedName name="lay중YPSY6A25">LAYOUT_m1!$H$196</definedName>
    <definedName name="lay중YPSY6A26">LAYOUT_m1!$H$197</definedName>
    <definedName name="lay중YPSY6A27">LAYOUT_m1!$H$198</definedName>
    <definedName name="lay중YPSY6A28">LAYOUT_m1!$H$199</definedName>
    <definedName name="lay중YPSY6A29">LAYOUT_m1!$H$200</definedName>
    <definedName name="lay중YPSY6A30">LAYOUT_m1!$H$201</definedName>
    <definedName name="lay중YPSY6Asc">LAYOUT_m1!$H$202</definedName>
    <definedName name="lay중YPSY7A01">LAYOUT_m1!$H$203</definedName>
    <definedName name="lay중YPSY7A02">LAYOUT_m1!$H$204</definedName>
    <definedName name="lay중YPSY7A03">LAYOUT_m1!$H$205</definedName>
    <definedName name="lay중YPSY7A04">LAYOUT_m1!$H$206</definedName>
    <definedName name="lay중YPSY7A05">LAYOUT_m1!$H$207</definedName>
    <definedName name="lay중YPSY7A06">LAYOUT_m1!$H$208</definedName>
    <definedName name="lay중YPSY7A07">LAYOUT_m1!$H$209</definedName>
    <definedName name="lay중YPSY7A08">LAYOUT_m1!$H$210</definedName>
    <definedName name="lay중YTIM1A01">LAYOUT_m1!$H$26</definedName>
    <definedName name="lay중YTIM1A02">LAYOUT_m1!$H$27</definedName>
    <definedName name="lay중YTIM1A03">LAYOUT_m1!$H$31</definedName>
    <definedName name="lay중YTIM1A04">LAYOUT_m1!$H$32</definedName>
    <definedName name="lay중YTIM1B01">LAYOUT_m1!$H$28</definedName>
    <definedName name="lay중YTIM1B02">LAYOUT_m1!$H$29</definedName>
    <definedName name="lay중YTIM1B03">LAYOUT_m1!$H$33</definedName>
    <definedName name="lay중YTIM1B04">LAYOUT_m1!$H$34</definedName>
    <definedName name="lay중YTIM1C01">LAYOUT_m1!$H$30</definedName>
    <definedName name="lay중YTIM1C02">LAYOUT_m1!$H$35</definedName>
    <definedName name="lay중YTIM1D01">LAYOUT_m1!$H$36</definedName>
    <definedName name="lay중YTIM1D02">LAYOUT_m1!$H$37</definedName>
    <definedName name="lay중YTIM1E01">LAYOUT_m1!$H$38</definedName>
    <definedName name="lay중YTIM1E02">LAYOUT_m1!$H$39</definedName>
    <definedName name="lay중YTIM1F01">LAYOUT_m1!$H$40</definedName>
    <definedName name="lay중YTIM1F02">LAYOUT_m1!$H$41</definedName>
    <definedName name="lay중YTIM1G01">LAYOUT_m1!$H$42</definedName>
    <definedName name="lay중YTIM1G02">LAYOUT_m1!$H$43</definedName>
    <definedName name="lay중YTIM1H01">LAYOUT_m1!$H$44</definedName>
    <definedName name="lay중YTIM1H02">LAYOUT_m1!$H$45</definedName>
    <definedName name="lay중YTIM1I01">LAYOUT_m1!$H$46</definedName>
    <definedName name="lay중YTIM1I02">LAYOUT_m1!$H$47</definedName>
    <definedName name="lay중YTIM1J01">LAYOUT_m1!$H$48</definedName>
    <definedName name="lay중YTIM1J02">LAYOUT_m1!$H$49</definedName>
    <definedName name="lay중YTIM1K01">LAYOUT_m1!$H$50</definedName>
    <definedName name="lay중YTIM1K02">LAYOUT_m1!$H$51</definedName>
    <definedName name="lay중YTIM1L01">LAYOUT_m1!$H$52</definedName>
    <definedName name="lay중YTIM1L02">LAYOUT_m1!$H$53</definedName>
    <definedName name="lay중YTIM1M01">LAYOUT_m1!$H$54</definedName>
    <definedName name="lay중YTIM1M02">LAYOUT_m1!$H$55</definedName>
    <definedName name="lay중YTIM1N01">LAYOUT_m1!$H$56</definedName>
    <definedName name="lay중YTIM1N02">LAYOUT_m1!$H$57</definedName>
    <definedName name="lay중YTWIN">LAYOUT_m1!$H$22</definedName>
    <definedName name="lay초ARA1A">LAYOUT_e4!$H$19</definedName>
    <definedName name="lay초ARA1B">LAYOUT_e4!$H$21</definedName>
    <definedName name="lay초ARA2A">LAYOUT_e4!$H$20</definedName>
    <definedName name="lay초COHORT">LAYOUT_e4!$H$18</definedName>
    <definedName name="lay초SGRADE">LAYOUT_e4!$H$15</definedName>
    <definedName name="lay초SIBLING">LAYOUT_e4!$H$13</definedName>
    <definedName name="lay초SIBLING_T">LAYOUT_e4!$H$14</definedName>
    <definedName name="lay초SURVEY1">LAYOUT_e4!$H$16</definedName>
    <definedName name="lay초SURVEY2">LAYOUT_e4!$H$17</definedName>
    <definedName name="lay초YBRT1A">LAYOUT_e4!$H$23</definedName>
    <definedName name="lay초YBRT1B">LAYOUT_e4!$H$24</definedName>
    <definedName name="lay초YEDU1A00">LAYOUT_e4!$H$197</definedName>
    <definedName name="lay초YEDU2A01">LAYOUT_e4!$H$198</definedName>
    <definedName name="lay초YEDU2A02">LAYOUT_e4!$H$199</definedName>
    <definedName name="lay초YEDU2A03">LAYOUT_e4!$H$200</definedName>
    <definedName name="lay초YEDU2A04">LAYOUT_e4!$H$201</definedName>
    <definedName name="lay초YEDU2A05">LAYOUT_e4!$H$202</definedName>
    <definedName name="lay초YEDU2A06">LAYOUT_e4!$H$203</definedName>
    <definedName name="lay초YEDU2A07">LAYOUT_e4!$H$204</definedName>
    <definedName name="lay초YEDU2A08">LAYOUT_e4!$H$205</definedName>
    <definedName name="lay초YEDU2A09">LAYOUT_e4!$H$206</definedName>
    <definedName name="lay초YEDU2A10">LAYOUT_e4!$H$207</definedName>
    <definedName name="lay초YEDU2A11">LAYOUT_e4!$H$208</definedName>
    <definedName name="lay초YEDU2A12">LAYOUT_e4!$H$209</definedName>
    <definedName name="lay초YEDU2A13">LAYOUT_e4!$H$210</definedName>
    <definedName name="lay초YEDU3A01">LAYOUT_e4!$H$211</definedName>
    <definedName name="lay초YEDU3A02">LAYOUT_e4!$H$212</definedName>
    <definedName name="lay초YEDU3A03">LAYOUT_e4!$H$213</definedName>
    <definedName name="lay초YEDU3A04">LAYOUT_e4!$H$214</definedName>
    <definedName name="lay초YEDU3A05">LAYOUT_e4!$H$215</definedName>
    <definedName name="lay초YEDU3A06">LAYOUT_e4!$H$216</definedName>
    <definedName name="lay초YEDU3A07">LAYOUT_e4!$H$217</definedName>
    <definedName name="lay초YEDU3A08">LAYOUT_e4!$H$218</definedName>
    <definedName name="lay초YEDU3A09">LAYOUT_e4!$H$219</definedName>
    <definedName name="lay초YEDU3A10">LAYOUT_e4!$H$220</definedName>
    <definedName name="lay초YEDU3A11">LAYOUT_e4!$H$221</definedName>
    <definedName name="lay초YEDU3A12">LAYOUT_e4!$H$222</definedName>
    <definedName name="lay초YEDU3A13">LAYOUT_e4!$H$223</definedName>
    <definedName name="lay초YEDU3A14">LAYOUT_e4!$H$224</definedName>
    <definedName name="lay초YFAM1A01">LAYOUT_e4!$H$225</definedName>
    <definedName name="lay초YFAM1A02">LAYOUT_e4!$H$226</definedName>
    <definedName name="lay초YFAM1A03">LAYOUT_e4!$H$227</definedName>
    <definedName name="lay초YFAM1A04">LAYOUT_e4!$H$228</definedName>
    <definedName name="lay초YFAM1B01">LAYOUT_e4!$H$231</definedName>
    <definedName name="lay초YFAM1B02">LAYOUT_e4!$H$232</definedName>
    <definedName name="lay초YFAM1B03">LAYOUT_e4!$H$233</definedName>
    <definedName name="lay초YFAM1B04">LAYOUT_e4!$H$234</definedName>
    <definedName name="lay초YFAM1C01">LAYOUT_e4!$H$235</definedName>
    <definedName name="lay초YFAM1C02">LAYOUT_e4!$H$236</definedName>
    <definedName name="lay초YFAM1C03">LAYOUT_e4!$H$237</definedName>
    <definedName name="lay초YFAM1C04">LAYOUT_e4!$H$238</definedName>
    <definedName name="lay초YFAM1D01">LAYOUT_e4!$H$239</definedName>
    <definedName name="lay초YFAM1D02">LAYOUT_e4!$H$240</definedName>
    <definedName name="lay초YFAM1D03">LAYOUT_e4!$H$241</definedName>
    <definedName name="lay초YFAM1D04">LAYOUT_e4!$H$242</definedName>
    <definedName name="lay초YFAM1E01">LAYOUT_e4!$H$243</definedName>
    <definedName name="lay초YFAM1E02">LAYOUT_e4!$H$244</definedName>
    <definedName name="lay초YFAM1E03">LAYOUT_e4!$H$245</definedName>
    <definedName name="lay초YFAM1E04">LAYOUT_e4!$H$246</definedName>
    <definedName name="lay초YFAM1F01">LAYOUT_e4!$H$247</definedName>
    <definedName name="lay초YFAM1F02">LAYOUT_e4!$H$248</definedName>
    <definedName name="lay초YFAM1F03">LAYOUT_e4!$H$249</definedName>
    <definedName name="lay초YFAM1F04">LAYOUT_e4!$H$250</definedName>
    <definedName name="lay초YFAM2A01">LAYOUT_e4!$H$251</definedName>
    <definedName name="lay초YFAM2A02">LAYOUT_e4!$H$252</definedName>
    <definedName name="lay초YFAM2A03">LAYOUT_e4!$H$253</definedName>
    <definedName name="lay초YFAM2A04">LAYOUT_e4!$H$254</definedName>
    <definedName name="lay초YFAM2B01">LAYOUT_e4!$H$255</definedName>
    <definedName name="lay초YFAM2B02">LAYOUT_e4!$H$256</definedName>
    <definedName name="lay초YFAM2B03">LAYOUT_e4!$H$257</definedName>
    <definedName name="lay초YFAM2B04">LAYOUT_e4!$H$258</definedName>
    <definedName name="lay초YFAM2C01">LAYOUT_e4!$H$259</definedName>
    <definedName name="lay초YFAM2C02">LAYOUT_e4!$H$260</definedName>
    <definedName name="lay초YFAM2C03">LAYOUT_e4!$H$261</definedName>
    <definedName name="lay초YFAM2C04">LAYOUT_e4!$H$262</definedName>
    <definedName name="lay초YFAM2D01">LAYOUT_e4!$H$263</definedName>
    <definedName name="lay초YFAM2D02">LAYOUT_e4!$H$264</definedName>
    <definedName name="lay초YFAM2D03">LAYOUT_e4!$H$265</definedName>
    <definedName name="lay초YFAM2D04">LAYOUT_e4!$H$266</definedName>
    <definedName name="lay초YFAM2E01">LAYOUT_e4!$H$267</definedName>
    <definedName name="lay초YFAM2E02">LAYOUT_e4!$H$268</definedName>
    <definedName name="lay초YFAM2E03">LAYOUT_e4!$H$269</definedName>
    <definedName name="lay초YFAM2E04">LAYOUT_e4!$H$270</definedName>
    <definedName name="lay초YFAM2F01">LAYOUT_e4!$H$271</definedName>
    <definedName name="lay초YFAM2F02">LAYOUT_e4!$H$272</definedName>
    <definedName name="lay초YFAM2F03">LAYOUT_e4!$H$273</definedName>
    <definedName name="lay초YFAM2F04">LAYOUT_e4!$H$274</definedName>
    <definedName name="lay초YFAM3A00">LAYOUT_e4!$H$229</definedName>
    <definedName name="lay초YFAM3B00">LAYOUT_e4!$H$230</definedName>
    <definedName name="lay초YFUR2A01">LAYOUT_e4!$H$76</definedName>
    <definedName name="lay초YFUR2A02">LAYOUT_e4!$H$77</definedName>
    <definedName name="lay초YFUR2A03">LAYOUT_e4!$H$78</definedName>
    <definedName name="lay초YFUR2A04">LAYOUT_e4!$H$79</definedName>
    <definedName name="lay초YFUR2A05">LAYOUT_e4!$H$80</definedName>
    <definedName name="lay초YFUR2A06">LAYOUT_e4!$H$81</definedName>
    <definedName name="lay초YFUR2A07">LAYOUT_e4!$H$82</definedName>
    <definedName name="lay초YFUR2A08">LAYOUT_e4!$H$83</definedName>
    <definedName name="lay초YFUR2A08_T">LAYOUT_e4!$H$84</definedName>
    <definedName name="lay초YGENDER">LAYOUT_e4!$H$25</definedName>
    <definedName name="lay초YINT1A00">LAYOUT_e4!$H$58</definedName>
    <definedName name="lay초YINT1B00">LAYOUT_e4!$H$59</definedName>
    <definedName name="lay초YINT2A01">LAYOUT_e4!$H$60</definedName>
    <definedName name="lay초YINT2A02">LAYOUT_e4!$H$61</definedName>
    <definedName name="lay초YINT2A03">LAYOUT_e4!$H$62</definedName>
    <definedName name="lay초YINT2A04">LAYOUT_e4!$H$63</definedName>
    <definedName name="lay초YINT2A05">LAYOUT_e4!$H$64</definedName>
    <definedName name="lay초YINT2A06">LAYOUT_e4!$H$65</definedName>
    <definedName name="lay초YINT2A07">LAYOUT_e4!$H$66</definedName>
    <definedName name="lay초YINT2A08">LAYOUT_e4!$H$67</definedName>
    <definedName name="lay초YINT2A09">LAYOUT_e4!$H$68</definedName>
    <definedName name="lay초YINT2A10">LAYOUT_e4!$H$69</definedName>
    <definedName name="lay초YINT2A11">LAYOUT_e4!$H$70</definedName>
    <definedName name="lay초YINT2A12">LAYOUT_e4!$H$71</definedName>
    <definedName name="lay초YINT2A13">LAYOUT_e4!$H$72</definedName>
    <definedName name="lay초YINT2A14">LAYOUT_e4!$H$73</definedName>
    <definedName name="lay초YINT2A15">LAYOUT_e4!$H$74</definedName>
    <definedName name="lay초YINT2A16">LAYOUT_e4!$H$75</definedName>
    <definedName name="lay초YMDA1A00">LAYOUT_e4!$H$167</definedName>
    <definedName name="lay초YMDA1B01">LAYOUT_e4!$H$168</definedName>
    <definedName name="lay초YMDA1B02">LAYOUT_e4!$H$169</definedName>
    <definedName name="lay초YMDA1B03">LAYOUT_e4!$H$170</definedName>
    <definedName name="lay초YMDA1B04">LAYOUT_e4!$H$171</definedName>
    <definedName name="lay초YMDA1B05">LAYOUT_e4!$H$172</definedName>
    <definedName name="lay초YMDA1B06">LAYOUT_e4!$H$173</definedName>
    <definedName name="lay초YMDA1B07">LAYOUT_e4!$H$174</definedName>
    <definedName name="lay초YMDA1B08">LAYOUT_e4!$H$175</definedName>
    <definedName name="lay초YMDA1B09">LAYOUT_e4!$H$176</definedName>
    <definedName name="lay초YMDA1B10">LAYOUT_e4!$H$177</definedName>
    <definedName name="lay초YMDA1B11">LAYOUT_e4!$H$178</definedName>
    <definedName name="lay초YMDA1B12">LAYOUT_e4!$H$179</definedName>
    <definedName name="lay초YMDA1B13">LAYOUT_e4!$H$180</definedName>
    <definedName name="lay초YMDA1B13_T">LAYOUT_e4!$H$181</definedName>
    <definedName name="lay초YMDA1C01">LAYOUT_e4!$H$182</definedName>
    <definedName name="lay초YMDA1C02">LAYOUT_e4!$H$183</definedName>
    <definedName name="lay초YMDA1C03">LAYOUT_e4!$H$184</definedName>
    <definedName name="lay초YMDA1C04">LAYOUT_e4!$H$185</definedName>
    <definedName name="lay초YMDA1C05">LAYOUT_e4!$H$186</definedName>
    <definedName name="lay초YMDA1C06">LAYOUT_e4!$H$187</definedName>
    <definedName name="lay초YMDA1C07">LAYOUT_e4!$H$188</definedName>
    <definedName name="lay초YMDA1C08">LAYOUT_e4!$H$189</definedName>
    <definedName name="lay초YMDA1C09">LAYOUT_e4!$H$190</definedName>
    <definedName name="lay초YMDA1C10">LAYOUT_e4!$H$191</definedName>
    <definedName name="lay초YMDA1C11">LAYOUT_e4!$H$192</definedName>
    <definedName name="lay초YMDA1C12">LAYOUT_e4!$H$193</definedName>
    <definedName name="lay초YMDA1C13">LAYOUT_e4!$H$194</definedName>
    <definedName name="lay초YMDA1C14">LAYOUT_e4!$H$195</definedName>
    <definedName name="lay초YMDA1C15">LAYOUT_e4!$H$196</definedName>
    <definedName name="lay초YPHY1A00">LAYOUT_e4!$H$162</definedName>
    <definedName name="lay초YPHY1B00">LAYOUT_e4!$H$163</definedName>
    <definedName name="lay초YPHY1C00">LAYOUT_e4!$H$164</definedName>
    <definedName name="lay초YPHY2A00">LAYOUT_e4!$H$165</definedName>
    <definedName name="lay초YPHY2B00">LAYOUT_e4!$H$166</definedName>
    <definedName name="lay초YPSY1A01">LAYOUT_e4!$H$85</definedName>
    <definedName name="lay초YPSY1A02">LAYOUT_e4!$H$86</definedName>
    <definedName name="lay초YPSY1A03">LAYOUT_e4!$H$87</definedName>
    <definedName name="lay초YPSY1A04">LAYOUT_e4!$H$88</definedName>
    <definedName name="lay초YPSY1A05">LAYOUT_e4!$H$89</definedName>
    <definedName name="lay초YPSY2A01">LAYOUT_e4!$H$90</definedName>
    <definedName name="lay초YPSY2A02">LAYOUT_e4!$H$91</definedName>
    <definedName name="lay초YPSY2A03">LAYOUT_e4!$H$92</definedName>
    <definedName name="lay초YPSY2A04">LAYOUT_e4!$H$93</definedName>
    <definedName name="lay초YPSY3A01">LAYOUT_e4!$H$94</definedName>
    <definedName name="lay초YPSY3A02">LAYOUT_e4!$H$95</definedName>
    <definedName name="lay초YPSY3A03">LAYOUT_e4!$H$96</definedName>
    <definedName name="lay초YPSY3A04">LAYOUT_e4!$H$97</definedName>
    <definedName name="lay초YPSY3A05">LAYOUT_e4!$H$98</definedName>
    <definedName name="lay초YPSY3A06">LAYOUT_e4!$H$99</definedName>
    <definedName name="lay초YPSY3A07">LAYOUT_e4!$H$100</definedName>
    <definedName name="lay초YPSY3A08">LAYOUT_e4!$H$101</definedName>
    <definedName name="lay초YPSY3A09">LAYOUT_e4!$H$102</definedName>
    <definedName name="lay초YPSY3A10">LAYOUT_e4!$H$103</definedName>
    <definedName name="lay초YPSY4A01">LAYOUT_e4!$H$104</definedName>
    <definedName name="lay초YPSY4A02">LAYOUT_e4!$H$105</definedName>
    <definedName name="lay초YPSY4A03">LAYOUT_e4!$H$106</definedName>
    <definedName name="lay초YPSY4A04">LAYOUT_e4!$H$107</definedName>
    <definedName name="lay초YPSY4A05">LAYOUT_e4!$H$108</definedName>
    <definedName name="lay초YPSY4A06">LAYOUT_e4!$H$109</definedName>
    <definedName name="lay초YPSY4A07">LAYOUT_e4!$H$110</definedName>
    <definedName name="lay초YPSY4B01">LAYOUT_e4!$H$111</definedName>
    <definedName name="lay초YPSY4B02">LAYOUT_e4!$H$112</definedName>
    <definedName name="lay초YPSY4B03">LAYOUT_e4!$H$113</definedName>
    <definedName name="lay초YPSY4B04">LAYOUT_e4!$H$114</definedName>
    <definedName name="lay초YPSY4B05">LAYOUT_e4!$H$115</definedName>
    <definedName name="lay초YPSY4B06">LAYOUT_e4!$H$116</definedName>
    <definedName name="lay초YPSY4C01">LAYOUT_e4!$H$117</definedName>
    <definedName name="lay초YPSY4C02">LAYOUT_e4!$H$118</definedName>
    <definedName name="lay초YPSY4C03">LAYOUT_e4!$H$119</definedName>
    <definedName name="lay초YPSY4C04">LAYOUT_e4!$H$120</definedName>
    <definedName name="lay초YPSY4C05">LAYOUT_e4!$H$121</definedName>
    <definedName name="lay초YPSY4C06">LAYOUT_e4!$H$122</definedName>
    <definedName name="lay초YPSY4C07">LAYOUT_e4!$H$123</definedName>
    <definedName name="lay초YPSY4C08">LAYOUT_e4!$H$124</definedName>
    <definedName name="lay초YPSY4D01">LAYOUT_e4!$H$125</definedName>
    <definedName name="lay초YPSY4D02">LAYOUT_e4!$H$126</definedName>
    <definedName name="lay초YPSY4D03">LAYOUT_e4!$H$127</definedName>
    <definedName name="lay초YPSY4D04">LAYOUT_e4!$H$128</definedName>
    <definedName name="lay초YPSY4D05">LAYOUT_e4!$H$129</definedName>
    <definedName name="lay초YPSY4E01">LAYOUT_e4!$H$130</definedName>
    <definedName name="lay초YPSY4E02">LAYOUT_e4!$H$131</definedName>
    <definedName name="lay초YPSY4E03">LAYOUT_e4!$H$132</definedName>
    <definedName name="lay초YPSY4E04">LAYOUT_e4!$H$133</definedName>
    <definedName name="lay초YPSY4E05">LAYOUT_e4!$H$134</definedName>
    <definedName name="lay초YPSY4E06">LAYOUT_e4!$H$135</definedName>
    <definedName name="lay초YPSY4E07">LAYOUT_e4!$H$136</definedName>
    <definedName name="lay초YPSY4E08">LAYOUT_e4!$H$137</definedName>
    <definedName name="lay초YPSY4E09">LAYOUT_e4!$H$138</definedName>
    <definedName name="lay초YPSY4E10">LAYOUT_e4!$H$139</definedName>
    <definedName name="lay초YPSY5A01">LAYOUT_e4!$H$140</definedName>
    <definedName name="lay초YPSY5A02">LAYOUT_e4!$H$141</definedName>
    <definedName name="lay초YPSY5A03">LAYOUT_e4!$H$142</definedName>
    <definedName name="lay초YPSY5A04">LAYOUT_e4!$H$143</definedName>
    <definedName name="lay초YPSY5A05">LAYOUT_e4!$H$144</definedName>
    <definedName name="lay초YPSY5A06">LAYOUT_e4!$H$145</definedName>
    <definedName name="lay초YPSY5A07">LAYOUT_e4!$H$146</definedName>
    <definedName name="lay초YPSY5A08">LAYOUT_e4!$H$147</definedName>
    <definedName name="lay초YPSY5A09">LAYOUT_e4!$H$148</definedName>
    <definedName name="lay초YPSY5A10">LAYOUT_e4!$H$149</definedName>
    <definedName name="lay초YPSY5A11">LAYOUT_e4!$H$150</definedName>
    <definedName name="lay초YPSY5A12">LAYOUT_e4!$H$151</definedName>
    <definedName name="lay초YPSY5A13">LAYOUT_e4!$H$152</definedName>
    <definedName name="lay초YPSY5A14">LAYOUT_e4!$H$153</definedName>
    <definedName name="lay초YPSY7A01">LAYOUT_e4!$H$154</definedName>
    <definedName name="lay초YPSY7A02">LAYOUT_e4!$H$155</definedName>
    <definedName name="lay초YPSY7A03">LAYOUT_e4!$H$156</definedName>
    <definedName name="lay초YPSY7A04">LAYOUT_e4!$H$157</definedName>
    <definedName name="lay초YPSY7A05">LAYOUT_e4!$H$158</definedName>
    <definedName name="lay초YPSY7A06">LAYOUT_e4!$H$159</definedName>
    <definedName name="lay초YPSY7A07">LAYOUT_e4!$H$160</definedName>
    <definedName name="lay초YPSY7A08">LAYOUT_e4!$H$161</definedName>
    <definedName name="lay초YTIM1A01">LAYOUT_e4!$H$26</definedName>
    <definedName name="lay초YTIM1A02">LAYOUT_e4!$H$27</definedName>
    <definedName name="lay초YTIM1A03">LAYOUT_e4!$H$31</definedName>
    <definedName name="lay초YTIM1A04">LAYOUT_e4!$H$32</definedName>
    <definedName name="lay초YTIM1B01">LAYOUT_e4!$H$28</definedName>
    <definedName name="lay초YTIM1B02">LAYOUT_e4!$H$29</definedName>
    <definedName name="lay초YTIM1B03">LAYOUT_e4!$H$33</definedName>
    <definedName name="lay초YTIM1B04">LAYOUT_e4!$H$34</definedName>
    <definedName name="lay초YTIM1C01">LAYOUT_e4!$H$30</definedName>
    <definedName name="lay초YTIM1C02">LAYOUT_e4!$H$35</definedName>
    <definedName name="lay초YTIM1D01">LAYOUT_e4!$H$36</definedName>
    <definedName name="lay초YTIM1D02">LAYOUT_e4!$H$37</definedName>
    <definedName name="lay초YTIM1E01">LAYOUT_e4!$H$38</definedName>
    <definedName name="lay초YTIM1E02">LAYOUT_e4!$H$39</definedName>
    <definedName name="lay초YTIM1F01">LAYOUT_e4!$H$40</definedName>
    <definedName name="lay초YTIM1F02">LAYOUT_e4!$H$41</definedName>
    <definedName name="lay초YTIM1G01">LAYOUT_e4!$H$42</definedName>
    <definedName name="lay초YTIM1G02">LAYOUT_e4!$H$43</definedName>
    <definedName name="lay초YTIM1H01">LAYOUT_e4!$H$44</definedName>
    <definedName name="lay초YTIM1H02">LAYOUT_e4!$H$45</definedName>
    <definedName name="lay초YTIM1I01">LAYOUT_e4!$H$46</definedName>
    <definedName name="lay초YTIM1I02">LAYOUT_e4!$H$47</definedName>
    <definedName name="lay초YTIM1J01">LAYOUT_e4!$H$48</definedName>
    <definedName name="lay초YTIM1J02">LAYOUT_e4!$H$49</definedName>
    <definedName name="lay초YTIM1K01">LAYOUT_e4!$H$50</definedName>
    <definedName name="lay초YTIM1K02">LAYOUT_e4!$H$51</definedName>
    <definedName name="lay초YTIM1L01">LAYOUT_e4!$H$52</definedName>
    <definedName name="lay초YTIM1L02">LAYOUT_e4!$H$53</definedName>
    <definedName name="lay초YTIM1M01">LAYOUT_e4!$H$54</definedName>
    <definedName name="lay초YTIM1M02">LAYOUT_e4!$H$55</definedName>
    <definedName name="lay초YTIM1N01">LAYOUT_e4!$H$56</definedName>
    <definedName name="lay초YTIM1N02">LAYOUT_e4!$H$57</definedName>
    <definedName name="lay초YTWIN">LAYOUT_e4!$H$22</definedName>
    <definedName name="q18보PARENT">QN18_p!$B$9</definedName>
    <definedName name="q18보PBRP1">QN18_p!$B$281</definedName>
    <definedName name="q18보PBRP2">QN18_p!$B$282</definedName>
    <definedName name="q18보PBRP3">QN18_p!$B$283</definedName>
    <definedName name="q18보PEDU1A00">QN18_p!$B$61</definedName>
    <definedName name="q18보PEDU1B01">QN18_p!$B$66</definedName>
    <definedName name="q18보PEDU1B02">QN18_p!$B$67</definedName>
    <definedName name="q18보PEDU1B02_T">QN18_p!$B$68</definedName>
    <definedName name="q18보PEDU1B03">QN18_p!$B$82</definedName>
    <definedName name="q18보PEDU1B04">QN18_p!$B$83</definedName>
    <definedName name="q18보PEDU1B04_T">QN18_p!$B$84</definedName>
    <definedName name="q18보PEDU1C00">QN18_p!$B$78</definedName>
    <definedName name="q18보PFAM1A00">QN18_p!$B$53</definedName>
    <definedName name="q18보PFAM1A00_T">QN18_p!$B$54</definedName>
    <definedName name="q18보PFAM2A01">QN18_p!$B$97</definedName>
    <definedName name="q18보PFAM2A01_T">QN18_p!$C$97</definedName>
    <definedName name="q18보PFAM2A02">QN18_p!$B$98</definedName>
    <definedName name="q18보PFAM2A02_T">QN18_p!$C$98</definedName>
    <definedName name="q18보PFAM2A03">QN18_p!$B$99</definedName>
    <definedName name="q18보PFAM2A03_T">QN18_p!$C$99</definedName>
    <definedName name="q18보PFAM2A04">QN18_p!$B$100</definedName>
    <definedName name="q18보PFAM2A04_T">QN18_p!$C$100</definedName>
    <definedName name="q18보PFAM3A00">QN18_p!$B$119</definedName>
    <definedName name="q18보PFAM3B00">QN18_p!$B$128</definedName>
    <definedName name="q18보PFAM3C00">QN18_p!$B$137</definedName>
    <definedName name="q18보PFAM3D00">QN18_p!$B$146</definedName>
    <definedName name="q18보PFAM4A01">QN18_p!$B$115</definedName>
    <definedName name="q18보PFAM4A02">QN18_p!$B$116</definedName>
    <definedName name="q18보PFAM4A03">QN18_p!$C$115</definedName>
    <definedName name="q18보PFAM4A04">QN18_p!$C$116</definedName>
    <definedName name="q18보PHOMPOP">QN18_p!$B$24</definedName>
    <definedName name="q18보PINCOME">QN18_p!$B$308</definedName>
    <definedName name="q18보PINCOME1">QN18_p!$B$318</definedName>
    <definedName name="q18보PJOB1">QN18_p!$B$303</definedName>
    <definedName name="q18보PJOB1_T">QN18_p!$C$303</definedName>
    <definedName name="q18보PJOB2">QN18_p!$B$304</definedName>
    <definedName name="q18보PJOB2_T">QN18_p!$C$304</definedName>
    <definedName name="q18보PJOB3">QN18_p!$B$305</definedName>
    <definedName name="q18보PJOB3_T">QN18_p!$C$305</definedName>
    <definedName name="q18보PMDA1A00">QN18_p!$B$155</definedName>
    <definedName name="q18보PMDA1B01">QN18_p!$B$163</definedName>
    <definedName name="q18보PMDA1B02">QN18_p!$B$164</definedName>
    <definedName name="q18보PMDA1B03">QN18_p!$B$165</definedName>
    <definedName name="q18보PMDA1B04">QN18_p!$B$166</definedName>
    <definedName name="q18보PMDA1B05">QN18_p!$B$167</definedName>
    <definedName name="q18보PMDA1B06">QN18_p!$B$168</definedName>
    <definedName name="q18보PMDA1B07">QN18_p!$B$169</definedName>
    <definedName name="q18보PMDA1B08">QN18_p!$B$170</definedName>
    <definedName name="q18보PMDA1B09">QN18_p!$B$171</definedName>
    <definedName name="q18보PMDA1B10">QN18_p!$B$172</definedName>
    <definedName name="q18보PMDA1B11">QN18_p!$B$173</definedName>
    <definedName name="q18보PMDA1B13">QN18_p!$B$174</definedName>
    <definedName name="q18보PMDA1B13_T">QN18_p!$C$174</definedName>
    <definedName name="q18보PMDA1C01">QN18_p!$B$179</definedName>
    <definedName name="q18보PMDA1C02">QN18_p!$B$180</definedName>
    <definedName name="q18보PMDA1C03">QN18_p!$B$181</definedName>
    <definedName name="q18보PMDA1C04">QN18_p!$B$182</definedName>
    <definedName name="q18보PMDA1C05">QN18_p!$B$183</definedName>
    <definedName name="q18보PMDA1C06">QN18_p!$B$184</definedName>
    <definedName name="q18보PMDA1C07">QN18_p!$B$185</definedName>
    <definedName name="q18보PMDA1C08">QN18_p!$B$186</definedName>
    <definedName name="q18보PMDA1C09">QN18_p!$B$187</definedName>
    <definedName name="q18보PMDA1C10">QN18_p!$B$188</definedName>
    <definedName name="q18보PMDA1C11">QN18_p!$B$189</definedName>
    <definedName name="q18보PMDA1C12">QN18_p!$B$190</definedName>
    <definedName name="q18보PMDA1C13">QN18_p!$B$191</definedName>
    <definedName name="q18보PMDA1C14">QN18_p!$B$192</definedName>
    <definedName name="q18보PMDA1C15">QN18_p!$B$193</definedName>
    <definedName name="q18보PPHY1A00">QN18_p!$B$262</definedName>
    <definedName name="q18보PPHY1B00">QN18_p!$B$267</definedName>
    <definedName name="q18보PPHY1C00">QN18_p!$B$272</definedName>
    <definedName name="q18보PPHY2A00">QN18_p!$B$277</definedName>
    <definedName name="q18보PPHY2B00">QN18_p!$B$278</definedName>
    <definedName name="q18보PPSY1A01">QN18_p!$B$198</definedName>
    <definedName name="q18보PPSY1A02">QN18_p!$B$199</definedName>
    <definedName name="q18보PPSY1A03">QN18_p!$B$200</definedName>
    <definedName name="q18보PPSY1A04">QN18_p!$B$201</definedName>
    <definedName name="q18보PPSY1A05">QN18_p!$B$202</definedName>
    <definedName name="q18보PPSY2A01">QN18_p!$B$207</definedName>
    <definedName name="q18보PPSY2A02">QN18_p!$B$208</definedName>
    <definedName name="q18보PPSY2A03">QN18_p!$B$213</definedName>
    <definedName name="q18보PPSY2A04">QN18_p!$B$214</definedName>
    <definedName name="q18보PPSY3A01">QN18_p!$B$219</definedName>
    <definedName name="q18보PPSY3A02">QN18_p!$B$220</definedName>
    <definedName name="q18보PPSY3A03">QN18_p!$B$221</definedName>
    <definedName name="q18보PPSY3A04">QN18_p!$B$222</definedName>
    <definedName name="q18보PPSY3A05">QN18_p!$B$223</definedName>
    <definedName name="q18보PPSY3A06">QN18_p!$B$224</definedName>
    <definedName name="q18보PPSY3A07">QN18_p!$B$225</definedName>
    <definedName name="q18보PPSY3A08">QN18_p!$B$226</definedName>
    <definedName name="q18보PPSY3A09">QN18_p!$B$227</definedName>
    <definedName name="q18보PPSY3A10">QN18_p!$B$228</definedName>
    <definedName name="q18보PPSY4A01">QN18_p!$B$233</definedName>
    <definedName name="q18보PPSY4A02">QN18_p!$C$233</definedName>
    <definedName name="q18보PPSY4A03">QN18_p!$B$234</definedName>
    <definedName name="q18보PPSY4A04">QN18_p!$C$234</definedName>
    <definedName name="q18보PPSY4A05">QN18_p!$B$235</definedName>
    <definedName name="q18보PPSY4A06">QN18_p!$C$235</definedName>
    <definedName name="q18보PPSY4A07">QN18_p!$B$236</definedName>
    <definedName name="q18보PPSY4A08">QN18_p!$C$236</definedName>
    <definedName name="q18보PPSY4A09">QN18_p!$B$237</definedName>
    <definedName name="q18보PPSY4A10">QN18_p!$C$237</definedName>
    <definedName name="q18보PPSY4A11">QN18_p!$B$238</definedName>
    <definedName name="q18보PPSY4A12">QN18_p!$C$238</definedName>
    <definedName name="q18보PPSY4A13">QN18_p!$B$239</definedName>
    <definedName name="q18보PPSY4A14">QN18_p!$C$239</definedName>
    <definedName name="q18보PPSY4A15">QN18_p!$B$240</definedName>
    <definedName name="q18보PPSY4A16">QN18_p!$C$240</definedName>
    <definedName name="q18보PPSY4A17">QN18_p!$B$241</definedName>
    <definedName name="q18보PPSY4A18">QN18_p!$C$241</definedName>
    <definedName name="q18보PPSY4A19">QN18_p!$B$242</definedName>
    <definedName name="q18보PPSY4A20">QN18_p!$C$242</definedName>
    <definedName name="q18보PPSY4A21">QN18_p!$B$243</definedName>
    <definedName name="q18보PPSY4A22">QN18_p!$C$243</definedName>
    <definedName name="q18보PPSY4A23">QN18_p!$B$244</definedName>
    <definedName name="q18보PPSY4A24">QN18_p!$C$244</definedName>
    <definedName name="q18보PPSY4A25">QN18_p!$B$245</definedName>
    <definedName name="q18보PPSY4A26">QN18_p!$C$245</definedName>
    <definedName name="q18보PPSY4A27">QN18_p!$B$246</definedName>
    <definedName name="q18보PPSY4A28">QN18_p!$C$246</definedName>
    <definedName name="q18보PPSY4A29">QN18_p!$B$247</definedName>
    <definedName name="q18보PPSY4A30">QN18_p!$C$247</definedName>
    <definedName name="q18보PPSY5A01">QN18_p!$B$252</definedName>
    <definedName name="q18보PPSY5A02">QN18_p!$B$253</definedName>
    <definedName name="q18보PPSY5A03">QN18_p!$B$254</definedName>
    <definedName name="q18보PPSY5A04">QN18_p!$B$255</definedName>
    <definedName name="q18보PPSY5A05">QN18_p!$B$256</definedName>
    <definedName name="q18보PPSY5A06">QN18_p!$B$257</definedName>
    <definedName name="q18보PPSY5A07">QN18_p!$B$258</definedName>
    <definedName name="q18보PPSY5A08">QN18_p!$B$259</definedName>
    <definedName name="q18보PRELATE1___PBRTB1">QN18_p!$B$38</definedName>
    <definedName name="q18보PRELATE2___PBRTB2">QN18_p!$B$39</definedName>
    <definedName name="q18보PRELATE3___PBRTB3">QN18_p!$B$40</definedName>
    <definedName name="q18보PRELATE4___PBRTB4">QN18_p!$B$41</definedName>
    <definedName name="q18보PRELATE5___PBRTB5">QN18_p!$B$42</definedName>
    <definedName name="q18보PRELATE6___PBRTB6">QN18_p!$B$43</definedName>
    <definedName name="q18보PRELATE7___PBRTB7">QN18_p!$B$44</definedName>
    <definedName name="q18보PRELATE8___PBRTB8">QN18_p!$B$45</definedName>
    <definedName name="q18보PSCHOOL1">QN18_p!$B$288</definedName>
    <definedName name="q18보PSCHOOL2">QN18_p!$B$289</definedName>
    <definedName name="q18보PSCHOOL3">QN18_p!$B$290</definedName>
    <definedName name="q18보PWORKW1">QN18_p!$B$296</definedName>
    <definedName name="q18보PWORKW2">QN18_p!$B$297</definedName>
    <definedName name="q18보PWORKW3">QN18_p!$B$298</definedName>
    <definedName name="q18보PYBRP1">QN18_p!$B$48</definedName>
    <definedName name="q18보PYBRP2">QN18_p!$B$49</definedName>
    <definedName name="q18보PYBRP3">QN18_p!$B$50</definedName>
    <definedName name="q18보PYBRT1A">QN18_p!$B$16</definedName>
    <definedName name="q18보PYBRT1B">QN18_p!$B$17</definedName>
    <definedName name="q18보PYGENDER">QN18_p!$B$20</definedName>
    <definedName name="q18중YACT1A01">QN18_m1!$B$101</definedName>
    <definedName name="q18중YACT1A02">QN18_m1!$B$102</definedName>
    <definedName name="q18중YACT1A03">QN18_m1!$B$103</definedName>
    <definedName name="q18중YACT1A04">QN18_m1!$B$104</definedName>
    <definedName name="q18중YACT1A05">QN18_m1!$B$105</definedName>
    <definedName name="q18중YACT1A06">QN18_m1!$B$106</definedName>
    <definedName name="q18중YACT1A07">QN18_m1!$B$107</definedName>
    <definedName name="q18중YACT1A08">QN18_m1!$B$108</definedName>
    <definedName name="q18중YACT1A09">QN18_m1!$B$109</definedName>
    <definedName name="q18중YACT1B01">QN18_m1!$C$101</definedName>
    <definedName name="q18중YACT1B02">QN18_m1!$C$102</definedName>
    <definedName name="q18중YACT1B03">QN18_m1!$C$103</definedName>
    <definedName name="q18중YACT1B04">QN18_m1!$C$104</definedName>
    <definedName name="q18중YACT1B05">QN18_m1!$C$105</definedName>
    <definedName name="q18중YACT1B06">QN18_m1!$C$106</definedName>
    <definedName name="q18중YACT1B07">QN18_m1!$C$107</definedName>
    <definedName name="q18중YACT1B08">QN18_m1!$C$108</definedName>
    <definedName name="q18중YACT1B09">QN18_m1!$C$109</definedName>
    <definedName name="q18중YACT2A01">QN18_m1!$B$115</definedName>
    <definedName name="q18중YACT2A02">QN18_m1!$B$116</definedName>
    <definedName name="q18중YACT2B01">QN18_m1!$C$115</definedName>
    <definedName name="q18중YACT2B02">QN18_m1!$C$116</definedName>
    <definedName name="q18중YACT3A00">QN18_m1!$B$119</definedName>
    <definedName name="q18중YACT3B01">QN18_m1!$B$127</definedName>
    <definedName name="q18중YACT3B02">QN18_m1!$B$128</definedName>
    <definedName name="q18중YACT3B03">QN18_m1!$B$129</definedName>
    <definedName name="q18중YACT3B04">QN18_m1!$B$130</definedName>
    <definedName name="q18중YACT3B05">QN18_m1!$B$131</definedName>
    <definedName name="q18중YACT3B06">QN18_m1!$B$132</definedName>
    <definedName name="q18중YACT3B07">QN18_m1!$B$133</definedName>
    <definedName name="q18중YACT3B08">QN18_m1!$B$134</definedName>
    <definedName name="q18중YACT3B09">QN18_m1!$B$135</definedName>
    <definedName name="q18중YBRT1A">QN18_m1!$B$10</definedName>
    <definedName name="q18중YBRT1B">QN18_m1!$B$11</definedName>
    <definedName name="q18중YDLQ1A01">QN18_m1!$B$426</definedName>
    <definedName name="q18중YDLQ1A02">QN18_m1!$B$427</definedName>
    <definedName name="q18중YDLQ1A03">QN18_m1!$B$428</definedName>
    <definedName name="q18중YDLQ1A04">QN18_m1!$B$429</definedName>
    <definedName name="q18중YDLQ1A05">QN18_m1!$B$430</definedName>
    <definedName name="q18중YDLQ1A06">QN18_m1!$B$431</definedName>
    <definedName name="q18중YDLQ1A07">QN18_m1!$B$432</definedName>
    <definedName name="q18중YDLQ1A08">QN18_m1!$B$433</definedName>
    <definedName name="q18중YDLQ1A09">QN18_m1!$B$434</definedName>
    <definedName name="q18중YDLQ1A10">QN18_m1!$B$435</definedName>
    <definedName name="q18중YDLQ1A11">QN18_m1!$B$436</definedName>
    <definedName name="q18중YDLQ1A12">QN18_m1!$B$437</definedName>
    <definedName name="q18중YDLQ1A13">QN18_m1!$B$438</definedName>
    <definedName name="q18중YDLQ1A14">QN18_m1!$B$439</definedName>
    <definedName name="q18중YDLQ1A15">QN18_m1!$B$440</definedName>
    <definedName name="q18중YDLQ2A01">QN18_m1!$B$446</definedName>
    <definedName name="q18중YDLQ2A02">QN18_m1!$B$447</definedName>
    <definedName name="q18중YDLQ2A03">QN18_m1!$B$448</definedName>
    <definedName name="q18중YDLQ2A04">QN18_m1!$B$449</definedName>
    <definedName name="q18중YDLQ2A05">QN18_m1!$B$450</definedName>
    <definedName name="q18중YDLQ2A06">QN18_m1!$B$451</definedName>
    <definedName name="q18중YDLQ2A07">QN18_m1!$B$452</definedName>
    <definedName name="q18중YDLQ2A08">QN18_m1!$B$453</definedName>
    <definedName name="q18중YDLQ2A09">QN18_m1!$B$454</definedName>
    <definedName name="q18중YDLQ2A10">QN18_m1!$B$455</definedName>
    <definedName name="q18중YDLQ2A11">QN18_m1!$B$456</definedName>
    <definedName name="q18중YDLQ2A12">QN18_m1!$B$457</definedName>
    <definedName name="q18중YDLQ2A13">QN18_m1!$B$458</definedName>
    <definedName name="q18중YDLQ2A14">QN18_m1!$B$459</definedName>
    <definedName name="q18중YDLQ2A15">QN18_m1!$B$460</definedName>
    <definedName name="q18중YEDU1A00">QN18_m1!$B$156</definedName>
    <definedName name="q18중YEDU2A01">QN18_m1!$B$390</definedName>
    <definedName name="q18중YEDU2A02">QN18_m1!$B$391</definedName>
    <definedName name="q18중YEDU2A03">QN18_m1!$B$392</definedName>
    <definedName name="q18중YEDU2A04">QN18_m1!$B$393</definedName>
    <definedName name="q18중YEDU2A05">QN18_m1!$B$394</definedName>
    <definedName name="q18중YEDU2A06">QN18_m1!$B$395</definedName>
    <definedName name="q18중YEDU2A07">QN18_m1!$B$396</definedName>
    <definedName name="q18중YEDU2A08">QN18_m1!$B$397</definedName>
    <definedName name="q18중YEDU2A09">QN18_m1!$B$398</definedName>
    <definedName name="q18중YEDU2A10">QN18_m1!$B$399</definedName>
    <definedName name="q18중YEDU2A11">QN18_m1!$B$400</definedName>
    <definedName name="q18중YEDU2A12">QN18_m1!$B$401</definedName>
    <definedName name="q18중YEDU2A13">QN18_m1!$B$402</definedName>
    <definedName name="q18중YEDU3A01">QN18_m1!$B$407</definedName>
    <definedName name="q18중YEDU3A02">QN18_m1!$B$408</definedName>
    <definedName name="q18중YEDU3A03">QN18_m1!$B$409</definedName>
    <definedName name="q18중YEDU3A04">QN18_m1!$B$410</definedName>
    <definedName name="q18중YEDU3A05">QN18_m1!$B$411</definedName>
    <definedName name="q18중YEDU3A06">QN18_m1!$B$412</definedName>
    <definedName name="q18중YEDU3A07">QN18_m1!$B$413</definedName>
    <definedName name="q18중YEDU3A08">QN18_m1!$B$414</definedName>
    <definedName name="q18중YEDU3A09">QN18_m1!$B$415</definedName>
    <definedName name="q18중YEDU3A10">QN18_m1!$B$416</definedName>
    <definedName name="q18중YEDU3A11">QN18_m1!$B$417</definedName>
    <definedName name="q18중YEDU3A12">QN18_m1!$B$418</definedName>
    <definedName name="q18중YEDU3A13">QN18_m1!$B$419</definedName>
    <definedName name="q18중YEDU3A14">QN18_m1!$B$420</definedName>
    <definedName name="q18중YFAM1A01">QN18_m1!$B$356</definedName>
    <definedName name="q18중YFAM1A02">QN18_m1!$B$357</definedName>
    <definedName name="q18중YFAM1A03">QN18_m1!$C$356</definedName>
    <definedName name="q18중YFAM1A04">QN18_m1!$C$357</definedName>
    <definedName name="q18중YFAM2A01">QN18_m1!$B$362</definedName>
    <definedName name="q18중YFAM2A02">QN18_m1!$B$363</definedName>
    <definedName name="q18중YFAM2A03">QN18_m1!$B$364</definedName>
    <definedName name="q18중YFAM2A04">QN18_m1!$B$365</definedName>
    <definedName name="q18중YFAM2B01">QN18_m1!$B$366</definedName>
    <definedName name="q18중YFAM2B02">QN18_m1!$B$367</definedName>
    <definedName name="q18중YFAM2B03">QN18_m1!$B$368</definedName>
    <definedName name="q18중YFAM2B04">QN18_m1!$B$369</definedName>
    <definedName name="q18중YFAM2C01">QN18_m1!$B$370</definedName>
    <definedName name="q18중YFAM2C02">QN18_m1!$B$371</definedName>
    <definedName name="q18중YFAM2C03">QN18_m1!$B$372</definedName>
    <definedName name="q18중YFAM2C04">QN18_m1!$B$373</definedName>
    <definedName name="q18중YFAM2D01">QN18_m1!$B$374</definedName>
    <definedName name="q18중YFAM2D02">QN18_m1!$B$375</definedName>
    <definedName name="q18중YFAM2D03">QN18_m1!$B$376</definedName>
    <definedName name="q18중YFAM2D04">QN18_m1!$B$377</definedName>
    <definedName name="q18중YFAM2E01">QN18_m1!$B$378</definedName>
    <definedName name="q18중YFAM2E02">QN18_m1!$B$379</definedName>
    <definedName name="q18중YFAM2E03">QN18_m1!$B$380</definedName>
    <definedName name="q18중YFAM2E04">QN18_m1!$B$381</definedName>
    <definedName name="q18중YFAM2F01">QN18_m1!$B$382</definedName>
    <definedName name="q18중YFAM2F02">QN18_m1!$B$383</definedName>
    <definedName name="q18중YFAM2F03">QN18_m1!$B$384</definedName>
    <definedName name="q18중YFAM2F04">QN18_m1!$B$385</definedName>
    <definedName name="q18중YFUR1A00">QN18_m1!$B$205</definedName>
    <definedName name="q18중YFUR1B00">QN18_m1!$B$211</definedName>
    <definedName name="q18중YFUR2A01">QN18_m1!$B$219</definedName>
    <definedName name="q18중YFUR2A02">QN18_m1!$B$220</definedName>
    <definedName name="q18중YFUR2A03">QN18_m1!$B$221</definedName>
    <definedName name="q18중YFUR2A04">QN18_m1!$B$222</definedName>
    <definedName name="q18중YFUR2A05">QN18_m1!$B$223</definedName>
    <definedName name="q18중YFUR2A06">QN18_m1!$B$224</definedName>
    <definedName name="q18중YFUR2A07">QN18_m1!$B$225</definedName>
    <definedName name="q18중YFUR2A08">QN18_m1!$B$226</definedName>
    <definedName name="q18중YFUR2A08_T">QN18_m1!$C$226</definedName>
    <definedName name="q18중YGENDER">QN18_m1!$B$14</definedName>
    <definedName name="q18중YINT1A00">QN18_m1!$B$138</definedName>
    <definedName name="q18중YINT1B00">QN18_m1!$B$147</definedName>
    <definedName name="q18중YINT2A01">QN18_m1!$B$167</definedName>
    <definedName name="q18중YINT2A02">QN18_m1!$B$168</definedName>
    <definedName name="q18중YINT2A03">QN18_m1!$B$169</definedName>
    <definedName name="q18중YINT2A04">QN18_m1!$B$170</definedName>
    <definedName name="q18중YINT2A05">QN18_m1!$B$171</definedName>
    <definedName name="q18중YINT2A06">QN18_m1!$B$172</definedName>
    <definedName name="q18중YINT2A07">QN18_m1!$B$173</definedName>
    <definedName name="q18중YINT2A08">QN18_m1!$B$174</definedName>
    <definedName name="q18중YINT2A09">QN18_m1!$B$175</definedName>
    <definedName name="q18중YINT2A10">QN18_m1!$B$176</definedName>
    <definedName name="q18중YINT2A11">QN18_m1!$B$177</definedName>
    <definedName name="q18중YINT2A12">QN18_m1!$B$178</definedName>
    <definedName name="q18중YINT2A13">QN18_m1!$B$179</definedName>
    <definedName name="q18중YINT2A14">QN18_m1!$B$180</definedName>
    <definedName name="q18중YINT2A15">QN18_m1!$B$181</definedName>
    <definedName name="q18중YINT2A16">QN18_m1!$B$182</definedName>
    <definedName name="q18중YINT2B01">QN18_m1!$B$187</definedName>
    <definedName name="q18중YINT2B02">QN18_m1!$B$188</definedName>
    <definedName name="q18중YINT2B03">QN18_m1!$B$189</definedName>
    <definedName name="q18중YINT2B04">QN18_m1!$B$190</definedName>
    <definedName name="q18중YINT2B05">QN18_m1!$B$191</definedName>
    <definedName name="q18중YINT2B06">QN18_m1!$B$192</definedName>
    <definedName name="q18중YINT2B07">QN18_m1!$B$193</definedName>
    <definedName name="q18중YINT2B08">QN18_m1!$B$194</definedName>
    <definedName name="q18중YINT2B09">QN18_m1!$B$195</definedName>
    <definedName name="q18중YINT2B10">QN18_m1!$B$196</definedName>
    <definedName name="q18중YINT2B11">QN18_m1!$B$197</definedName>
    <definedName name="q18중YINT2B12">QN18_m1!$B$198</definedName>
    <definedName name="q18중YINT2B13">QN18_m1!$B$199</definedName>
    <definedName name="q18중YINT2B14">QN18_m1!$B$200</definedName>
    <definedName name="q18중YINT2B15">QN18_m1!$B$201</definedName>
    <definedName name="q18중YINT2B16">QN18_m1!$B$202</definedName>
    <definedName name="q18중YMDA1A00">QN18_m1!$B$56</definedName>
    <definedName name="q18중YMDA1B01">QN18_m1!$B$64</definedName>
    <definedName name="q18중YMDA1B02">QN18_m1!$B$65</definedName>
    <definedName name="q18중YMDA1B03">QN18_m1!$B$66</definedName>
    <definedName name="q18중YMDA1B04">QN18_m1!$B$67</definedName>
    <definedName name="q18중YMDA1B05">QN18_m1!$B$68</definedName>
    <definedName name="q18중YMDA1B06">QN18_m1!$B$69</definedName>
    <definedName name="q18중YMDA1B07">QN18_m1!$B$70</definedName>
    <definedName name="q18중YMDA1B08">QN18_m1!$B$71</definedName>
    <definedName name="q18중YMDA1B09">QN18_m1!$B$72</definedName>
    <definedName name="q18중YMDA1B10">QN18_m1!$B$73</definedName>
    <definedName name="q18중YMDA1B11">QN18_m1!$B$74</definedName>
    <definedName name="q18중YMDA1B13">QN18_m1!$B$75</definedName>
    <definedName name="q18중YMDA1B13_T">QN18_m1!$C$75</definedName>
    <definedName name="q18중YMDA1C01">QN18_m1!$B$80</definedName>
    <definedName name="q18중YMDA1C02">QN18_m1!$B$81</definedName>
    <definedName name="q18중YMDA1C03">QN18_m1!$B$82</definedName>
    <definedName name="q18중YMDA1C04">QN18_m1!$B$83</definedName>
    <definedName name="q18중YMDA1C05">QN18_m1!$B$84</definedName>
    <definedName name="q18중YMDA1C06">QN18_m1!$B$85</definedName>
    <definedName name="q18중YMDA1C07">QN18_m1!$B$86</definedName>
    <definedName name="q18중YMDA1C08">QN18_m1!$B$87</definedName>
    <definedName name="q18중YMDA1C09">QN18_m1!$B$88</definedName>
    <definedName name="q18중YMDA1C10">QN18_m1!$B$89</definedName>
    <definedName name="q18중YMDA1C11">QN18_m1!$B$90</definedName>
    <definedName name="q18중YMDA1C12">QN18_m1!$B$91</definedName>
    <definedName name="q18중YMDA1C13">QN18_m1!$B$92</definedName>
    <definedName name="q18중YMDA1C14">QN18_m1!$B$93</definedName>
    <definedName name="q18중YMDA1C15">QN18_m1!$B$94</definedName>
    <definedName name="q18중YPHY1A00">QN18_m1!$B$463</definedName>
    <definedName name="q18중YPHY1B00">QN18_m1!$B$468</definedName>
    <definedName name="q18중YPHY1C00">QN18_m1!$B$473</definedName>
    <definedName name="q18중YPHY2A00">QN18_m1!$B$478</definedName>
    <definedName name="q18중YPHY2B00">QN18_m1!$B$479</definedName>
    <definedName name="q18중YPSY1A01">QN18_m1!$B$231</definedName>
    <definedName name="q18중YPSY1A02">QN18_m1!$B$232</definedName>
    <definedName name="q18중YPSY1A03">QN18_m1!$B$233</definedName>
    <definedName name="q18중YPSY1A04">QN18_m1!$B$234</definedName>
    <definedName name="q18중YPSY1A05">QN18_m1!$B$235</definedName>
    <definedName name="q18중YPSY2A01">QN18_m1!$B$240</definedName>
    <definedName name="q18중YPSY2A02">QN18_m1!$B$241</definedName>
    <definedName name="q18중YPSY2A03">QN18_m1!$B$246</definedName>
    <definedName name="q18중YPSY2A04">QN18_m1!$B$247</definedName>
    <definedName name="q18중YPSY3A01">QN18_m1!$B$252</definedName>
    <definedName name="q18중YPSY3A02">QN18_m1!$B$253</definedName>
    <definedName name="q18중YPSY3A03">QN18_m1!$B$254</definedName>
    <definedName name="q18중YPSY3A04">QN18_m1!$B$255</definedName>
    <definedName name="q18중YPSY3A05">QN18_m1!$B$256</definedName>
    <definedName name="q18중YPSY3A06">QN18_m1!$B$257</definedName>
    <definedName name="q18중YPSY3A07">QN18_m1!$B$258</definedName>
    <definedName name="q18중YPSY3A08">QN18_m1!$B$259</definedName>
    <definedName name="q18중YPSY3A09">QN18_m1!$B$260</definedName>
    <definedName name="q18중YPSY3A10">QN18_m1!$B$261</definedName>
    <definedName name="q18중YPSY4A01">QN18_m1!$B$266</definedName>
    <definedName name="q18중YPSY4A02">QN18_m1!$B$267</definedName>
    <definedName name="q18중YPSY4A03">QN18_m1!$B$268</definedName>
    <definedName name="q18중YPSY4A04">QN18_m1!$B$269</definedName>
    <definedName name="q18중YPSY4A05">QN18_m1!$B$270</definedName>
    <definedName name="q18중YPSY4A06">QN18_m1!$B$271</definedName>
    <definedName name="q18중YPSY4A07">QN18_m1!$B$272</definedName>
    <definedName name="q18중YPSY4B01">QN18_m1!$B$273</definedName>
    <definedName name="q18중YPSY4B02">QN18_m1!$B$274</definedName>
    <definedName name="q18중YPSY4B03">QN18_m1!$B$275</definedName>
    <definedName name="q18중YPSY4B04">QN18_m1!$B$276</definedName>
    <definedName name="q18중YPSY4B05">QN18_m1!$B$277</definedName>
    <definedName name="q18중YPSY4B06">QN18_m1!$B$278</definedName>
    <definedName name="q18중YPSY4C01">QN18_m1!$B$279</definedName>
    <definedName name="q18중YPSY4C02">QN18_m1!$B$280</definedName>
    <definedName name="q18중YPSY4C03">QN18_m1!$B$281</definedName>
    <definedName name="q18중YPSY4C04">QN18_m1!$B$282</definedName>
    <definedName name="q18중YPSY4C05">QN18_m1!$B$283</definedName>
    <definedName name="q18중YPSY4C06">QN18_m1!$B$284</definedName>
    <definedName name="q18중YPSY4C07">QN18_m1!$B$285</definedName>
    <definedName name="q18중YPSY4C08">QN18_m1!$B$286</definedName>
    <definedName name="q18중YPSY4D01">QN18_m1!$B$287</definedName>
    <definedName name="q18중YPSY4D02">QN18_m1!$B$288</definedName>
    <definedName name="q18중YPSY4D03">QN18_m1!$B$289</definedName>
    <definedName name="q18중YPSY4D04">QN18_m1!$B$290</definedName>
    <definedName name="q18중YPSY4D05">QN18_m1!$B$291</definedName>
    <definedName name="q18중YPSY4E01">QN18_m1!$B$292</definedName>
    <definedName name="q18중YPSY4E02">QN18_m1!$B$293</definedName>
    <definedName name="q18중YPSY4E03">QN18_m1!$B$294</definedName>
    <definedName name="q18중YPSY4E04">QN18_m1!$B$295</definedName>
    <definedName name="q18중YPSY4E05">QN18_m1!$B$296</definedName>
    <definedName name="q18중YPSY4E06">QN18_m1!$B$297</definedName>
    <definedName name="q18중YPSY4E07">QN18_m1!$B$298</definedName>
    <definedName name="q18중YPSY4E08">QN18_m1!$B$299</definedName>
    <definedName name="q18중YPSY4E09">QN18_m1!$B$300</definedName>
    <definedName name="q18중YPSY4E10">QN18_m1!$B$301</definedName>
    <definedName name="q18중YPSY5A01">QN18_m1!$B$306</definedName>
    <definedName name="q18중YPSY5A02">QN18_m1!$B$307</definedName>
    <definedName name="q18중YPSY5A03">QN18_m1!$B$308</definedName>
    <definedName name="q18중YPSY5A04">QN18_m1!$B$309</definedName>
    <definedName name="q18중YPSY5A05">QN18_m1!$B$310</definedName>
    <definedName name="q18중YPSY5A06">QN18_m1!$B$311</definedName>
    <definedName name="q18중YPSY5A07">QN18_m1!$B$312</definedName>
    <definedName name="q18중YPSY5A08">QN18_m1!$B$313</definedName>
    <definedName name="q18중YPSY5A09">QN18_m1!$B$314</definedName>
    <definedName name="q18중YPSY5A10">QN18_m1!$B$315</definedName>
    <definedName name="q18중YPSY5A11">QN18_m1!$B$316</definedName>
    <definedName name="q18중YPSY5A12">QN18_m1!$B$317</definedName>
    <definedName name="q18중YPSY5A13">QN18_m1!$B$318</definedName>
    <definedName name="q18중YPSY5A14">QN18_m1!$B$319</definedName>
    <definedName name="q18중YPSY6A01">QN18_m1!$B$324</definedName>
    <definedName name="q18중YPSY6A02">QN18_m1!$C$324</definedName>
    <definedName name="q18중YPSY6A03">QN18_m1!$B$325</definedName>
    <definedName name="q18중YPSY6A04">QN18_m1!$C$325</definedName>
    <definedName name="q18중YPSY6A05">QN18_m1!$B$326</definedName>
    <definedName name="q18중YPSY6A06">QN18_m1!$C$326</definedName>
    <definedName name="q18중YPSY6A07">QN18_m1!$B$327</definedName>
    <definedName name="q18중YPSY6A08">QN18_m1!$C$327</definedName>
    <definedName name="q18중YPSY6A09">QN18_m1!$B$328</definedName>
    <definedName name="q18중YPSY6A10">QN18_m1!$C$328</definedName>
    <definedName name="q18중YPSY6A11">QN18_m1!$B$329</definedName>
    <definedName name="q18중YPSY6A12">QN18_m1!$C$329</definedName>
    <definedName name="q18중YPSY6A13">QN18_m1!$B$330</definedName>
    <definedName name="q18중YPSY6A14">QN18_m1!$C$330</definedName>
    <definedName name="q18중YPSY6A15">QN18_m1!$B$331</definedName>
    <definedName name="q18중YPSY6A16">QN18_m1!$C$331</definedName>
    <definedName name="q18중YPSY6A17">QN18_m1!$B$332</definedName>
    <definedName name="q18중YPSY6A18">QN18_m1!$C$332</definedName>
    <definedName name="q18중YPSY6A19">QN18_m1!$B$333</definedName>
    <definedName name="q18중YPSY6A20">QN18_m1!$C$333</definedName>
    <definedName name="q18중YPSY6A21">QN18_m1!$B$334</definedName>
    <definedName name="q18중YPSY6A22">QN18_m1!$C$334</definedName>
    <definedName name="q18중YPSY6A23">QN18_m1!$B$335</definedName>
    <definedName name="q18중YPSY6A24">QN18_m1!$C$335</definedName>
    <definedName name="q18중YPSY6A25">QN18_m1!$B$336</definedName>
    <definedName name="q18중YPSY6A26">QN18_m1!$C$336</definedName>
    <definedName name="q18중YPSY6A27">QN18_m1!$B$337</definedName>
    <definedName name="q18중YPSY6A28">QN18_m1!$C$337</definedName>
    <definedName name="q18중YPSY6A29">QN18_m1!$B$338</definedName>
    <definedName name="q18중YPSY6A30">QN18_m1!$C$338</definedName>
    <definedName name="q18중YPSY7A01">QN18_m1!$B$343</definedName>
    <definedName name="q18중YPSY7A02">QN18_m1!$B$344</definedName>
    <definedName name="q18중YPSY7A03">QN18_m1!$B$345</definedName>
    <definedName name="q18중YPSY7A04">QN18_m1!$B$346</definedName>
    <definedName name="q18중YPSY7A05">QN18_m1!$B$347</definedName>
    <definedName name="q18중YPSY7A06">QN18_m1!$B$348</definedName>
    <definedName name="q18중YPSY7A07">QN18_m1!$B$349</definedName>
    <definedName name="q18중YPSY7A08">QN18_m1!$B$350</definedName>
    <definedName name="q18중YTIM1A01">QN18_m1!$B$22</definedName>
    <definedName name="q18중YTIM1A02">QN18_m1!$B$23</definedName>
    <definedName name="q18중YTIM1A03">QN18_m1!$C$22</definedName>
    <definedName name="q18중YTIM1A04">QN18_m1!$C$23</definedName>
    <definedName name="q18중YTIM1B01">QN18_m1!$B$24</definedName>
    <definedName name="q18중YTIM1B02">QN18_m1!$B$25</definedName>
    <definedName name="q18중YTIM1B03">QN18_m1!$C$24</definedName>
    <definedName name="q18중YTIM1B04">QN18_m1!$C$25</definedName>
    <definedName name="q18중YTIM1C01">QN18_m1!$B$26</definedName>
    <definedName name="q18중YTIM1C02">QN18_m1!$C$26</definedName>
    <definedName name="q18중YTIM1D01">QN18_m1!$B$32</definedName>
    <definedName name="q18중YTIM1D02">QN18_m1!$B$33</definedName>
    <definedName name="q18중YTIM1E01">QN18_m1!$B$34</definedName>
    <definedName name="q18중YTIM1E02">QN18_m1!$B$35</definedName>
    <definedName name="q18중YTIM1F01">QN18_m1!$B$36</definedName>
    <definedName name="q18중YTIM1F02">QN18_m1!$B$37</definedName>
    <definedName name="q18중YTIM1G01">QN18_m1!$B$38</definedName>
    <definedName name="q18중YTIM1G02">QN18_m1!$B$39</definedName>
    <definedName name="q18중YTIM1H01">QN18_m1!$B$40</definedName>
    <definedName name="q18중YTIM1H02">QN18_m1!$B$41</definedName>
    <definedName name="q18중YTIM1I01">QN18_m1!$B$42</definedName>
    <definedName name="q18중YTIM1I02">QN18_m1!$B$43</definedName>
    <definedName name="q18중YTIM1J01">QN18_m1!$B$44</definedName>
    <definedName name="q18중YTIM1J02">QN18_m1!$B$45</definedName>
    <definedName name="q18중YTIM1K01">QN18_m1!$B$46</definedName>
    <definedName name="q18중YTIM1K02">QN18_m1!$B$47</definedName>
    <definedName name="q18중YTIM1L01">QN18_m1!$B$48</definedName>
    <definedName name="q18중YTIM1L02">QN18_m1!$B$49</definedName>
    <definedName name="q18중YTIM1M01">QN18_m1!$B$50</definedName>
    <definedName name="q18중YTIM1M02">QN18_m1!$B$51</definedName>
    <definedName name="q18중YTIM1N01">QN18_m1!$B$52</definedName>
    <definedName name="q18중YTIM1N02">QN18_m1!$B$53</definedName>
    <definedName name="q18초YBRT1A">QN18_e4!$B$10</definedName>
    <definedName name="q18초YBRT1B">QN18_e4!$B$11</definedName>
    <definedName name="q18초YEDU1A00">QN18_e4!$B$115</definedName>
    <definedName name="q18초YEDU2A01">QN18_e4!$B$298</definedName>
    <definedName name="q18초YEDU2A02">QN18_e4!$B$299</definedName>
    <definedName name="q18초YEDU2A03">QN18_e4!$B$300</definedName>
    <definedName name="q18초YEDU2A04">QN18_e4!$B$301</definedName>
    <definedName name="q18초YEDU2A05">QN18_e4!$B$302</definedName>
    <definedName name="q18초YEDU2A06">QN18_e4!$B$303</definedName>
    <definedName name="q18초YEDU2A07">QN18_e4!$B$304</definedName>
    <definedName name="q18초YEDU2A08">QN18_e4!$B$305</definedName>
    <definedName name="q18초YEDU2A09">QN18_e4!$B$306</definedName>
    <definedName name="q18초YEDU2A10">QN18_e4!$B$307</definedName>
    <definedName name="q18초YEDU2A11">QN18_e4!$B$308</definedName>
    <definedName name="q18초YEDU2A12">QN18_e4!$B$309</definedName>
    <definedName name="q18초YEDU2A13">QN18_e4!$B$310</definedName>
    <definedName name="q18초YEDU3A01">QN18_e4!$B$315</definedName>
    <definedName name="q18초YEDU3A02">QN18_e4!$B$316</definedName>
    <definedName name="q18초YEDU3A03">QN18_e4!$B$317</definedName>
    <definedName name="q18초YEDU3A04">QN18_e4!$B$318</definedName>
    <definedName name="q18초YEDU3A05">QN18_e4!$B$319</definedName>
    <definedName name="q18초YEDU3A06">QN18_e4!$B$320</definedName>
    <definedName name="q18초YEDU3A07">QN18_e4!$B$321</definedName>
    <definedName name="q18초YEDU3A08">QN18_e4!$B$322</definedName>
    <definedName name="q18초YEDU3A09">QN18_e4!$B$323</definedName>
    <definedName name="q18초YEDU3A10">QN18_e4!$B$324</definedName>
    <definedName name="q18초YEDU3A11">QN18_e4!$B$325</definedName>
    <definedName name="q18초YEDU3A12">QN18_e4!$B$326</definedName>
    <definedName name="q18초YEDU3A13">QN18_e4!$B$327</definedName>
    <definedName name="q18초YEDU3A14">QN18_e4!$B$328</definedName>
    <definedName name="q18초YFAM1A01">QN18_e4!$B$264</definedName>
    <definedName name="q18초YFAM1A02">QN18_e4!$B$265</definedName>
    <definedName name="q18초YFAM1A03">QN18_e4!$C$264</definedName>
    <definedName name="q18초YFAM1A04">QN18_e4!$C$265</definedName>
    <definedName name="q18초YFAM2A01">QN18_e4!$B$270</definedName>
    <definedName name="q18초YFAM2A02">QN18_e4!$B$271</definedName>
    <definedName name="q18초YFAM2A03">QN18_e4!$B$272</definedName>
    <definedName name="q18초YFAM2A04">QN18_e4!$B$273</definedName>
    <definedName name="q18초YFAM2B01">QN18_e4!$B$274</definedName>
    <definedName name="q18초YFAM2B02">QN18_e4!$B$275</definedName>
    <definedName name="q18초YFAM2B03">QN18_e4!$B$276</definedName>
    <definedName name="q18초YFAM2B04">QN18_e4!$B$277</definedName>
    <definedName name="q18초YFAM2C01">QN18_e4!$B$278</definedName>
    <definedName name="q18초YFAM2C02">QN18_e4!$B$279</definedName>
    <definedName name="q18초YFAM2C03">QN18_e4!$B$280</definedName>
    <definedName name="q18초YFAM2C04">QN18_e4!$B$281</definedName>
    <definedName name="q18초YFAM2D01">QN18_e4!$B$282</definedName>
    <definedName name="q18초YFAM2D02">QN18_e4!$B$283</definedName>
    <definedName name="q18초YFAM2D03">QN18_e4!$B$284</definedName>
    <definedName name="q18초YFAM2D04">QN18_e4!$B$285</definedName>
    <definedName name="q18초YFAM2E01">QN18_e4!$B$286</definedName>
    <definedName name="q18초YFAM2E02">QN18_e4!$B$287</definedName>
    <definedName name="q18초YFAM2E03">QN18_e4!$B$288</definedName>
    <definedName name="q18초YFAM2E04">QN18_e4!$B$289</definedName>
    <definedName name="q18초YFAM2F01">QN18_e4!$B$290</definedName>
    <definedName name="q18초YFAM2F02">QN18_e4!$B$291</definedName>
    <definedName name="q18초YFAM2F03">QN18_e4!$B$292</definedName>
    <definedName name="q18초YFAM2F04">QN18_e4!$B$293</definedName>
    <definedName name="q18초YFUR2A01">QN18_e4!$B$146</definedName>
    <definedName name="q18초YFUR2A02">QN18_e4!$B$147</definedName>
    <definedName name="q18초YFUR2A03">QN18_e4!$B$148</definedName>
    <definedName name="q18초YFUR2A04">QN18_e4!$B$149</definedName>
    <definedName name="q18초YFUR2A05">QN18_e4!$B$150</definedName>
    <definedName name="q18초YFUR2A06">QN18_e4!$B$151</definedName>
    <definedName name="q18초YFUR2A07">QN18_e4!$B$152</definedName>
    <definedName name="q18초YFUR2A08">QN18_e4!$B$153</definedName>
    <definedName name="q18초YFUR2A08_T">QN18_e4!$C$153</definedName>
    <definedName name="q18초YGENDER">QN18_e4!$B$14</definedName>
    <definedName name="q18초YINT1A00">QN18_e4!$B$97</definedName>
    <definedName name="q18초YINT1B00">QN18_e4!$B$106</definedName>
    <definedName name="q18초YINT2A01">QN18_e4!$B$126</definedName>
    <definedName name="q18초YINT2A02">QN18_e4!$B$127</definedName>
    <definedName name="q18초YINT2A03">QN18_e4!$B$128</definedName>
    <definedName name="q18초YINT2A04">QN18_e4!$B$129</definedName>
    <definedName name="q18초YINT2A05">QN18_e4!$B$130</definedName>
    <definedName name="q18초YINT2A06">QN18_e4!$B$131</definedName>
    <definedName name="q18초YINT2A07">QN18_e4!$B$132</definedName>
    <definedName name="q18초YINT2A08">QN18_e4!$B$133</definedName>
    <definedName name="q18초YINT2A09">QN18_e4!$B$134</definedName>
    <definedName name="q18초YINT2A10">QN18_e4!$B$135</definedName>
    <definedName name="q18초YINT2A11">QN18_e4!$B$136</definedName>
    <definedName name="q18초YINT2A12">QN18_e4!$B$137</definedName>
    <definedName name="q18초YINT2A13">QN18_e4!$B$138</definedName>
    <definedName name="q18초YINT2A14">QN18_e4!$B$139</definedName>
    <definedName name="q18초YINT2A15">QN18_e4!$B$140</definedName>
    <definedName name="q18초YINT2A16">QN18_e4!$B$141</definedName>
    <definedName name="q18초YMDA1A00">QN18_e4!$B$56</definedName>
    <definedName name="q18초YMDA1B01">QN18_e4!$B$64</definedName>
    <definedName name="q18초YMDA1B02">QN18_e4!$B$65</definedName>
    <definedName name="q18초YMDA1B03">QN18_e4!$B$66</definedName>
    <definedName name="q18초YMDA1B04">QN18_e4!$B$67</definedName>
    <definedName name="q18초YMDA1B05">QN18_e4!$B$68</definedName>
    <definedName name="q18초YMDA1B06">QN18_e4!$B$69</definedName>
    <definedName name="q18초YMDA1B07">QN18_e4!$B$70</definedName>
    <definedName name="q18초YMDA1B08">QN18_e4!$B$71</definedName>
    <definedName name="q18초YMDA1B09">QN18_e4!$B$72</definedName>
    <definedName name="q18초YMDA1B10">QN18_e4!$B$73</definedName>
    <definedName name="q18초YMDA1B11">QN18_e4!$B$74</definedName>
    <definedName name="q18초YMDA1B12">QN19_e4!$B$75</definedName>
    <definedName name="q18초YMDA1B13">QN18_e4!$B$75</definedName>
    <definedName name="q18초YMDA1B13_T">QN18_e4!$C$75</definedName>
    <definedName name="q18초YMDA1C01">QN18_e4!$B$80</definedName>
    <definedName name="q18초YMDA1C02">QN18_e4!$B$81</definedName>
    <definedName name="q18초YMDA1C03">QN18_e4!$B$82</definedName>
    <definedName name="q18초YMDA1C04">QN18_e4!$B$83</definedName>
    <definedName name="q18초YMDA1C05">QN18_e4!$B$84</definedName>
    <definedName name="q18초YMDA1C06">QN18_e4!$B$85</definedName>
    <definedName name="q18초YMDA1C07">QN18_e4!$B$86</definedName>
    <definedName name="q18초YMDA1C08">QN18_e4!$B$87</definedName>
    <definedName name="q18초YMDA1C09">QN18_e4!$B$88</definedName>
    <definedName name="q18초YMDA1C10">QN18_e4!$B$89</definedName>
    <definedName name="q18초YMDA1C11">QN18_e4!$B$90</definedName>
    <definedName name="q18초YMDA1C12">QN18_e4!$B$91</definedName>
    <definedName name="q18초YMDA1C13">QN18_e4!$B$92</definedName>
    <definedName name="q18초YMDA1C14">QN18_e4!$B$93</definedName>
    <definedName name="q18초YMDA1C15">QN18_e4!$B$94</definedName>
    <definedName name="q18초YPHY1A00">QN18_e4!$B$331</definedName>
    <definedName name="q18초YPHY1B00">QN18_e4!$B$336</definedName>
    <definedName name="q18초YPHY1C00">QN18_e4!$B$341</definedName>
    <definedName name="q18초YPHY2A00">QN18_e4!$B$346</definedName>
    <definedName name="q18초YPHY2B00">QN18_e4!$B$347</definedName>
    <definedName name="q18초YPSY1A01">QN18_e4!$B$158</definedName>
    <definedName name="q18초YPSY1A02">QN18_e4!$B$159</definedName>
    <definedName name="q18초YPSY1A03">QN18_e4!$B$160</definedName>
    <definedName name="q18초YPSY1A04">QN18_e4!$B$161</definedName>
    <definedName name="q18초YPSY1A05">QN18_e4!$B$162</definedName>
    <definedName name="q18초YPSY2A01">QN18_e4!$B$167</definedName>
    <definedName name="q18초YPSY2A02">QN18_e4!$B$168</definedName>
    <definedName name="q18초YPSY2A03">QN18_e4!$B$173</definedName>
    <definedName name="q18초YPSY2A04">QN18_e4!$B$174</definedName>
    <definedName name="q18초YPSY3A01">QN18_e4!$B$179</definedName>
    <definedName name="q18초YPSY3A02">QN18_e4!$B$180</definedName>
    <definedName name="q18초YPSY3A03">QN18_e4!$B$181</definedName>
    <definedName name="q18초YPSY3A04">QN18_e4!$B$182</definedName>
    <definedName name="q18초YPSY3A05">QN18_e4!$B$183</definedName>
    <definedName name="q18초YPSY3A06">QN18_e4!$B$184</definedName>
    <definedName name="q18초YPSY3A07">QN18_e4!$B$185</definedName>
    <definedName name="q18초YPSY3A08">QN18_e4!$B$186</definedName>
    <definedName name="q18초YPSY3A09">QN18_e4!$B$187</definedName>
    <definedName name="q18초YPSY3A10">QN18_e4!$B$188</definedName>
    <definedName name="q18초YPSY4A01">QN18_e4!$B$193</definedName>
    <definedName name="q18초YPSY4A02">QN18_e4!$B$194</definedName>
    <definedName name="q18초YPSY4A03">QN18_e4!$B$195</definedName>
    <definedName name="q18초YPSY4A04">QN18_e4!$B$196</definedName>
    <definedName name="q18초YPSY4A05">QN18_e4!$B$197</definedName>
    <definedName name="q18초YPSY4A06">QN18_e4!$B$198</definedName>
    <definedName name="q18초YPSY4A07">QN18_e4!$B$199</definedName>
    <definedName name="q18초YPSY4B01">QN18_e4!$B$200</definedName>
    <definedName name="q18초YPSY4B02">QN18_e4!$B$201</definedName>
    <definedName name="q18초YPSY4B03">QN18_e4!$B$202</definedName>
    <definedName name="q18초YPSY4B04">QN18_e4!$B$203</definedName>
    <definedName name="q18초YPSY4B05">QN18_e4!$B$204</definedName>
    <definedName name="q18초YPSY4B06">QN18_e4!$B$205</definedName>
    <definedName name="q18초YPSY4C01">QN18_e4!$B$206</definedName>
    <definedName name="q18초YPSY4C02">QN18_e4!$B$207</definedName>
    <definedName name="q18초YPSY4C03">QN18_e4!$B$208</definedName>
    <definedName name="q18초YPSY4C04">QN18_e4!$B$209</definedName>
    <definedName name="q18초YPSY4C05">QN18_e4!$B$210</definedName>
    <definedName name="q18초YPSY4C06">QN18_e4!$B$211</definedName>
    <definedName name="q18초YPSY4C07">QN18_e4!$B$212</definedName>
    <definedName name="q18초YPSY4C08">QN18_e4!$B$213</definedName>
    <definedName name="q18초YPSY4D01">QN18_e4!$B$214</definedName>
    <definedName name="q18초YPSY4D02">QN18_e4!$B$215</definedName>
    <definedName name="q18초YPSY4D03">QN18_e4!$B$216</definedName>
    <definedName name="q18초YPSY4D04">QN18_e4!$B$217</definedName>
    <definedName name="q18초YPSY4D05">QN18_e4!$B$218</definedName>
    <definedName name="q18초YPSY4E01">QN18_e4!$B$219</definedName>
    <definedName name="q18초YPSY4E02">QN18_e4!$B$220</definedName>
    <definedName name="q18초YPSY4E03">QN18_e4!$B$221</definedName>
    <definedName name="q18초YPSY4E04">QN18_e4!$B$222</definedName>
    <definedName name="q18초YPSY4E05">QN18_e4!$B$223</definedName>
    <definedName name="q18초YPSY4E06">QN18_e4!$B$224</definedName>
    <definedName name="q18초YPSY4E07">QN18_e4!$B$225</definedName>
    <definedName name="q18초YPSY4E08">QN18_e4!$B$226</definedName>
    <definedName name="q18초YPSY4E09">QN18_e4!$B$227</definedName>
    <definedName name="q18초YPSY4E10">QN18_e4!$B$228</definedName>
    <definedName name="q18초YPSY5A01">QN18_e4!$B$233</definedName>
    <definedName name="q18초YPSY5A02">QN18_e4!$B$234</definedName>
    <definedName name="q18초YPSY5A03">QN18_e4!$B$235</definedName>
    <definedName name="q18초YPSY5A04">QN18_e4!$B$236</definedName>
    <definedName name="q18초YPSY5A05">QN18_e4!$B$237</definedName>
    <definedName name="q18초YPSY5A06">QN18_e4!$B$238</definedName>
    <definedName name="q18초YPSY5A07">QN18_e4!$B$239</definedName>
    <definedName name="q18초YPSY5A08">QN18_e4!$B$240</definedName>
    <definedName name="q18초YPSY5A09">QN18_e4!$B$241</definedName>
    <definedName name="q18초YPSY5A10">QN18_e4!$B$242</definedName>
    <definedName name="q18초YPSY5A11">QN18_e4!$B$243</definedName>
    <definedName name="q18초YPSY5A12">QN18_e4!$B$244</definedName>
    <definedName name="q18초YPSY5A13">QN18_e4!$B$245</definedName>
    <definedName name="q18초YPSY5A14">QN18_e4!$B$246</definedName>
    <definedName name="q18초YPSY7A01">QN18_e4!$B$251</definedName>
    <definedName name="q18초YPSY7A02">QN18_e4!$B$252</definedName>
    <definedName name="q18초YPSY7A03">QN18_e4!$B$253</definedName>
    <definedName name="q18초YPSY7A04">QN18_e4!$B$254</definedName>
    <definedName name="q18초YPSY7A05">QN18_e4!$B$255</definedName>
    <definedName name="q18초YPSY7A06">QN18_e4!$B$256</definedName>
    <definedName name="q18초YPSY7A07">QN18_e4!$B$257</definedName>
    <definedName name="q18초YPSY7A08">QN18_e4!$B$258</definedName>
    <definedName name="q18초YTIM1A01">QN18_e4!$B$22</definedName>
    <definedName name="q18초YTIM1A02">QN18_e4!$B$23</definedName>
    <definedName name="q18초YTIM1A03">QN18_e4!$C$22</definedName>
    <definedName name="q18초YTIM1A04">QN18_e4!$C$23</definedName>
    <definedName name="q18초YTIM1B01">QN18_e4!$B$24</definedName>
    <definedName name="q18초YTIM1B02">QN18_e4!$B$25</definedName>
    <definedName name="q18초YTIM1B03">QN18_e4!$C$24</definedName>
    <definedName name="q18초YTIM1B04">QN18_e4!$C$25</definedName>
    <definedName name="q18초YTIM1C01">QN18_e4!$B$26</definedName>
    <definedName name="q18초YTIM1C02">QN18_e4!$C$26</definedName>
    <definedName name="q18초YTIM1D01">QN18_e4!$B$32</definedName>
    <definedName name="q18초YTIM1D02">QN18_e4!$B$33</definedName>
    <definedName name="q18초YTIM1E01">QN18_e4!$B$34</definedName>
    <definedName name="q18초YTIM1E02">QN18_e4!$B$35</definedName>
    <definedName name="q18초YTIM1F01">QN18_e4!$B$36</definedName>
    <definedName name="q18초YTIM1F02">QN18_e4!$B$37</definedName>
    <definedName name="q18초YTIM1G01">QN18_e4!$B$38</definedName>
    <definedName name="q18초YTIM1G02">QN18_e4!$B$39</definedName>
    <definedName name="q18초YTIM1H01">QN18_e4!$B$40</definedName>
    <definedName name="q18초YTIM1H02">QN18_e4!$B$41</definedName>
    <definedName name="q18초YTIM1I01">QN18_e4!$B$42</definedName>
    <definedName name="q18초YTIM1I02">QN18_e4!$B$43</definedName>
    <definedName name="q18초YTIM1J01">QN18_e4!$B$44</definedName>
    <definedName name="q18초YTIM1J02">QN18_e4!$B$45</definedName>
    <definedName name="q18초YTIM1K01">QN18_e4!$B$46</definedName>
    <definedName name="q18초YTIM1K02">QN18_e4!$B$47</definedName>
    <definedName name="q18초YTIM1L01">QN18_e4!$B$48</definedName>
    <definedName name="q18초YTIM1L02">QN18_e4!$B$49</definedName>
    <definedName name="q18초YTIM1M01">QN18_e4!$B$50</definedName>
    <definedName name="q18초YTIM1M02">QN18_e4!$B$51</definedName>
    <definedName name="q18초YTIM1N01">QN18_e4!$B$52</definedName>
    <definedName name="q18초YTIM1N02">QN18_e4!$B$53</definedName>
    <definedName name="q19보PARENT">QN19_p!$B$9</definedName>
    <definedName name="q19보PBRP1">QN19_p!$B$298</definedName>
    <definedName name="q19보PBRP2">QN19_p!$B$299</definedName>
    <definedName name="q19보PBRP3">QN19_p!$B$300</definedName>
    <definedName name="q19보PEDU1A00">QN19_p!$B$65</definedName>
    <definedName name="q19보PEDU1B01">QN19_p!$B$70</definedName>
    <definedName name="q19보PEDU1B02">QN19_p!$B$71</definedName>
    <definedName name="q19보PEDU1B02_T">QN19_p!$B$72</definedName>
    <definedName name="q19보PEDU1B03">QN19_p!$B$86</definedName>
    <definedName name="q19보PEDU1B04">QN19_p!$B$87</definedName>
    <definedName name="q19보PEDU1B04_T">QN19_p!$B$88</definedName>
    <definedName name="q19보PEDU1C00">QN19_p!$B$82</definedName>
    <definedName name="q19보PFAM1A00">QN19_p!$B$57</definedName>
    <definedName name="q19보PFAM1A00_T">QN19_p!$B$58</definedName>
    <definedName name="q19보PFAM2A01">QN19_p!$B$101</definedName>
    <definedName name="q19보PFAM2A01_T">QN19_p!$C$101</definedName>
    <definedName name="q19보PFAM2A02">QN19_p!$B$102</definedName>
    <definedName name="q19보PFAM2A02_T">QN19_p!$C$102</definedName>
    <definedName name="q19보PFAM2A03">QN19_p!$B$103</definedName>
    <definedName name="q19보PFAM2A03_T">QN19_p!$C$103</definedName>
    <definedName name="q19보PFAM2A04">QN19_p!$B$104</definedName>
    <definedName name="q19보PFAM2A04_T">QN19_p!$C$104</definedName>
    <definedName name="q19보PFAM3A00">QN19_p!$B$135</definedName>
    <definedName name="q19보PFAM3B00">QN19_p!$B$144</definedName>
    <definedName name="q19보PFAM3C00">QN19_p!$B$153</definedName>
    <definedName name="q19보PFAM3D00">QN19_p!$B$162</definedName>
    <definedName name="q19보PFAM5A01">QN19_p!$B$123</definedName>
    <definedName name="q19보PFAM5A02">QN19_p!$B$124</definedName>
    <definedName name="q19보PFAM5A03">QN19_p!$C$123</definedName>
    <definedName name="q19보PFAM5A04">QN19_p!$C$124</definedName>
    <definedName name="q19보PFAM5B01">QN19_p!$B$125</definedName>
    <definedName name="q19보PFAM5B02">QN19_p!$B$126</definedName>
    <definedName name="q19보PFAM5B03">QN19_p!$C$125</definedName>
    <definedName name="q19보PFAM5B04">QN19_p!$C$126</definedName>
    <definedName name="q19보PFAM5C01">QN19_p!$B$127</definedName>
    <definedName name="q19보PFAM5C02">QN19_p!$B$128</definedName>
    <definedName name="q19보PFAM5C03">QN19_p!$C$127</definedName>
    <definedName name="q19보PFAM5C04">QN19_p!$C$128</definedName>
    <definedName name="q19보PFAM5D01">QN19_p!$B$129</definedName>
    <definedName name="q19보PFAM5D02">QN19_p!$B$130</definedName>
    <definedName name="q19보PFAM5D03">QN19_p!$C$129</definedName>
    <definedName name="q19보PFAM5D04">QN19_p!$C$130</definedName>
    <definedName name="q19보PFAM5E01">QN19_p!$B$131</definedName>
    <definedName name="q19보PFAM5E02">QN19_p!$B$132</definedName>
    <definedName name="q19보PFAM5E03">QN19_p!$C$131</definedName>
    <definedName name="q19보PFAM5E04">QN19_p!$C$132</definedName>
    <definedName name="q19보PFAM6A00">QN19_p!$B$116</definedName>
    <definedName name="q19보PFAM6B00">QN19_p!$B$120</definedName>
    <definedName name="q19보PFRELATION1___PFBRTB1">QN19_p!$B$42</definedName>
    <definedName name="q19보PFRELATION2___PFBRTB2">QN19_p!$B$43</definedName>
    <definedName name="q19보PFRELATION3___PFBRTB3">QN19_p!$B$44</definedName>
    <definedName name="q19보PFRELATION4___PFBRTB4">QN19_p!$B$45</definedName>
    <definedName name="q19보PFRELATION5___PFBRTB5">QN19_p!$B$46</definedName>
    <definedName name="q19보PFRELATION6___PFBRTB6">QN19_p!$B$47</definedName>
    <definedName name="q19보PFRELATION7___PFBRTB7">QN19_p!$B$48</definedName>
    <definedName name="q19보PFRELATION8___PFBRTB8">QN19_p!$B$49</definedName>
    <definedName name="q19보PHOMPOP">QN19_p!$B$24</definedName>
    <definedName name="q19보PINCOME">QN19_p!$B$325</definedName>
    <definedName name="q19보PINCOME1">QN19_p!$B$335</definedName>
    <definedName name="q19보PJOB1">QN19_p!$B$320</definedName>
    <definedName name="q19보PJOB1_T">QN19_p!$C$320</definedName>
    <definedName name="q19보PJOB2">QN19_p!$B$321</definedName>
    <definedName name="q19보PJOB2_T">QN19_p!$C$321</definedName>
    <definedName name="q19보PJOB3">QN19_p!$B$322</definedName>
    <definedName name="q19보PJOB3_T">QN19_p!$C$322</definedName>
    <definedName name="q19보PMDA1A00">QN19_p!$B$171</definedName>
    <definedName name="q19보PMDA1B01">QN19_p!$B$179</definedName>
    <definedName name="q19보PMDA1B02">QN19_p!$B$180</definedName>
    <definedName name="q19보PMDA1B03">QN19_p!$B$181</definedName>
    <definedName name="q19보PMDA1B04">QN19_p!$B$182</definedName>
    <definedName name="q19보PMDA1B05">QN19_p!$B$183</definedName>
    <definedName name="q19보PMDA1B06">QN19_p!$B$184</definedName>
    <definedName name="q19보PMDA1B07">QN19_p!$B$185</definedName>
    <definedName name="q19보PMDA1B08">QN19_p!$B$186</definedName>
    <definedName name="q19보PMDA1B09">QN19_p!$B$187</definedName>
    <definedName name="q19보PMDA1B10">QN19_p!$B$188</definedName>
    <definedName name="q19보PMDA1B11">QN19_p!$B$189</definedName>
    <definedName name="q19보PMDA1B12">QN19_p!$B$190</definedName>
    <definedName name="q19보PMDA1B13">QN19_p!$B$191</definedName>
    <definedName name="q19보PMDA1B13_T">QN19_p!$C$191</definedName>
    <definedName name="q19보PMDA1C01">QN19_p!$B$196</definedName>
    <definedName name="q19보PMDA1C02">QN19_p!$B$197</definedName>
    <definedName name="q19보PMDA1C03">QN19_p!$B$198</definedName>
    <definedName name="q19보PMDA1C04">QN19_p!$B$199</definedName>
    <definedName name="q19보PMDA1C05">QN19_p!$B$200</definedName>
    <definedName name="q19보PMDA1C06">QN19_p!$B$201</definedName>
    <definedName name="q19보PMDA1C07">QN19_p!$B$202</definedName>
    <definedName name="q19보PMDA1C08">QN19_p!$B$203</definedName>
    <definedName name="q19보PMDA1C09">QN19_p!$B$204</definedName>
    <definedName name="q19보PMDA1C10">QN19_p!$B$205</definedName>
    <definedName name="q19보PMDA1C11">QN19_p!$B$206</definedName>
    <definedName name="q19보PMDA1C12">QN19_p!$B$207</definedName>
    <definedName name="q19보PMDA1C13">QN19_p!$B$208</definedName>
    <definedName name="q19보PMDA1C14">QN19_p!$B$209</definedName>
    <definedName name="q19보PMDA1C15">QN19_p!$B$210</definedName>
    <definedName name="q19보PPHY1A00">QN19_p!$B$279</definedName>
    <definedName name="q19보PPHY1B00">QN19_p!$B$284</definedName>
    <definedName name="q19보PPHY1C00">QN19_p!$B$289</definedName>
    <definedName name="q19보PPHY2A00">QN19_p!$B$294</definedName>
    <definedName name="q19보PPHY2B00">QN19_p!$B$295</definedName>
    <definedName name="q19보PPSY1A01">QN19_p!$B$215</definedName>
    <definedName name="q19보PPSY1A02">QN19_p!$B$216</definedName>
    <definedName name="q19보PPSY1A03">QN19_p!$B$217</definedName>
    <definedName name="q19보PPSY1A04">QN19_p!$B$218</definedName>
    <definedName name="q19보PPSY1A05">QN19_p!$B$219</definedName>
    <definedName name="q19보PPSY2A01">QN19_p!$B$224</definedName>
    <definedName name="q19보PPSY2A02">QN19_p!$B$225</definedName>
    <definedName name="q19보PPSY2A03">QN19_p!$B$230</definedName>
    <definedName name="q19보PPSY2A04">QN19_p!$B$231</definedName>
    <definedName name="q19보PPSY3A01">QN19_p!$B$236</definedName>
    <definedName name="q19보PPSY3A02">QN19_p!$B$237</definedName>
    <definedName name="q19보PPSY3A03">QN19_p!$B$238</definedName>
    <definedName name="q19보PPSY3A04">QN19_p!$B$239</definedName>
    <definedName name="q19보PPSY3A05">QN19_p!$B$240</definedName>
    <definedName name="q19보PPSY3A06">QN19_p!$B$241</definedName>
    <definedName name="q19보PPSY3A07">QN19_p!$B$242</definedName>
    <definedName name="q19보PPSY3A08">QN19_p!$B$243</definedName>
    <definedName name="q19보PPSY3A09">QN19_p!$B$244</definedName>
    <definedName name="q19보PPSY3A10">QN19_p!$B$245</definedName>
    <definedName name="q19보PPSY4A01">QN19_p!$B$250</definedName>
    <definedName name="q19보PPSY4A02">QN19_p!$C$250</definedName>
    <definedName name="q19보PPSY4A03">QN19_p!$B$251</definedName>
    <definedName name="q19보PPSY4A04">QN19_p!$C$251</definedName>
    <definedName name="q19보PPSY4A05">QN19_p!$B$252</definedName>
    <definedName name="q19보PPSY4A06">QN19_p!$C$252</definedName>
    <definedName name="q19보PPSY4A07">QN19_p!$B$253</definedName>
    <definedName name="q19보PPSY4A08">QN19_p!$C$253</definedName>
    <definedName name="q19보PPSY4A09">QN19_p!$B$254</definedName>
    <definedName name="q19보PPSY4A10">QN19_p!$C$254</definedName>
    <definedName name="q19보PPSY4A11">QN19_p!$B$255</definedName>
    <definedName name="q19보PPSY4A12">QN19_p!$C$255</definedName>
    <definedName name="q19보PPSY4A13">QN19_p!$B$256</definedName>
    <definedName name="q19보PPSY4A14">QN19_p!$C$256</definedName>
    <definedName name="q19보PPSY4A15">QN19_p!$B$257</definedName>
    <definedName name="q19보PPSY4A16">QN19_p!$C$257</definedName>
    <definedName name="q19보PPSY4A17">QN19_p!$B$258</definedName>
    <definedName name="q19보PPSY4A18">QN19_p!$C$258</definedName>
    <definedName name="q19보PPSY4A19">QN19_p!$B$259</definedName>
    <definedName name="q19보PPSY4A20">QN19_p!$C$259</definedName>
    <definedName name="q19보PPSY4A21">QN19_p!$B$260</definedName>
    <definedName name="q19보PPSY4A22">QN19_p!$C$260</definedName>
    <definedName name="q19보PPSY4A23">QN19_p!$B$261</definedName>
    <definedName name="q19보PPSY4A24">QN19_p!$C$261</definedName>
    <definedName name="q19보PPSY4A25">QN19_p!$B$262</definedName>
    <definedName name="q19보PPSY4A26">QN19_p!$C$262</definedName>
    <definedName name="q19보PPSY4A27">QN19_p!$B$263</definedName>
    <definedName name="q19보PPSY4A28">QN19_p!$C$263</definedName>
    <definedName name="q19보PPSY4A29">QN19_p!$B$264</definedName>
    <definedName name="q19보PPSY4A30">QN19_p!$C$264</definedName>
    <definedName name="q19보PPSY5A01">QN19_p!$B$269</definedName>
    <definedName name="q19보PPSY5A02">QN19_p!$B$270</definedName>
    <definedName name="q19보PPSY5A03">QN19_p!$B$271</definedName>
    <definedName name="q19보PPSY5A04">QN19_p!$B$272</definedName>
    <definedName name="q19보PPSY5A05">QN19_p!$B$273</definedName>
    <definedName name="q19보PPSY5A06">QN19_p!$B$274</definedName>
    <definedName name="q19보PPSY5A07">QN19_p!$B$275</definedName>
    <definedName name="q19보PPSY5A08">QN19_p!$B$276</definedName>
    <definedName name="q19보PSCHOOL1">QN19_p!$B$305</definedName>
    <definedName name="q19보PSCHOOL2">QN19_p!$B$306</definedName>
    <definedName name="q19보PSCHOOL3">QN19_p!$B$307</definedName>
    <definedName name="q19보PWORKW1">QN19_p!$B$313</definedName>
    <definedName name="q19보PWORKW2">QN19_p!$B$314</definedName>
    <definedName name="q19보PWORKW3">QN19_p!$B$315</definedName>
    <definedName name="q19보PYBRP1">QN19_p!$B$52</definedName>
    <definedName name="q19보PYBRP2">QN19_p!$B$53</definedName>
    <definedName name="q19보PYBRP3">QN19_p!$B$54</definedName>
    <definedName name="q19보PYBRT1A">QN19_p!$B$16</definedName>
    <definedName name="q19보PYBRT1B">QN19_p!$B$17</definedName>
    <definedName name="q19보PYGENDER">QN19_p!$B$20</definedName>
    <definedName name="q19중YACT1A01">QN19_m1!$B$102</definedName>
    <definedName name="q19중YACT1A02">QN19_m1!$B$103</definedName>
    <definedName name="q19중YACT1A03">QN19_m1!$B$104</definedName>
    <definedName name="q19중YACT1A04">QN19_m1!$B$105</definedName>
    <definedName name="q19중YACT1A05">QN19_m1!$B$106</definedName>
    <definedName name="q19중YACT1A06">QN19_m1!$B$107</definedName>
    <definedName name="q19중YACT1A07">QN19_m1!$B$108</definedName>
    <definedName name="q19중YACT1A08">QN19_m1!$B$109</definedName>
    <definedName name="q19중YACT1A09">QN19_m1!$B$110</definedName>
    <definedName name="q19중YACT1B01">QN19_m1!$C$102</definedName>
    <definedName name="q19중YACT1B02">QN19_m1!$C$103</definedName>
    <definedName name="q19중YACT1B03">QN19_m1!$C$104</definedName>
    <definedName name="q19중YACT1B04">QN19_m1!$C$105</definedName>
    <definedName name="q19중YACT1B05">QN19_m1!$C$106</definedName>
    <definedName name="q19중YACT1B06">QN19_m1!$C$107</definedName>
    <definedName name="q19중YACT1B07">QN19_m1!$C$108</definedName>
    <definedName name="q19중YACT1B08">QN19_m1!$C$109</definedName>
    <definedName name="q19중YACT1B09">QN19_m1!$C$110</definedName>
    <definedName name="q19중YACT2A01">QN19_m1!$B$116</definedName>
    <definedName name="q19중YACT2A02">QN19_m1!$B$117</definedName>
    <definedName name="q19중YACT2B01">QN19_m1!$C$116</definedName>
    <definedName name="q19중YACT2B02">QN19_m1!$C$117</definedName>
    <definedName name="q19중YACT3A00">QN19_m1!$B$120</definedName>
    <definedName name="q19중YACT3B01">QN19_m1!$B$128</definedName>
    <definedName name="q19중YACT3B02">QN19_m1!$B$129</definedName>
    <definedName name="q19중YACT3B03">QN19_m1!$B$130</definedName>
    <definedName name="q19중YACT3B04">QN19_m1!$B$131</definedName>
    <definedName name="q19중YACT3B05">QN19_m1!$B$132</definedName>
    <definedName name="q19중YACT3B06">QN19_m1!$B$133</definedName>
    <definedName name="q19중YACT3B07">QN19_m1!$B$134</definedName>
    <definedName name="q19중YACT3B08">QN19_m1!$B$135</definedName>
    <definedName name="q19중YACT3B09">QN19_m1!$B$136</definedName>
    <definedName name="q19중YBRT1A">QN19_m1!$B$10</definedName>
    <definedName name="q19중YBRT1B">QN19_m1!$B$11</definedName>
    <definedName name="q19중YDLQ1A01">QN19_m1!$B$446</definedName>
    <definedName name="q19중YDLQ1A02">QN19_m1!$B$447</definedName>
    <definedName name="q19중YDLQ1A03">QN19_m1!$B$448</definedName>
    <definedName name="q19중YDLQ1A04">QN19_m1!$B$449</definedName>
    <definedName name="q19중YDLQ1A05">QN19_m1!$B$450</definedName>
    <definedName name="q19중YDLQ1A06">QN19_m1!$B$451</definedName>
    <definedName name="q19중YDLQ1A07">QN19_m1!$B$452</definedName>
    <definedName name="q19중YDLQ1A08">QN19_m1!$B$453</definedName>
    <definedName name="q19중YDLQ1A09">QN19_m1!$B$454</definedName>
    <definedName name="q19중YDLQ1A10">QN19_m1!$B$455</definedName>
    <definedName name="q19중YDLQ1A11">QN19_m1!$B$456</definedName>
    <definedName name="q19중YDLQ1A12">QN19_m1!$B$457</definedName>
    <definedName name="q19중YDLQ1A13">QN19_m1!$B$458</definedName>
    <definedName name="q19중YDLQ1A14">QN19_m1!$B$459</definedName>
    <definedName name="q19중YDLQ1A15">QN19_m1!$B$460</definedName>
    <definedName name="q19중YDLQ2A01">QN19_m1!$B$466</definedName>
    <definedName name="q19중YDLQ2A02">QN19_m1!$B$467</definedName>
    <definedName name="q19중YDLQ2A03">QN19_m1!$B$468</definedName>
    <definedName name="q19중YDLQ2A04">QN19_m1!$B$469</definedName>
    <definedName name="q19중YDLQ2A05">QN19_m1!$B$470</definedName>
    <definedName name="q19중YDLQ2A06">QN19_m1!$B$471</definedName>
    <definedName name="q19중YDLQ2A07">QN19_m1!$B$472</definedName>
    <definedName name="q19중YDLQ2A08">QN19_m1!$B$473</definedName>
    <definedName name="q19중YDLQ2A09">QN19_m1!$B$474</definedName>
    <definedName name="q19중YDLQ2A10">QN19_m1!$B$475</definedName>
    <definedName name="q19중YDLQ2A11">QN19_m1!$B$476</definedName>
    <definedName name="q19중YDLQ2A12">QN19_m1!$B$477</definedName>
    <definedName name="q19중YDLQ2A13">QN19_m1!$B$478</definedName>
    <definedName name="q19중YDLQ2A14">QN19_m1!$B$479</definedName>
    <definedName name="q19중YDLQ2A15">QN19_m1!$B$480</definedName>
    <definedName name="q19중YEDU1A00">QN19_m1!$B$157</definedName>
    <definedName name="q19중YEDU2A01">QN19_m1!$B$410</definedName>
    <definedName name="q19중YEDU2A02">QN19_m1!$B$411</definedName>
    <definedName name="q19중YEDU2A03">QN19_m1!$B$412</definedName>
    <definedName name="q19중YEDU2A04">QN19_m1!$B$413</definedName>
    <definedName name="q19중YEDU2A05">QN19_m1!$B$414</definedName>
    <definedName name="q19중YEDU2A06">QN19_m1!$B$415</definedName>
    <definedName name="q19중YEDU2A07">QN19_m1!$B$416</definedName>
    <definedName name="q19중YEDU2A08">QN19_m1!$B$417</definedName>
    <definedName name="q19중YEDU2A09">QN19_m1!$B$418</definedName>
    <definedName name="q19중YEDU2A10">QN19_m1!$B$419</definedName>
    <definedName name="q19중YEDU2A11">QN19_m1!$B$420</definedName>
    <definedName name="q19중YEDU2A12">QN19_m1!$B$421</definedName>
    <definedName name="q19중YEDU2A13">QN19_m1!$B$422</definedName>
    <definedName name="q19중YEDU3A01">QN19_m1!$B$427</definedName>
    <definedName name="q19중YEDU3A02">QN19_m1!$B$428</definedName>
    <definedName name="q19중YEDU3A03">QN19_m1!$B$429</definedName>
    <definedName name="q19중YEDU3A04">QN19_m1!$B$430</definedName>
    <definedName name="q19중YEDU3A05">QN19_m1!$B$431</definedName>
    <definedName name="q19중YEDU3A06">QN19_m1!$B$432</definedName>
    <definedName name="q19중YEDU3A07">QN19_m1!$B$433</definedName>
    <definedName name="q19중YEDU3A08">QN19_m1!$B$434</definedName>
    <definedName name="q19중YEDU3A09">QN19_m1!$B$435</definedName>
    <definedName name="q19중YEDU3A10">QN19_m1!$B$436</definedName>
    <definedName name="q19중YEDU3A11">QN19_m1!$B$437</definedName>
    <definedName name="q19중YEDU3A12">QN19_m1!$B$438</definedName>
    <definedName name="q19중YEDU3A13">QN19_m1!$B$439</definedName>
    <definedName name="q19중YEDU3A14">QN19_m1!$B$440</definedName>
    <definedName name="q19중YFAM1A01">QN19_m1!$B$357</definedName>
    <definedName name="q19중YFAM1A02">QN19_m1!$B$358</definedName>
    <definedName name="q19중YFAM1A03">QN19_m1!$C$357</definedName>
    <definedName name="q19중YFAM1A04">QN19_m1!$C$358</definedName>
    <definedName name="q19중YFAM1B01">QN19_m1!$B$368</definedName>
    <definedName name="q19중YFAM1B02">QN19_m1!$B$369</definedName>
    <definedName name="q19중YFAM1B03">QN19_m1!$C$368</definedName>
    <definedName name="q19중YFAM1B04">QN19_m1!$C$369</definedName>
    <definedName name="q19중YFAM1C01">QN19_m1!$B$370</definedName>
    <definedName name="q19중YFAM1C02">QN19_m1!$B$371</definedName>
    <definedName name="q19중YFAM1C03">QN19_m1!$C$370</definedName>
    <definedName name="q19중YFAM1C04">QN19_m1!$C$371</definedName>
    <definedName name="q19중YFAM1D01">QN19_m1!$B$372</definedName>
    <definedName name="q19중YFAM1D02">QN19_m1!$B$373</definedName>
    <definedName name="q19중YFAM1D03">QN19_m1!$C$372</definedName>
    <definedName name="q19중YFAM1D04">QN19_m1!$C$373</definedName>
    <definedName name="q19중YFAM1E01">QN19_m1!$B$374</definedName>
    <definedName name="q19중YFAM1E02">QN19_m1!$B$375</definedName>
    <definedName name="q19중YFAM1E03">QN19_m1!$C$374</definedName>
    <definedName name="q19중YFAM1E04">QN19_m1!$C$375</definedName>
    <definedName name="q19중YFAM1F01">QN19_m1!$B$376</definedName>
    <definedName name="q19중YFAM1F02">QN19_m1!$B$377</definedName>
    <definedName name="q19중YFAM1F03">QN19_m1!$C$376</definedName>
    <definedName name="q19중YFAM1F04">QN19_m1!$C$377</definedName>
    <definedName name="q19중YFAM2A01">QN19_m1!$B$382</definedName>
    <definedName name="q19중YFAM2A02">QN19_m1!$B$383</definedName>
    <definedName name="q19중YFAM2A03">QN19_m1!$B$384</definedName>
    <definedName name="q19중YFAM2A04">QN19_m1!$B$385</definedName>
    <definedName name="q19중YFAM2B01">QN19_m1!$B$386</definedName>
    <definedName name="q19중YFAM2B02">QN19_m1!$B$387</definedName>
    <definedName name="q19중YFAM2B03">QN19_m1!$B$388</definedName>
    <definedName name="q19중YFAM2B04">QN19_m1!$B$389</definedName>
    <definedName name="q19중YFAM2C01">QN19_m1!$B$390</definedName>
    <definedName name="q19중YFAM2C02">QN19_m1!$B$391</definedName>
    <definedName name="q19중YFAM2C03">QN19_m1!$B$392</definedName>
    <definedName name="q19중YFAM2C04">QN19_m1!$B$393</definedName>
    <definedName name="q19중YFAM2D01">QN19_m1!$B$394</definedName>
    <definedName name="q19중YFAM2D02">QN19_m1!$B$395</definedName>
    <definedName name="q19중YFAM2D03">QN19_m1!$B$396</definedName>
    <definedName name="q19중YFAM2D04">QN19_m1!$B$397</definedName>
    <definedName name="q19중YFAM2E01">QN19_m1!$B$398</definedName>
    <definedName name="q19중YFAM2E02">QN19_m1!$B$399</definedName>
    <definedName name="q19중YFAM2E03">QN19_m1!$B$400</definedName>
    <definedName name="q19중YFAM2E04">QN19_m1!$B$401</definedName>
    <definedName name="q19중YFAM2F01">QN19_m1!$B$402</definedName>
    <definedName name="q19중YFAM2F02">QN19_m1!$B$403</definedName>
    <definedName name="q19중YFAM2F03">QN19_m1!$B$404</definedName>
    <definedName name="q19중YFAM2F04">QN19_m1!$B$405</definedName>
    <definedName name="q19중YFAM3A00">QN19_m1!$B$361</definedName>
    <definedName name="q19중YFAM3B00">QN19_m1!$B$365</definedName>
    <definedName name="q19중YFUR1A00">QN19_m1!$B$206</definedName>
    <definedName name="q19중YFUR1B00">QN19_m1!$B$212</definedName>
    <definedName name="q19중YFUR2A01">QN19_m1!$B$220</definedName>
    <definedName name="q19중YFUR2A02">QN19_m1!$B$221</definedName>
    <definedName name="q19중YFUR2A03">QN19_m1!$B$222</definedName>
    <definedName name="q19중YFUR2A04">QN19_m1!$B$223</definedName>
    <definedName name="q19중YFUR2A05">QN19_m1!$B$224</definedName>
    <definedName name="q19중YFUR2A06">QN19_m1!$B$225</definedName>
    <definedName name="q19중YFUR2A07">QN19_m1!$B$226</definedName>
    <definedName name="q19중YFUR2A08">QN19_m1!$B$227</definedName>
    <definedName name="q19중YFUR2A08_T">QN19_m1!$C$227</definedName>
    <definedName name="q19중YGENDER">QN19_m1!$B$14</definedName>
    <definedName name="q19중YINT1A00">QN19_m1!$B$139</definedName>
    <definedName name="q19중YINT1B00">QN19_m1!$B$148</definedName>
    <definedName name="q19중YINT2A01">QN19_m1!$B$168</definedName>
    <definedName name="q19중YINT2A02">QN19_m1!$B$169</definedName>
    <definedName name="q19중YINT2A03">QN19_m1!$B$170</definedName>
    <definedName name="q19중YINT2A04">QN19_m1!$B$171</definedName>
    <definedName name="q19중YINT2A05">QN19_m1!$B$172</definedName>
    <definedName name="q19중YINT2A06">QN19_m1!$B$173</definedName>
    <definedName name="q19중YINT2A07">QN19_m1!$B$174</definedName>
    <definedName name="q19중YINT2A08">QN19_m1!$B$175</definedName>
    <definedName name="q19중YINT2A09">QN19_m1!$B$176</definedName>
    <definedName name="q19중YINT2A10">QN19_m1!$B$177</definedName>
    <definedName name="q19중YINT2A11">QN19_m1!$B$178</definedName>
    <definedName name="q19중YINT2A12">QN19_m1!$B$179</definedName>
    <definedName name="q19중YINT2A13">QN19_m1!$B$180</definedName>
    <definedName name="q19중YINT2A14">QN19_m1!$B$181</definedName>
    <definedName name="q19중YINT2A15">QN19_m1!$B$182</definedName>
    <definedName name="q19중YINT2A16">QN19_m1!$B$183</definedName>
    <definedName name="q19중YINT2B01">QN19_m1!$B$188</definedName>
    <definedName name="q19중YINT2B02">QN19_m1!$B$189</definedName>
    <definedName name="q19중YINT2B03">QN19_m1!$B$190</definedName>
    <definedName name="q19중YINT2B04">QN19_m1!$B$191</definedName>
    <definedName name="q19중YINT2B05">QN19_m1!$B$192</definedName>
    <definedName name="q19중YINT2B06">QN19_m1!$B$193</definedName>
    <definedName name="q19중YINT2B07">QN19_m1!$B$194</definedName>
    <definedName name="q19중YINT2B08">QN19_m1!$B$195</definedName>
    <definedName name="q19중YINT2B09">QN19_m1!$B$196</definedName>
    <definedName name="q19중YINT2B10">QN19_m1!$B$197</definedName>
    <definedName name="q19중YINT2B11">QN19_m1!$B$198</definedName>
    <definedName name="q19중YINT2B12">QN19_m1!$B$199</definedName>
    <definedName name="q19중YINT2B13">QN19_m1!$B$200</definedName>
    <definedName name="q19중YINT2B14">QN19_m1!$B$201</definedName>
    <definedName name="q19중YINT2B15">QN19_m1!$B$202</definedName>
    <definedName name="q19중YINT2B16">QN19_m1!$B$203</definedName>
    <definedName name="q19중YMDA1A00">QN19_m1!$B$56</definedName>
    <definedName name="q19중YMDA1B01">QN19_m1!$B$64</definedName>
    <definedName name="q19중YMDA1B02">QN19_m1!$B$65</definedName>
    <definedName name="q19중YMDA1B03">QN19_m1!$B$66</definedName>
    <definedName name="q19중YMDA1B04">QN19_m1!$B$67</definedName>
    <definedName name="q19중YMDA1B05">QN19_m1!$B$68</definedName>
    <definedName name="q19중YMDA1B06">QN19_m1!$B$69</definedName>
    <definedName name="q19중YMDA1B07">QN19_m1!$B$70</definedName>
    <definedName name="q19중YMDA1B08">QN19_m1!$B$71</definedName>
    <definedName name="q19중YMDA1B09">QN19_m1!$B$72</definedName>
    <definedName name="q19중YMDA1B10">QN19_m1!$B$73</definedName>
    <definedName name="q19중YMDA1B11">QN19_m1!$B$74</definedName>
    <definedName name="q19중YMDA1B12">QN19_m1!$B$75</definedName>
    <definedName name="q19중YMDA1B13">QN19_m1!$B$76</definedName>
    <definedName name="q19중YMDA1B13_T">QN19_m1!$C$76</definedName>
    <definedName name="q19중YMDA1C01">QN19_m1!$B$81</definedName>
    <definedName name="q19중YMDA1C02">QN19_m1!$B$82</definedName>
    <definedName name="q19중YMDA1C03">QN19_m1!$B$83</definedName>
    <definedName name="q19중YMDA1C04">QN19_m1!$B$84</definedName>
    <definedName name="q19중YMDA1C05">QN19_m1!$B$85</definedName>
    <definedName name="q19중YMDA1C06">QN19_m1!$B$86</definedName>
    <definedName name="q19중YMDA1C07">QN19_m1!$B$87</definedName>
    <definedName name="q19중YMDA1C08">QN19_m1!$B$88</definedName>
    <definedName name="q19중YMDA1C09">QN19_m1!$B$89</definedName>
    <definedName name="q19중YMDA1C10">QN19_m1!$B$90</definedName>
    <definedName name="q19중YMDA1C11">QN19_m1!$B$91</definedName>
    <definedName name="q19중YMDA1C12">QN19_m1!$B$92</definedName>
    <definedName name="q19중YMDA1C13">QN19_m1!$B$93</definedName>
    <definedName name="q19중YMDA1C14">QN19_m1!$B$94</definedName>
    <definedName name="q19중YMDA1C15">QN19_m1!$B$95</definedName>
    <definedName name="q19중YPHY1A00">QN19_m1!$B$483</definedName>
    <definedName name="q19중YPHY1B00">QN19_m1!$B$488</definedName>
    <definedName name="q19중YPHY1C00">QN19_m1!$B$493</definedName>
    <definedName name="q19중YPHY2A00">QN19_m1!$B$498</definedName>
    <definedName name="q19중YPHY2B00">QN19_m1!$B$499</definedName>
    <definedName name="q19중YPHY2C00">QN19_m1!$B$502</definedName>
    <definedName name="q19중YPSY1A01">QN19_m1!$B$232</definedName>
    <definedName name="q19중YPSY1A02">QN19_m1!$B$233</definedName>
    <definedName name="q19중YPSY1A03">QN19_m1!$B$234</definedName>
    <definedName name="q19중YPSY1A04">QN19_m1!$B$235</definedName>
    <definedName name="q19중YPSY1A05">QN19_m1!$B$236</definedName>
    <definedName name="q19중YPSY2A01">QN19_m1!$B$241</definedName>
    <definedName name="q19중YPSY2A02">QN19_m1!$B$242</definedName>
    <definedName name="q19중YPSY2A03">QN19_m1!$B$247</definedName>
    <definedName name="q19중YPSY2A04">QN19_m1!$B$248</definedName>
    <definedName name="q19중YPSY3A01">QN19_m1!$B$253</definedName>
    <definedName name="q19중YPSY3A02">QN19_m1!$B$254</definedName>
    <definedName name="q19중YPSY3A03">QN19_m1!$B$255</definedName>
    <definedName name="q19중YPSY3A04">QN19_m1!$B$256</definedName>
    <definedName name="q19중YPSY3A05">QN19_m1!$B$257</definedName>
    <definedName name="q19중YPSY3A06">QN19_m1!$B$258</definedName>
    <definedName name="q19중YPSY3A07">QN19_m1!$B$259</definedName>
    <definedName name="q19중YPSY3A08">QN19_m1!$B$260</definedName>
    <definedName name="q19중YPSY3A09">QN19_m1!$B$261</definedName>
    <definedName name="q19중YPSY3A10">QN19_m1!$B$262</definedName>
    <definedName name="q19중YPSY4A01">QN19_m1!$B$267</definedName>
    <definedName name="q19중YPSY4A02">QN19_m1!$B$268</definedName>
    <definedName name="q19중YPSY4A03">QN19_m1!$B$269</definedName>
    <definedName name="q19중YPSY4A04">QN19_m1!$B$270</definedName>
    <definedName name="q19중YPSY4A05">QN19_m1!$B$271</definedName>
    <definedName name="q19중YPSY4A06">QN19_m1!$B$272</definedName>
    <definedName name="q19중YPSY4A07">QN19_m1!$B$273</definedName>
    <definedName name="q19중YPSY4B01">QN19_m1!$B$274</definedName>
    <definedName name="q19중YPSY4B02">QN19_m1!$B$275</definedName>
    <definedName name="q19중YPSY4B03">QN19_m1!$B$276</definedName>
    <definedName name="q19중YPSY4B04">QN19_m1!$B$277</definedName>
    <definedName name="q19중YPSY4B05">QN19_m1!$B$278</definedName>
    <definedName name="q19중YPSY4B06">QN19_m1!$B$279</definedName>
    <definedName name="q19중YPSY4C01">QN19_m1!$B$280</definedName>
    <definedName name="q19중YPSY4C02">QN19_m1!$B$281</definedName>
    <definedName name="q19중YPSY4C03">QN19_m1!$B$282</definedName>
    <definedName name="q19중YPSY4C04">QN19_m1!$B$283</definedName>
    <definedName name="q19중YPSY4C05">QN19_m1!$B$284</definedName>
    <definedName name="q19중YPSY4C06">QN19_m1!$B$285</definedName>
    <definedName name="q19중YPSY4C07">QN19_m1!$B$286</definedName>
    <definedName name="q19중YPSY4C08">QN19_m1!$B$287</definedName>
    <definedName name="q19중YPSY4D01">QN19_m1!$B$288</definedName>
    <definedName name="q19중YPSY4D02">QN19_m1!$B$289</definedName>
    <definedName name="q19중YPSY4D03">QN19_m1!$B$290</definedName>
    <definedName name="q19중YPSY4D04">QN19_m1!$B$291</definedName>
    <definedName name="q19중YPSY4D05">QN19_m1!$B$292</definedName>
    <definedName name="q19중YPSY4E01">QN19_m1!$B$293</definedName>
    <definedName name="q19중YPSY4E02">QN19_m1!$B$294</definedName>
    <definedName name="q19중YPSY4E03">QN19_m1!$B$295</definedName>
    <definedName name="q19중YPSY4E04">QN19_m1!$B$296</definedName>
    <definedName name="q19중YPSY4E05">QN19_m1!$B$297</definedName>
    <definedName name="q19중YPSY4E06">QN19_m1!$B$298</definedName>
    <definedName name="q19중YPSY4E07">QN19_m1!$B$299</definedName>
    <definedName name="q19중YPSY4E08">QN19_m1!$B$300</definedName>
    <definedName name="q19중YPSY4E09">QN19_m1!$B$301</definedName>
    <definedName name="q19중YPSY4E10">QN19_m1!$B$302</definedName>
    <definedName name="q19중YPSY5A01">QN19_m1!$B$307</definedName>
    <definedName name="q19중YPSY5A02">QN19_m1!$B$308</definedName>
    <definedName name="q19중YPSY5A03">QN19_m1!$B$309</definedName>
    <definedName name="q19중YPSY5A04">QN19_m1!$B$310</definedName>
    <definedName name="q19중YPSY5A05">QN19_m1!$B$311</definedName>
    <definedName name="q19중YPSY5A06">QN19_m1!$B$312</definedName>
    <definedName name="q19중YPSY5A07">QN19_m1!$B$313</definedName>
    <definedName name="q19중YPSY5A08">QN19_m1!$B$314</definedName>
    <definedName name="q19중YPSY5A09">QN19_m1!$B$315</definedName>
    <definedName name="q19중YPSY5A10">QN19_m1!$B$316</definedName>
    <definedName name="q19중YPSY5A11">QN19_m1!$B$317</definedName>
    <definedName name="q19중YPSY5A12">QN19_m1!$B$318</definedName>
    <definedName name="q19중YPSY5A13">QN19_m1!$B$319</definedName>
    <definedName name="q19중YPSY5A14">QN19_m1!$B$320</definedName>
    <definedName name="q19중YPSY6A01">QN19_m1!$B$325</definedName>
    <definedName name="q19중YPSY6A02">QN19_m1!$C$325</definedName>
    <definedName name="q19중YPSY6A03">QN19_m1!$B$326</definedName>
    <definedName name="q19중YPSY6A04">QN19_m1!$C$326</definedName>
    <definedName name="q19중YPSY6A05">QN19_m1!$B$327</definedName>
    <definedName name="q19중YPSY6A06">QN19_m1!$C$327</definedName>
    <definedName name="q19중YPSY6A07">QN19_m1!$B$328</definedName>
    <definedName name="q19중YPSY6A08">QN19_m1!$C$328</definedName>
    <definedName name="q19중YPSY6A09">QN19_m1!$B$329</definedName>
    <definedName name="q19중YPSY6A10">QN19_m1!$C$329</definedName>
    <definedName name="q19중YPSY6A11">QN19_m1!$B$330</definedName>
    <definedName name="q19중YPSY6A12">QN19_m1!$C$330</definedName>
    <definedName name="q19중YPSY6A13">QN19_m1!$B$331</definedName>
    <definedName name="q19중YPSY6A14">QN19_m1!$C$331</definedName>
    <definedName name="q19중YPSY6A15">QN19_m1!$B$332</definedName>
    <definedName name="q19중YPSY6A16">QN19_m1!$C$332</definedName>
    <definedName name="q19중YPSY6A17">QN19_m1!$B$333</definedName>
    <definedName name="q19중YPSY6A18">QN19_m1!$C$333</definedName>
    <definedName name="q19중YPSY6A19">QN19_m1!$B$334</definedName>
    <definedName name="q19중YPSY6A20">QN19_m1!$C$334</definedName>
    <definedName name="q19중YPSY6A21">QN19_m1!$B$335</definedName>
    <definedName name="q19중YPSY6A22">QN19_m1!$C$335</definedName>
    <definedName name="q19중YPSY6A23">QN19_m1!$B$336</definedName>
    <definedName name="q19중YPSY6A24">QN19_m1!$C$336</definedName>
    <definedName name="q19중YPSY6A25">QN19_m1!$B$337</definedName>
    <definedName name="q19중YPSY6A26">QN19_m1!$C$337</definedName>
    <definedName name="q19중YPSY6A27">QN19_m1!$B$338</definedName>
    <definedName name="q19중YPSY6A28">QN19_m1!$C$338</definedName>
    <definedName name="q19중YPSY6A29">QN19_m1!$B$339</definedName>
    <definedName name="q19중YPSY6A30">QN19_m1!$C$339</definedName>
    <definedName name="q19중YPSY7A01">QN19_m1!$B$344</definedName>
    <definedName name="q19중YPSY7A02">QN19_m1!$B$345</definedName>
    <definedName name="q19중YPSY7A03">QN19_m1!$B$346</definedName>
    <definedName name="q19중YPSY7A04">QN19_m1!$B$347</definedName>
    <definedName name="q19중YPSY7A05">QN19_m1!$B$348</definedName>
    <definedName name="q19중YPSY7A06">QN19_m1!$B$349</definedName>
    <definedName name="q19중YPSY7A07">QN19_m1!$B$350</definedName>
    <definedName name="q19중YPSY7A08">QN19_m1!$B$351</definedName>
    <definedName name="q19중YTIM1A01">QN19_m1!$B$22</definedName>
    <definedName name="q19중YTIM1A02">QN19_m1!$B$23</definedName>
    <definedName name="q19중YTIM1A03">QN19_m1!$C$22</definedName>
    <definedName name="q19중YTIM1A04">QN19_m1!$C$23</definedName>
    <definedName name="q19중YTIM1B01">QN19_m1!$B$24</definedName>
    <definedName name="q19중YTIM1B02">QN19_m1!$B$25</definedName>
    <definedName name="q19중YTIM1B03">QN19_m1!$C$24</definedName>
    <definedName name="q19중YTIM1B04">QN19_m1!$C$25</definedName>
    <definedName name="q19중YTIM1C01">QN19_m1!$B$26</definedName>
    <definedName name="q19중YTIM1C02">QN19_m1!$C$26</definedName>
    <definedName name="q19중YTIM1D01">QN19_m1!$B$32</definedName>
    <definedName name="q19중YTIM1D02">QN19_m1!$B$33</definedName>
    <definedName name="q19중YTIM1E01">QN19_m1!$B$34</definedName>
    <definedName name="q19중YTIM1E02">QN19_m1!$B$35</definedName>
    <definedName name="q19중YTIM1F01">QN19_m1!$B$36</definedName>
    <definedName name="q19중YTIM1F02">QN19_m1!$B$37</definedName>
    <definedName name="q19중YTIM1G01">QN19_m1!$B$38</definedName>
    <definedName name="q19중YTIM1G02">QN19_m1!$B$39</definedName>
    <definedName name="q19중YTIM1H01">QN19_m1!$B$40</definedName>
    <definedName name="q19중YTIM1H02">QN19_m1!$B$41</definedName>
    <definedName name="q19중YTIM1I01">QN19_m1!$B$42</definedName>
    <definedName name="q19중YTIM1I02">QN19_m1!$B$43</definedName>
    <definedName name="q19중YTIM1J01">QN19_m1!$B$44</definedName>
    <definedName name="q19중YTIM1J02">QN19_m1!$B$45</definedName>
    <definedName name="q19중YTIM1K01">QN19_m1!$B$46</definedName>
    <definedName name="q19중YTIM1K02">QN19_m1!$B$47</definedName>
    <definedName name="q19중YTIM1L01">QN19_m1!$B$48</definedName>
    <definedName name="q19중YTIM1L02">QN19_m1!$B$49</definedName>
    <definedName name="q19중YTIM1M01">QN19_m1!$B$50</definedName>
    <definedName name="q19중YTIM1M02">QN19_m1!$B$51</definedName>
    <definedName name="q19중YTIM1N01">QN19_m1!$B$52</definedName>
    <definedName name="q19중YTIM1N02">QN19_m1!$B$53</definedName>
    <definedName name="q19초YBRT1A">QN19_e4!$B$10</definedName>
    <definedName name="q19초YBRT1B">QN19_e4!$B$11</definedName>
    <definedName name="q19초YEDU1A00">QN19_e4!$B$116</definedName>
    <definedName name="q19초YEDU2A01">QN19_e4!$B$318</definedName>
    <definedName name="q19초YEDU2A02">QN19_e4!$B$319</definedName>
    <definedName name="q19초YEDU2A03">QN19_e4!$B$320</definedName>
    <definedName name="q19초YEDU2A04">QN19_e4!$B$321</definedName>
    <definedName name="q19초YEDU2A05">QN19_e4!$B$322</definedName>
    <definedName name="q19초YEDU2A06">QN19_e4!$B$323</definedName>
    <definedName name="q19초YEDU2A07">QN19_e4!$B$324</definedName>
    <definedName name="q19초YEDU2A08">QN19_e4!$B$325</definedName>
    <definedName name="q19초YEDU2A09">QN19_e4!$B$326</definedName>
    <definedName name="q19초YEDU2A10">QN19_e4!$B$327</definedName>
    <definedName name="q19초YEDU2A11">QN19_e4!$B$328</definedName>
    <definedName name="q19초YEDU2A12">QN19_e4!$B$329</definedName>
    <definedName name="q19초YEDU2A13">QN19_e4!$B$330</definedName>
    <definedName name="q19초YEDU3A01">QN19_e4!$B$335</definedName>
    <definedName name="q19초YEDU3A02">QN19_e4!$B$336</definedName>
    <definedName name="q19초YEDU3A03">QN19_e4!$B$337</definedName>
    <definedName name="q19초YEDU3A04">QN19_e4!$B$338</definedName>
    <definedName name="q19초YEDU3A05">QN19_e4!$B$339</definedName>
    <definedName name="q19초YEDU3A06">QN19_e4!$B$340</definedName>
    <definedName name="q19초YEDU3A07">QN19_e4!$B$341</definedName>
    <definedName name="q19초YEDU3A08">QN19_e4!$B$342</definedName>
    <definedName name="q19초YEDU3A09">QN19_e4!$B$343</definedName>
    <definedName name="q19초YEDU3A10">QN19_e4!$B$344</definedName>
    <definedName name="q19초YEDU3A11">QN19_e4!$B$345</definedName>
    <definedName name="q19초YEDU3A12">QN19_e4!$B$346</definedName>
    <definedName name="q19초YEDU3A13">QN19_e4!$B$347</definedName>
    <definedName name="q19초YEDU3A14">QN19_e4!$B$348</definedName>
    <definedName name="q19초YFAM1A01">QN19_e4!$B$265</definedName>
    <definedName name="q19초YFAM1A02">QN19_e4!$B$266</definedName>
    <definedName name="q19초YFAM1A03">QN19_e4!$C$265</definedName>
    <definedName name="q19초YFAM1A04">QN19_e4!$C$266</definedName>
    <definedName name="q19초YFAM1B01">QN19_e4!$B$276</definedName>
    <definedName name="q19초YFAM1B02">QN19_e4!$B$277</definedName>
    <definedName name="q19초YFAM1B03">QN19_e4!$C$276</definedName>
    <definedName name="q19초YFAM1B04">QN19_e4!$C$277</definedName>
    <definedName name="q19초YFAM1C01">QN19_e4!$B$278</definedName>
    <definedName name="q19초YFAM1C02">QN19_e4!$B$279</definedName>
    <definedName name="q19초YFAM1C03">QN19_e4!$C$278</definedName>
    <definedName name="q19초YFAM1C04">QN19_e4!$C$279</definedName>
    <definedName name="q19초YFAM1D01">QN19_e4!$B$280</definedName>
    <definedName name="q19초YFAM1D02">QN19_e4!$B$281</definedName>
    <definedName name="q19초YFAM1D03">QN19_e4!$C$280</definedName>
    <definedName name="q19초YFAM1D04">QN19_e4!$C$281</definedName>
    <definedName name="q19초YFAM1E01">QN19_e4!$B$282</definedName>
    <definedName name="q19초YFAM1E02">QN19_e4!$B$283</definedName>
    <definedName name="q19초YFAM1E03">QN19_e4!$C$282</definedName>
    <definedName name="q19초YFAM1E04">QN19_e4!$C$283</definedName>
    <definedName name="q19초YFAM1F01">QN19_e4!$B$284</definedName>
    <definedName name="q19초YFAM1F02">QN19_e4!$B$285</definedName>
    <definedName name="q19초YFAM1F03">QN19_e4!$C$284</definedName>
    <definedName name="q19초YFAM1F04">QN19_e4!$C$285</definedName>
    <definedName name="q19초YFAM2A01">QN19_e4!$B$290</definedName>
    <definedName name="q19초YFAM2A02">QN19_e4!$B$291</definedName>
    <definedName name="q19초YFAM2A03">QN19_e4!$B$292</definedName>
    <definedName name="q19초YFAM2A04">QN19_e4!$B$293</definedName>
    <definedName name="q19초YFAM2B01">QN19_e4!$B$294</definedName>
    <definedName name="q19초YFAM2B02">QN19_e4!$B$295</definedName>
    <definedName name="q19초YFAM2B03">QN19_e4!$B$296</definedName>
    <definedName name="q19초YFAM2B04">QN19_e4!$B$297</definedName>
    <definedName name="q19초YFAM2C01">QN19_e4!$B$298</definedName>
    <definedName name="q19초YFAM2C02">QN19_e4!$B$299</definedName>
    <definedName name="q19초YFAM2C03">QN19_e4!$B$300</definedName>
    <definedName name="q19초YFAM2C04">QN19_e4!$B$301</definedName>
    <definedName name="q19초YFAM2D01">QN19_e4!$B$302</definedName>
    <definedName name="q19초YFAM2D02">QN19_e4!$B$303</definedName>
    <definedName name="q19초YFAM2D03">QN19_e4!$B$304</definedName>
    <definedName name="q19초YFAM2D04">QN19_e4!$B$305</definedName>
    <definedName name="q19초YFAM2E01">QN19_e4!$B$306</definedName>
    <definedName name="q19초YFAM2E02">QN19_e4!$B$307</definedName>
    <definedName name="q19초YFAM2E03">QN19_e4!$B$308</definedName>
    <definedName name="q19초YFAM2E04">QN19_e4!$B$309</definedName>
    <definedName name="q19초YFAM2F01">QN19_e4!$B$310</definedName>
    <definedName name="q19초YFAM2F02">QN19_e4!$B$311</definedName>
    <definedName name="q19초YFAM2F03">QN19_e4!$B$312</definedName>
    <definedName name="q19초YFAM2F04">QN19_e4!$B$313</definedName>
    <definedName name="q19초YFAM3A00">QN19_e4!$B$269</definedName>
    <definedName name="q19초YFAM3B00">QN19_e4!$B$273</definedName>
    <definedName name="q19초YFUR2A01">QN19_e4!$B$147</definedName>
    <definedName name="q19초YFUR2A02">QN19_e4!$B$148</definedName>
    <definedName name="q19초YFUR2A03">QN19_e4!$B$149</definedName>
    <definedName name="q19초YFUR2A04">QN19_e4!$B$150</definedName>
    <definedName name="q19초YFUR2A05">QN19_e4!$B$151</definedName>
    <definedName name="q19초YFUR2A06">QN19_e4!$B$152</definedName>
    <definedName name="q19초YFUR2A07">QN19_e4!$B$153</definedName>
    <definedName name="q19초YFUR2A08">QN19_e4!$B$154</definedName>
    <definedName name="q19초YFUR2A08_T">QN19_e4!$C$154</definedName>
    <definedName name="q19초YGENDER">QN19_e4!$B$14</definedName>
    <definedName name="q19초YINT1A00">QN19_e4!$B$98</definedName>
    <definedName name="q19초YINT1B00">QN19_e4!$B$107</definedName>
    <definedName name="q19초YINT2A01">QN19_e4!$B$127</definedName>
    <definedName name="q19초YINT2A02">QN19_e4!$B$128</definedName>
    <definedName name="q19초YINT2A03">QN19_e4!$B$129</definedName>
    <definedName name="q19초YINT2A04">QN19_e4!$B$130</definedName>
    <definedName name="q19초YINT2A05">QN19_e4!$B$131</definedName>
    <definedName name="q19초YINT2A06">QN19_e4!$B$132</definedName>
    <definedName name="q19초YINT2A07">QN19_e4!$B$133</definedName>
    <definedName name="q19초YINT2A08">QN19_e4!$B$134</definedName>
    <definedName name="q19초YINT2A09">QN19_e4!$B$135</definedName>
    <definedName name="q19초YINT2A10">QN19_e4!$B$136</definedName>
    <definedName name="q19초YINT2A11">QN19_e4!$B$137</definedName>
    <definedName name="q19초YINT2A12">QN19_e4!$B$138</definedName>
    <definedName name="q19초YINT2A13">QN19_e4!$B$139</definedName>
    <definedName name="q19초YINT2A14">QN19_e4!$B$140</definedName>
    <definedName name="q19초YINT2A15">QN19_e4!$B$141</definedName>
    <definedName name="q19초YINT2A16">QN19_e4!$B$142</definedName>
    <definedName name="q19초YMDA1A00">QN19_e4!$B$56</definedName>
    <definedName name="q19초YMDA1B01">QN19_e4!$B$64</definedName>
    <definedName name="q19초YMDA1B02">QN19_e4!$B$65</definedName>
    <definedName name="q19초YMDA1B03">QN19_e4!$B$66</definedName>
    <definedName name="q19초YMDA1B04">QN19_e4!$B$67</definedName>
    <definedName name="q19초YMDA1B05">QN19_e4!$B$68</definedName>
    <definedName name="q19초YMDA1B06">QN19_e4!$B$69</definedName>
    <definedName name="q19초YMDA1B07">QN19_e4!$B$70</definedName>
    <definedName name="q19초YMDA1B08">QN19_e4!$B$71</definedName>
    <definedName name="q19초YMDA1B09">QN19_e4!$B$72</definedName>
    <definedName name="q19초YMDA1B10">QN19_e4!$B$73</definedName>
    <definedName name="q19초YMDA1B11">QN19_e4!$B$74</definedName>
    <definedName name="q19초YMDA1B12">QN19_e4!$B$75</definedName>
    <definedName name="q19초YMDA1B13">QN19_e4!$B$76</definedName>
    <definedName name="q19초YMDA1B13_T">QN19_e4!$C$76</definedName>
    <definedName name="q19초YMDA1C01">QN19_e4!$B$81</definedName>
    <definedName name="q19초YMDA1C02">QN19_e4!$B$82</definedName>
    <definedName name="q19초YMDA1C03">QN19_e4!$B$83</definedName>
    <definedName name="q19초YMDA1C04">QN19_e4!$B$84</definedName>
    <definedName name="q19초YMDA1C05">QN19_e4!$B$85</definedName>
    <definedName name="q19초YMDA1C06">QN19_e4!$B$86</definedName>
    <definedName name="q19초YMDA1C07">QN19_e4!$B$87</definedName>
    <definedName name="q19초YMDA1C08">QN19_e4!$B$88</definedName>
    <definedName name="q19초YMDA1C09">QN19_e4!$B$89</definedName>
    <definedName name="q19초YMDA1C10">QN19_e4!$B$90</definedName>
    <definedName name="q19초YMDA1C11">QN19_e4!$B$91</definedName>
    <definedName name="q19초YMDA1C12">QN19_e4!$B$92</definedName>
    <definedName name="q19초YMDA1C13">QN19_e4!$B$93</definedName>
    <definedName name="q19초YMDA1C14">QN19_e4!$B$94</definedName>
    <definedName name="q19초YMDA1C15">QN19_e4!$B$95</definedName>
    <definedName name="q19초YPHY1A00">QN19_e4!$B$351</definedName>
    <definedName name="q19초YPHY1B00">QN19_e4!$B$356</definedName>
    <definedName name="q19초YPHY1C00">QN19_e4!$B$361</definedName>
    <definedName name="q19초YPHY2A00">QN19_e4!$B$366</definedName>
    <definedName name="q19초YPHY2B00">QN19_e4!$B$367</definedName>
    <definedName name="q19초YPSY1A01">QN19_e4!$B$159</definedName>
    <definedName name="q19초YPSY1A02">QN19_e4!$B$160</definedName>
    <definedName name="q19초YPSY1A03">QN19_e4!$B$161</definedName>
    <definedName name="q19초YPSY1A04">QN19_e4!$B$162</definedName>
    <definedName name="q19초YPSY1A05">QN19_e4!$B$163</definedName>
    <definedName name="q19초YPSY2A01">QN19_e4!$B$168</definedName>
    <definedName name="q19초YPSY2A02">QN19_e4!$B$169</definedName>
    <definedName name="q19초YPSY2A03">QN19_e4!$B$174</definedName>
    <definedName name="q19초YPSY2A04">QN19_e4!$B$175</definedName>
    <definedName name="q19초YPSY3A01">QN19_e4!$B$180</definedName>
    <definedName name="q19초YPSY3A02">QN19_e4!$B$181</definedName>
    <definedName name="q19초YPSY3A03">QN19_e4!$B$182</definedName>
    <definedName name="q19초YPSY3A04">QN19_e4!$B$183</definedName>
    <definedName name="q19초YPSY3A05">QN19_e4!$B$184</definedName>
    <definedName name="q19초YPSY3A06">QN19_e4!$B$185</definedName>
    <definedName name="q19초YPSY3A07">QN19_e4!$B$186</definedName>
    <definedName name="q19초YPSY3A08">QN19_e4!$B$187</definedName>
    <definedName name="q19초YPSY3A09">QN19_e4!$B$188</definedName>
    <definedName name="q19초YPSY3A10">QN19_e4!$B$189</definedName>
    <definedName name="q19초YPSY4A01">QN19_e4!$B$194</definedName>
    <definedName name="q19초YPSY4A02">QN19_e4!$B$195</definedName>
    <definedName name="q19초YPSY4A03">QN19_e4!$B$196</definedName>
    <definedName name="q19초YPSY4A04">QN19_e4!$B$197</definedName>
    <definedName name="q19초YPSY4A05">QN19_e4!$B$198</definedName>
    <definedName name="q19초YPSY4A06">QN19_e4!$B$199</definedName>
    <definedName name="q19초YPSY4A07">QN19_e4!$B$200</definedName>
    <definedName name="q19초YPSY4B01">QN19_e4!$B$201</definedName>
    <definedName name="q19초YPSY4B02">QN19_e4!$B$202</definedName>
    <definedName name="q19초YPSY4B03">QN19_e4!$B$203</definedName>
    <definedName name="q19초YPSY4B04">QN19_e4!$B$204</definedName>
    <definedName name="q19초YPSY4B05">QN19_e4!$B$205</definedName>
    <definedName name="q19초YPSY4B06">QN19_e4!$B$206</definedName>
    <definedName name="q19초YPSY4C01">QN19_e4!$B$207</definedName>
    <definedName name="q19초YPSY4C02">QN19_e4!$B$208</definedName>
    <definedName name="q19초YPSY4C03">QN19_e4!$B$209</definedName>
    <definedName name="q19초YPSY4C04">QN19_e4!$B$210</definedName>
    <definedName name="q19초YPSY4C05">QN19_e4!$B$211</definedName>
    <definedName name="q19초YPSY4C06">QN19_e4!$B$212</definedName>
    <definedName name="q19초YPSY4C07">QN19_e4!$B$213</definedName>
    <definedName name="q19초YPSY4C08">QN19_e4!$B$214</definedName>
    <definedName name="q19초YPSY4D01">QN19_e4!$B$215</definedName>
    <definedName name="q19초YPSY4D02">QN19_e4!$B$216</definedName>
    <definedName name="q19초YPSY4D03">QN19_e4!$B$217</definedName>
    <definedName name="q19초YPSY4D04">QN19_e4!$B$218</definedName>
    <definedName name="q19초YPSY4D05">QN19_e4!$B$219</definedName>
    <definedName name="q19초YPSY4E01">QN19_e4!$B$220</definedName>
    <definedName name="q19초YPSY4E02">QN19_e4!$B$221</definedName>
    <definedName name="q19초YPSY4E03">QN19_e4!$B$222</definedName>
    <definedName name="q19초YPSY4E04">QN19_e4!$B$223</definedName>
    <definedName name="q19초YPSY4E05">QN19_e4!$B$224</definedName>
    <definedName name="q19초YPSY4E06">QN19_e4!$B$225</definedName>
    <definedName name="q19초YPSY4E07">QN19_e4!$B$226</definedName>
    <definedName name="q19초YPSY4E08">QN19_e4!$B$227</definedName>
    <definedName name="q19초YPSY4E09">QN19_e4!$B$228</definedName>
    <definedName name="q19초YPSY4E10">QN19_e4!$B$229</definedName>
    <definedName name="q19초YPSY5A01">QN19_e4!$B$234</definedName>
    <definedName name="q19초YPSY5A02">QN19_e4!$B$235</definedName>
    <definedName name="q19초YPSY5A03">QN19_e4!$B$236</definedName>
    <definedName name="q19초YPSY5A04">QN19_e4!$B$237</definedName>
    <definedName name="q19초YPSY5A05">QN19_e4!$B$238</definedName>
    <definedName name="q19초YPSY5A06">QN19_e4!$B$239</definedName>
    <definedName name="q19초YPSY5A07">QN19_e4!$B$240</definedName>
    <definedName name="q19초YPSY5A08">QN19_e4!$B$241</definedName>
    <definedName name="q19초YPSY5A09">QN19_e4!$B$242</definedName>
    <definedName name="q19초YPSY5A10">QN19_e4!$B$243</definedName>
    <definedName name="q19초YPSY5A11">QN19_e4!$B$244</definedName>
    <definedName name="q19초YPSY5A12">QN19_e4!$B$245</definedName>
    <definedName name="q19초YPSY5A13">QN19_e4!$B$246</definedName>
    <definedName name="q19초YPSY5A14">QN19_e4!$B$247</definedName>
    <definedName name="q19초YPSY7A01">QN19_e4!$B$252</definedName>
    <definedName name="q19초YPSY7A02">QN19_e4!$B$253</definedName>
    <definedName name="q19초YPSY7A03">QN19_e4!$B$254</definedName>
    <definedName name="q19초YPSY7A04">QN19_e4!$B$255</definedName>
    <definedName name="q19초YPSY7A05">QN19_e4!$B$256</definedName>
    <definedName name="q19초YPSY7A06">QN19_e4!$B$257</definedName>
    <definedName name="q19초YPSY7A07">QN19_e4!$B$258</definedName>
    <definedName name="q19초YPSY7A08">QN19_e4!$B$259</definedName>
    <definedName name="q19초YTIM1A01">QN19_e4!$B$22</definedName>
    <definedName name="q19초YTIM1A02">QN19_e4!$B$23</definedName>
    <definedName name="q19초YTIM1A03">QN19_e4!$C$22</definedName>
    <definedName name="q19초YTIM1A04">QN19_e4!$C$23</definedName>
    <definedName name="q19초YTIM1B01">QN19_e4!$B$24</definedName>
    <definedName name="q19초YTIM1B02">QN19_e4!$B$25</definedName>
    <definedName name="q19초YTIM1B03">QN19_e4!$C$24</definedName>
    <definedName name="q19초YTIM1B04">QN19_e4!$C$25</definedName>
    <definedName name="q19초YTIM1C01">QN19_e4!$B$26</definedName>
    <definedName name="q19초YTIM1C02">QN19_e4!$C$26</definedName>
    <definedName name="q19초YTIM1D01">QN19_e4!$B$32</definedName>
    <definedName name="q19초YTIM1D02">QN19_e4!$B$33</definedName>
    <definedName name="q19초YTIM1E01">QN19_e4!$B$34</definedName>
    <definedName name="q19초YTIM1E02">QN19_e4!$B$35</definedName>
    <definedName name="q19초YTIM1F01">QN19_e4!$B$36</definedName>
    <definedName name="q19초YTIM1F02">QN19_e4!$B$37</definedName>
    <definedName name="q19초YTIM1G01">QN19_e4!$B$38</definedName>
    <definedName name="q19초YTIM1G02">QN19_e4!$B$39</definedName>
    <definedName name="q19초YTIM1H01">QN19_e4!$B$40</definedName>
    <definedName name="q19초YTIM1H02">QN19_e4!$B$41</definedName>
    <definedName name="q19초YTIM1I01">QN19_e4!$B$42</definedName>
    <definedName name="q19초YTIM1I02">QN19_e4!$B$43</definedName>
    <definedName name="q19초YTIM1J01">QN19_e4!$B$44</definedName>
    <definedName name="q19초YTIM1J02">QN19_e4!$B$45</definedName>
    <definedName name="q19초YTIM1K01">QN19_e4!$B$46</definedName>
    <definedName name="q19초YTIM1K02">QN19_e4!$B$47</definedName>
    <definedName name="q19초YTIM1L01">QN19_e4!$B$48</definedName>
    <definedName name="q19초YTIM1L02">QN19_e4!$B$49</definedName>
    <definedName name="q19초YTIM1M01">QN19_e4!$B$50</definedName>
    <definedName name="q19초YTIM1M02">QN19_e4!$B$51</definedName>
    <definedName name="q19초YTIM1N01">QN19_e4!$B$52</definedName>
    <definedName name="q19초YTIM1N02">QN19_e4!$B$53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46" i="5" l="1"/>
  <c r="E1046" i="1"/>
  <c r="H194" i="23"/>
  <c r="H202" i="20"/>
  <c r="H20" i="20" l="1"/>
  <c r="E56" i="1"/>
  <c r="H20" i="21" l="1"/>
  <c r="E56" i="6"/>
  <c r="B132" i="30" l="1"/>
  <c r="B130" i="30"/>
  <c r="B128" i="30"/>
  <c r="B126" i="30"/>
  <c r="B124" i="30"/>
  <c r="B131" i="30"/>
  <c r="B129" i="30"/>
  <c r="B127" i="30"/>
  <c r="B125" i="30"/>
  <c r="B123" i="30"/>
  <c r="C132" i="30"/>
  <c r="C131" i="30"/>
  <c r="C130" i="30"/>
  <c r="C129" i="30"/>
  <c r="C128" i="30"/>
  <c r="C127" i="30"/>
  <c r="C126" i="30"/>
  <c r="C125" i="30"/>
  <c r="C124" i="30"/>
  <c r="C123" i="30"/>
  <c r="E145" i="5"/>
  <c r="E144" i="5"/>
  <c r="B120" i="30"/>
  <c r="B116" i="30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J136" i="23"/>
  <c r="J135" i="23"/>
  <c r="J134" i="23"/>
  <c r="J133" i="23"/>
  <c r="J132" i="23"/>
  <c r="J131" i="23"/>
  <c r="J130" i="23"/>
  <c r="J129" i="23"/>
  <c r="J128" i="23"/>
  <c r="J127" i="23"/>
  <c r="J126" i="23"/>
  <c r="J125" i="23"/>
  <c r="J124" i="23"/>
  <c r="J123" i="23"/>
  <c r="J122" i="23"/>
  <c r="J121" i="23"/>
  <c r="J120" i="23"/>
  <c r="J119" i="23"/>
  <c r="J118" i="23"/>
  <c r="J117" i="23"/>
  <c r="H120" i="23"/>
  <c r="H119" i="23"/>
  <c r="H118" i="23"/>
  <c r="H117" i="23"/>
  <c r="H112" i="23"/>
  <c r="H111" i="23"/>
  <c r="H136" i="23"/>
  <c r="H135" i="23"/>
  <c r="H134" i="23"/>
  <c r="H133" i="23"/>
  <c r="H132" i="23"/>
  <c r="H131" i="23"/>
  <c r="H130" i="23"/>
  <c r="H129" i="23"/>
  <c r="H128" i="23"/>
  <c r="H127" i="23"/>
  <c r="H126" i="23"/>
  <c r="H125" i="23"/>
  <c r="H124" i="23"/>
  <c r="H123" i="23"/>
  <c r="H122" i="23"/>
  <c r="H121" i="23"/>
  <c r="J112" i="23" l="1"/>
  <c r="J111" i="23"/>
  <c r="H96" i="23" l="1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E47" i="5"/>
  <c r="E46" i="5"/>
  <c r="E44" i="5"/>
  <c r="E34" i="5"/>
  <c r="E33" i="5"/>
  <c r="E32" i="5"/>
  <c r="E30" i="5"/>
  <c r="E20" i="5"/>
  <c r="E33" i="1" l="1"/>
  <c r="E31" i="1"/>
  <c r="E19" i="1"/>
  <c r="E18" i="1"/>
  <c r="E13" i="1"/>
  <c r="E13" i="6"/>
  <c r="E18" i="6"/>
  <c r="E19" i="6"/>
  <c r="E31" i="6"/>
  <c r="E33" i="6"/>
  <c r="H18" i="20"/>
  <c r="H17" i="20"/>
  <c r="H16" i="20"/>
  <c r="H15" i="20"/>
  <c r="H14" i="20"/>
  <c r="H13" i="20"/>
  <c r="H14" i="21"/>
  <c r="H17" i="21"/>
  <c r="H16" i="21"/>
  <c r="H15" i="21"/>
  <c r="H13" i="21"/>
  <c r="J96" i="23"/>
  <c r="J95" i="23"/>
  <c r="J94" i="23"/>
  <c r="J93" i="23"/>
  <c r="J92" i="23"/>
  <c r="J91" i="23"/>
  <c r="J90" i="23"/>
  <c r="J89" i="23"/>
  <c r="J88" i="23"/>
  <c r="J87" i="23"/>
  <c r="J86" i="23"/>
  <c r="J85" i="23"/>
  <c r="J84" i="23"/>
  <c r="J83" i="23"/>
  <c r="J82" i="23"/>
  <c r="J81" i="23"/>
  <c r="J80" i="23"/>
  <c r="J79" i="23"/>
  <c r="J78" i="23"/>
  <c r="J77" i="23"/>
  <c r="J76" i="23"/>
  <c r="J75" i="23"/>
  <c r="J74" i="23"/>
  <c r="J73" i="23"/>
  <c r="J72" i="23"/>
  <c r="J71" i="23"/>
  <c r="J70" i="23"/>
  <c r="J69" i="23"/>
  <c r="B49" i="30"/>
  <c r="B48" i="30"/>
  <c r="B47" i="30"/>
  <c r="B46" i="30"/>
  <c r="B45" i="30"/>
  <c r="B44" i="30"/>
  <c r="B43" i="30"/>
  <c r="J68" i="23"/>
  <c r="J67" i="23"/>
  <c r="J66" i="23"/>
  <c r="B42" i="30"/>
  <c r="J65" i="23"/>
  <c r="J144" i="23" l="1"/>
  <c r="I144" i="23"/>
  <c r="J143" i="23"/>
  <c r="I143" i="23"/>
  <c r="J142" i="23"/>
  <c r="I142" i="23"/>
  <c r="J141" i="23"/>
  <c r="I141" i="23"/>
  <c r="J140" i="23"/>
  <c r="I140" i="23"/>
  <c r="J139" i="23"/>
  <c r="I139" i="23"/>
  <c r="J138" i="23"/>
  <c r="I138" i="23"/>
  <c r="J137" i="23"/>
  <c r="I137" i="23"/>
  <c r="J215" i="23"/>
  <c r="J217" i="23"/>
  <c r="J216" i="23"/>
  <c r="J237" i="23"/>
  <c r="J236" i="23"/>
  <c r="J235" i="23"/>
  <c r="J234" i="23"/>
  <c r="J233" i="23"/>
  <c r="J232" i="23"/>
  <c r="J231" i="23"/>
  <c r="J230" i="23"/>
  <c r="J229" i="23"/>
  <c r="J228" i="23"/>
  <c r="J227" i="23"/>
  <c r="J226" i="23"/>
  <c r="J225" i="23"/>
  <c r="J224" i="23"/>
  <c r="J223" i="23"/>
  <c r="J222" i="23"/>
  <c r="J221" i="23"/>
  <c r="J220" i="23"/>
  <c r="J219" i="23"/>
  <c r="J218" i="23"/>
  <c r="J214" i="23"/>
  <c r="J213" i="23"/>
  <c r="J212" i="23"/>
  <c r="J211" i="23"/>
  <c r="J210" i="23"/>
  <c r="J209" i="23"/>
  <c r="J208" i="23"/>
  <c r="J207" i="23"/>
  <c r="J206" i="23"/>
  <c r="J205" i="23"/>
  <c r="J204" i="23"/>
  <c r="J203" i="23"/>
  <c r="J202" i="23"/>
  <c r="J201" i="23"/>
  <c r="J200" i="23"/>
  <c r="J199" i="23"/>
  <c r="J198" i="23"/>
  <c r="J197" i="23"/>
  <c r="J196" i="23"/>
  <c r="J195" i="23"/>
  <c r="J193" i="23"/>
  <c r="J192" i="23"/>
  <c r="J191" i="23"/>
  <c r="J190" i="23"/>
  <c r="J189" i="23"/>
  <c r="J188" i="23"/>
  <c r="J187" i="23"/>
  <c r="J186" i="23"/>
  <c r="J185" i="23"/>
  <c r="J184" i="23"/>
  <c r="J183" i="23"/>
  <c r="J182" i="23"/>
  <c r="J181" i="23"/>
  <c r="J180" i="23"/>
  <c r="J179" i="23"/>
  <c r="J178" i="23"/>
  <c r="J177" i="23"/>
  <c r="J176" i="23"/>
  <c r="J175" i="23"/>
  <c r="J174" i="23"/>
  <c r="J173" i="23"/>
  <c r="J172" i="23"/>
  <c r="J171" i="23"/>
  <c r="J170" i="23"/>
  <c r="J169" i="23"/>
  <c r="J168" i="23"/>
  <c r="J167" i="23"/>
  <c r="J166" i="23"/>
  <c r="J165" i="23"/>
  <c r="J164" i="23"/>
  <c r="J163" i="23"/>
  <c r="J162" i="23"/>
  <c r="J161" i="23"/>
  <c r="J160" i="23"/>
  <c r="J159" i="23"/>
  <c r="J158" i="23"/>
  <c r="J157" i="23"/>
  <c r="J156" i="23"/>
  <c r="J155" i="23"/>
  <c r="J154" i="23"/>
  <c r="J153" i="23"/>
  <c r="J152" i="23"/>
  <c r="J151" i="23"/>
  <c r="J150" i="23"/>
  <c r="J149" i="23"/>
  <c r="J148" i="23"/>
  <c r="J147" i="23"/>
  <c r="J146" i="23"/>
  <c r="J145" i="23"/>
  <c r="J110" i="23"/>
  <c r="J109" i="23"/>
  <c r="J108" i="23"/>
  <c r="J107" i="23"/>
  <c r="J106" i="23"/>
  <c r="J105" i="23"/>
  <c r="J104" i="23"/>
  <c r="J103" i="23"/>
  <c r="J102" i="23"/>
  <c r="J101" i="23"/>
  <c r="J100" i="23"/>
  <c r="J99" i="23"/>
  <c r="J98" i="23"/>
  <c r="J97" i="23"/>
  <c r="J32" i="23"/>
  <c r="J31" i="23"/>
  <c r="J30" i="23"/>
  <c r="J29" i="23"/>
  <c r="J28" i="23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I237" i="23"/>
  <c r="I236" i="23"/>
  <c r="I235" i="23"/>
  <c r="I234" i="23"/>
  <c r="I233" i="23"/>
  <c r="I232" i="23"/>
  <c r="I231" i="23"/>
  <c r="I230" i="23"/>
  <c r="I229" i="23"/>
  <c r="I228" i="23"/>
  <c r="I227" i="23"/>
  <c r="I226" i="23"/>
  <c r="I225" i="23"/>
  <c r="I224" i="23"/>
  <c r="I223" i="23"/>
  <c r="I222" i="23"/>
  <c r="I221" i="23"/>
  <c r="I220" i="23"/>
  <c r="I219" i="23"/>
  <c r="I218" i="23"/>
  <c r="I217" i="23"/>
  <c r="I216" i="23"/>
  <c r="I214" i="23"/>
  <c r="I213" i="23"/>
  <c r="I212" i="23"/>
  <c r="I211" i="23"/>
  <c r="I210" i="23"/>
  <c r="I209" i="23"/>
  <c r="I208" i="23"/>
  <c r="I207" i="23"/>
  <c r="I206" i="23"/>
  <c r="I205" i="23"/>
  <c r="I204" i="23"/>
  <c r="I203" i="23"/>
  <c r="I202" i="23"/>
  <c r="I201" i="23"/>
  <c r="I200" i="23"/>
  <c r="I199" i="23"/>
  <c r="I198" i="23"/>
  <c r="I197" i="23"/>
  <c r="I196" i="23"/>
  <c r="I195" i="23"/>
  <c r="I193" i="23"/>
  <c r="I192" i="23"/>
  <c r="I191" i="23"/>
  <c r="I190" i="23"/>
  <c r="I189" i="23"/>
  <c r="I188" i="23"/>
  <c r="I187" i="23"/>
  <c r="I186" i="23"/>
  <c r="I185" i="23"/>
  <c r="I184" i="23"/>
  <c r="I183" i="23"/>
  <c r="I182" i="23"/>
  <c r="I181" i="23"/>
  <c r="I180" i="23"/>
  <c r="I179" i="23"/>
  <c r="I178" i="23"/>
  <c r="I177" i="23"/>
  <c r="I176" i="23"/>
  <c r="I175" i="23"/>
  <c r="I174" i="23"/>
  <c r="I173" i="23"/>
  <c r="I172" i="23"/>
  <c r="I171" i="23"/>
  <c r="I170" i="23"/>
  <c r="I169" i="23"/>
  <c r="I168" i="23"/>
  <c r="I167" i="23"/>
  <c r="I166" i="23"/>
  <c r="I165" i="23"/>
  <c r="I164" i="23"/>
  <c r="I163" i="23"/>
  <c r="I162" i="23"/>
  <c r="I161" i="23"/>
  <c r="I160" i="23"/>
  <c r="I159" i="23"/>
  <c r="I158" i="23"/>
  <c r="I157" i="23"/>
  <c r="I156" i="23"/>
  <c r="I155" i="23"/>
  <c r="I154" i="23"/>
  <c r="I153" i="23"/>
  <c r="I152" i="23"/>
  <c r="I151" i="23"/>
  <c r="I150" i="23"/>
  <c r="I149" i="23"/>
  <c r="I148" i="23"/>
  <c r="I147" i="23"/>
  <c r="I146" i="23"/>
  <c r="I145" i="23"/>
  <c r="I116" i="23"/>
  <c r="I115" i="23"/>
  <c r="I114" i="23"/>
  <c r="I113" i="23"/>
  <c r="I110" i="23"/>
  <c r="I109" i="23"/>
  <c r="I108" i="23"/>
  <c r="I107" i="23"/>
  <c r="I106" i="23"/>
  <c r="I105" i="23"/>
  <c r="I104" i="23"/>
  <c r="I103" i="23"/>
  <c r="I102" i="23"/>
  <c r="I101" i="23"/>
  <c r="I100" i="23"/>
  <c r="I99" i="23"/>
  <c r="I98" i="23"/>
  <c r="I97" i="23"/>
  <c r="I64" i="23"/>
  <c r="I63" i="23"/>
  <c r="I62" i="23"/>
  <c r="I61" i="23"/>
  <c r="I60" i="23"/>
  <c r="I59" i="23"/>
  <c r="I58" i="23"/>
  <c r="I57" i="23"/>
  <c r="I56" i="23"/>
  <c r="I55" i="23"/>
  <c r="I54" i="23"/>
  <c r="I53" i="23"/>
  <c r="I52" i="23"/>
  <c r="I51" i="23"/>
  <c r="I50" i="23"/>
  <c r="I49" i="23"/>
  <c r="I48" i="23"/>
  <c r="I47" i="23"/>
  <c r="I46" i="23"/>
  <c r="I45" i="23"/>
  <c r="I44" i="23"/>
  <c r="I43" i="23"/>
  <c r="I42" i="23"/>
  <c r="I41" i="23"/>
  <c r="I40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386" i="20"/>
  <c r="I385" i="20"/>
  <c r="I384" i="20"/>
  <c r="I383" i="20"/>
  <c r="I382" i="20"/>
  <c r="I381" i="20"/>
  <c r="I380" i="20"/>
  <c r="I379" i="20"/>
  <c r="I378" i="20"/>
  <c r="I377" i="20"/>
  <c r="I376" i="20"/>
  <c r="I375" i="20"/>
  <c r="I374" i="20"/>
  <c r="I373" i="20"/>
  <c r="I372" i="20"/>
  <c r="I371" i="20"/>
  <c r="I370" i="20"/>
  <c r="I369" i="20"/>
  <c r="I368" i="20"/>
  <c r="I367" i="20"/>
  <c r="I366" i="20"/>
  <c r="I365" i="20"/>
  <c r="I364" i="20"/>
  <c r="I363" i="20"/>
  <c r="I340" i="20"/>
  <c r="I339" i="20"/>
  <c r="I338" i="20"/>
  <c r="I337" i="20"/>
  <c r="I336" i="20"/>
  <c r="I335" i="20"/>
  <c r="I334" i="20"/>
  <c r="I333" i="20"/>
  <c r="I332" i="20"/>
  <c r="I331" i="20"/>
  <c r="I330" i="20"/>
  <c r="I329" i="20"/>
  <c r="I328" i="20"/>
  <c r="I327" i="20"/>
  <c r="I326" i="20"/>
  <c r="I325" i="20"/>
  <c r="I324" i="20"/>
  <c r="I323" i="20"/>
  <c r="I322" i="20"/>
  <c r="I321" i="20"/>
  <c r="I320" i="20"/>
  <c r="I319" i="20"/>
  <c r="I318" i="20"/>
  <c r="I317" i="20"/>
  <c r="I316" i="20"/>
  <c r="I315" i="20"/>
  <c r="I314" i="20"/>
  <c r="I313" i="20"/>
  <c r="I312" i="20"/>
  <c r="I311" i="20"/>
  <c r="I310" i="20"/>
  <c r="I309" i="20"/>
  <c r="I308" i="20"/>
  <c r="I307" i="20"/>
  <c r="I306" i="20"/>
  <c r="I305" i="20"/>
  <c r="I304" i="20"/>
  <c r="I303" i="20"/>
  <c r="I302" i="20"/>
  <c r="I301" i="20"/>
  <c r="I300" i="20"/>
  <c r="I299" i="20"/>
  <c r="I298" i="20"/>
  <c r="I297" i="20"/>
  <c r="I296" i="20"/>
  <c r="I295" i="20"/>
  <c r="I294" i="20"/>
  <c r="I293" i="20"/>
  <c r="I292" i="20"/>
  <c r="I291" i="20"/>
  <c r="I290" i="20"/>
  <c r="I289" i="20"/>
  <c r="I288" i="20"/>
  <c r="I287" i="20"/>
  <c r="I286" i="20"/>
  <c r="I285" i="20"/>
  <c r="I284" i="20"/>
  <c r="I283" i="20"/>
  <c r="I282" i="20"/>
  <c r="I281" i="20"/>
  <c r="I280" i="20"/>
  <c r="I279" i="20"/>
  <c r="I278" i="20"/>
  <c r="I277" i="20"/>
  <c r="I276" i="20"/>
  <c r="I275" i="20"/>
  <c r="I274" i="20"/>
  <c r="I273" i="20"/>
  <c r="I272" i="20"/>
  <c r="I271" i="20"/>
  <c r="I270" i="20"/>
  <c r="I269" i="20"/>
  <c r="I268" i="20"/>
  <c r="I267" i="20"/>
  <c r="I266" i="20"/>
  <c r="I265" i="20"/>
  <c r="I264" i="20"/>
  <c r="I263" i="20"/>
  <c r="I262" i="20"/>
  <c r="I261" i="20"/>
  <c r="I260" i="20"/>
  <c r="I258" i="20"/>
  <c r="I257" i="20"/>
  <c r="I256" i="20"/>
  <c r="I255" i="20"/>
  <c r="I254" i="20"/>
  <c r="I253" i="20"/>
  <c r="I252" i="20"/>
  <c r="I251" i="20"/>
  <c r="I250" i="20"/>
  <c r="I249" i="20"/>
  <c r="I248" i="20"/>
  <c r="I247" i="20"/>
  <c r="I245" i="20"/>
  <c r="I244" i="20"/>
  <c r="I243" i="20"/>
  <c r="I242" i="20"/>
  <c r="I241" i="20"/>
  <c r="I240" i="20"/>
  <c r="I239" i="20"/>
  <c r="I238" i="20"/>
  <c r="I237" i="20"/>
  <c r="I236" i="20"/>
  <c r="I235" i="20"/>
  <c r="I234" i="20"/>
  <c r="I233" i="20"/>
  <c r="I232" i="20"/>
  <c r="I231" i="20"/>
  <c r="I230" i="20"/>
  <c r="I229" i="20"/>
  <c r="I228" i="20"/>
  <c r="I227" i="20"/>
  <c r="I226" i="20"/>
  <c r="I225" i="20"/>
  <c r="I224" i="20"/>
  <c r="I223" i="20"/>
  <c r="I222" i="20"/>
  <c r="I221" i="20"/>
  <c r="I220" i="20"/>
  <c r="I219" i="20"/>
  <c r="I218" i="20"/>
  <c r="I217" i="20"/>
  <c r="I216" i="20"/>
  <c r="I215" i="20"/>
  <c r="I214" i="20"/>
  <c r="I213" i="20"/>
  <c r="I212" i="20"/>
  <c r="I211" i="20"/>
  <c r="I210" i="20"/>
  <c r="I209" i="20"/>
  <c r="I208" i="20"/>
  <c r="I207" i="20"/>
  <c r="I206" i="20"/>
  <c r="I205" i="20"/>
  <c r="I204" i="20"/>
  <c r="I203" i="20"/>
  <c r="I201" i="20"/>
  <c r="I200" i="20"/>
  <c r="I199" i="20"/>
  <c r="I198" i="20"/>
  <c r="I197" i="20"/>
  <c r="I196" i="20"/>
  <c r="I195" i="20"/>
  <c r="I194" i="20"/>
  <c r="I193" i="20"/>
  <c r="I192" i="20"/>
  <c r="I191" i="20"/>
  <c r="I190" i="20"/>
  <c r="I189" i="20"/>
  <c r="I188" i="20"/>
  <c r="I187" i="20"/>
  <c r="I186" i="20"/>
  <c r="I185" i="20"/>
  <c r="I184" i="20"/>
  <c r="I183" i="20"/>
  <c r="I182" i="20"/>
  <c r="I181" i="20"/>
  <c r="I180" i="20"/>
  <c r="I179" i="20"/>
  <c r="I178" i="20"/>
  <c r="I177" i="20"/>
  <c r="I176" i="20"/>
  <c r="I175" i="20"/>
  <c r="I174" i="20"/>
  <c r="I173" i="20"/>
  <c r="I172" i="20"/>
  <c r="I171" i="20"/>
  <c r="I170" i="20"/>
  <c r="I169" i="20"/>
  <c r="I168" i="20"/>
  <c r="I167" i="20"/>
  <c r="I166" i="20"/>
  <c r="I165" i="20"/>
  <c r="I164" i="20"/>
  <c r="I163" i="20"/>
  <c r="I162" i="20"/>
  <c r="I161" i="20"/>
  <c r="I160" i="20"/>
  <c r="I159" i="20"/>
  <c r="I158" i="20"/>
  <c r="I157" i="20"/>
  <c r="I156" i="20"/>
  <c r="I155" i="20"/>
  <c r="I154" i="20"/>
  <c r="I153" i="20"/>
  <c r="I152" i="20"/>
  <c r="I151" i="20"/>
  <c r="I150" i="20"/>
  <c r="I149" i="20"/>
  <c r="I148" i="20"/>
  <c r="I147" i="20"/>
  <c r="I146" i="20"/>
  <c r="I145" i="20"/>
  <c r="I144" i="20"/>
  <c r="I143" i="20"/>
  <c r="I142" i="20"/>
  <c r="I141" i="20"/>
  <c r="I140" i="20"/>
  <c r="I139" i="20"/>
  <c r="I138" i="20"/>
  <c r="I137" i="20"/>
  <c r="I136" i="20"/>
  <c r="I135" i="20"/>
  <c r="I134" i="20"/>
  <c r="I133" i="20"/>
  <c r="I132" i="20"/>
  <c r="I131" i="20"/>
  <c r="I130" i="20"/>
  <c r="I129" i="20"/>
  <c r="I128" i="20"/>
  <c r="I127" i="20"/>
  <c r="I126" i="20"/>
  <c r="I125" i="20"/>
  <c r="I124" i="20"/>
  <c r="I123" i="20"/>
  <c r="I122" i="20"/>
  <c r="I121" i="20"/>
  <c r="I120" i="20"/>
  <c r="I119" i="20"/>
  <c r="I118" i="20"/>
  <c r="I117" i="20"/>
  <c r="I116" i="20"/>
  <c r="I115" i="20"/>
  <c r="I114" i="20"/>
  <c r="I113" i="20"/>
  <c r="I112" i="20"/>
  <c r="I111" i="20"/>
  <c r="I110" i="20"/>
  <c r="I109" i="20"/>
  <c r="I108" i="20"/>
  <c r="I107" i="20"/>
  <c r="I106" i="20"/>
  <c r="I105" i="20"/>
  <c r="I104" i="20"/>
  <c r="I103" i="20"/>
  <c r="I102" i="20"/>
  <c r="I101" i="20"/>
  <c r="I100" i="20"/>
  <c r="I99" i="20"/>
  <c r="I98" i="20"/>
  <c r="I97" i="20"/>
  <c r="I96" i="20"/>
  <c r="I95" i="20"/>
  <c r="I94" i="20"/>
  <c r="I93" i="20"/>
  <c r="I92" i="20"/>
  <c r="I91" i="20"/>
  <c r="I90" i="20"/>
  <c r="I89" i="20"/>
  <c r="I88" i="20"/>
  <c r="I87" i="20"/>
  <c r="I86" i="20"/>
  <c r="I85" i="20"/>
  <c r="I84" i="20"/>
  <c r="I83" i="20"/>
  <c r="I82" i="20"/>
  <c r="I81" i="20"/>
  <c r="I80" i="20"/>
  <c r="I79" i="20"/>
  <c r="I78" i="20"/>
  <c r="I77" i="20"/>
  <c r="I76" i="20"/>
  <c r="I75" i="20"/>
  <c r="I74" i="20"/>
  <c r="I73" i="20"/>
  <c r="I72" i="20"/>
  <c r="I71" i="20"/>
  <c r="I70" i="20"/>
  <c r="I69" i="20"/>
  <c r="I68" i="20"/>
  <c r="I67" i="20"/>
  <c r="I66" i="20"/>
  <c r="I65" i="20"/>
  <c r="I64" i="20"/>
  <c r="I63" i="20"/>
  <c r="I62" i="20"/>
  <c r="I61" i="20"/>
  <c r="I60" i="20"/>
  <c r="I59" i="20"/>
  <c r="I58" i="20"/>
  <c r="I57" i="20"/>
  <c r="I56" i="20"/>
  <c r="I55" i="20"/>
  <c r="I54" i="20"/>
  <c r="I53" i="20"/>
  <c r="I52" i="20"/>
  <c r="I51" i="20"/>
  <c r="I50" i="20"/>
  <c r="I49" i="20"/>
  <c r="I48" i="20"/>
  <c r="I47" i="20"/>
  <c r="I46" i="20"/>
  <c r="I45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J386" i="20"/>
  <c r="J385" i="20"/>
  <c r="J384" i="20"/>
  <c r="J383" i="20"/>
  <c r="J382" i="20"/>
  <c r="J381" i="20"/>
  <c r="J380" i="20"/>
  <c r="J379" i="20"/>
  <c r="J378" i="20"/>
  <c r="J377" i="20"/>
  <c r="J376" i="20"/>
  <c r="J375" i="20"/>
  <c r="J374" i="20"/>
  <c r="J373" i="20"/>
  <c r="J372" i="20"/>
  <c r="J371" i="20"/>
  <c r="J370" i="20"/>
  <c r="J369" i="20"/>
  <c r="J368" i="20"/>
  <c r="J367" i="20"/>
  <c r="J366" i="20"/>
  <c r="J365" i="20"/>
  <c r="J364" i="20"/>
  <c r="J363" i="20"/>
  <c r="J362" i="20"/>
  <c r="J361" i="20"/>
  <c r="J360" i="20"/>
  <c r="J359" i="20"/>
  <c r="J358" i="20"/>
  <c r="J357" i="20"/>
  <c r="J356" i="20"/>
  <c r="J355" i="20"/>
  <c r="J354" i="20"/>
  <c r="J353" i="20"/>
  <c r="J352" i="20"/>
  <c r="J351" i="20"/>
  <c r="J350" i="20"/>
  <c r="J349" i="20"/>
  <c r="J348" i="20"/>
  <c r="J347" i="20"/>
  <c r="J346" i="20"/>
  <c r="J345" i="20"/>
  <c r="J344" i="20"/>
  <c r="J343" i="20"/>
  <c r="J342" i="20"/>
  <c r="J341" i="20"/>
  <c r="J340" i="20"/>
  <c r="J339" i="20"/>
  <c r="J338" i="20"/>
  <c r="J337" i="20"/>
  <c r="J336" i="20"/>
  <c r="J335" i="20"/>
  <c r="J334" i="20"/>
  <c r="J333" i="20"/>
  <c r="J332" i="20"/>
  <c r="J331" i="20"/>
  <c r="J330" i="20"/>
  <c r="J329" i="20"/>
  <c r="J328" i="20"/>
  <c r="J327" i="20"/>
  <c r="J326" i="20"/>
  <c r="J325" i="20"/>
  <c r="J324" i="20"/>
  <c r="J323" i="20"/>
  <c r="J322" i="20"/>
  <c r="J321" i="20"/>
  <c r="J320" i="20"/>
  <c r="J319" i="20"/>
  <c r="J318" i="20"/>
  <c r="J317" i="20"/>
  <c r="J316" i="20"/>
  <c r="J315" i="20"/>
  <c r="J314" i="20"/>
  <c r="J313" i="20"/>
  <c r="J312" i="20"/>
  <c r="J311" i="20"/>
  <c r="J310" i="20"/>
  <c r="J309" i="20"/>
  <c r="J308" i="20"/>
  <c r="J307" i="20"/>
  <c r="J306" i="20"/>
  <c r="J305" i="20"/>
  <c r="J304" i="20"/>
  <c r="J303" i="20"/>
  <c r="J302" i="20"/>
  <c r="J301" i="20"/>
  <c r="J300" i="20"/>
  <c r="J299" i="20"/>
  <c r="J298" i="20"/>
  <c r="J297" i="20"/>
  <c r="J296" i="20"/>
  <c r="J295" i="20"/>
  <c r="J294" i="20"/>
  <c r="J293" i="20"/>
  <c r="J292" i="20"/>
  <c r="J291" i="20"/>
  <c r="J290" i="20"/>
  <c r="J289" i="20"/>
  <c r="J288" i="20"/>
  <c r="J287" i="20"/>
  <c r="J286" i="20"/>
  <c r="J285" i="20"/>
  <c r="J284" i="20"/>
  <c r="J283" i="20"/>
  <c r="J282" i="20"/>
  <c r="J281" i="20"/>
  <c r="J280" i="20"/>
  <c r="J279" i="20"/>
  <c r="J278" i="20"/>
  <c r="J277" i="20"/>
  <c r="J276" i="20"/>
  <c r="J275" i="20"/>
  <c r="J274" i="20"/>
  <c r="J273" i="20"/>
  <c r="J272" i="20"/>
  <c r="J271" i="20"/>
  <c r="J270" i="20"/>
  <c r="J269" i="20"/>
  <c r="J268" i="20"/>
  <c r="J267" i="20"/>
  <c r="J266" i="20"/>
  <c r="J265" i="20"/>
  <c r="J264" i="20"/>
  <c r="J263" i="20"/>
  <c r="J262" i="20"/>
  <c r="J261" i="20"/>
  <c r="J260" i="20"/>
  <c r="J259" i="20"/>
  <c r="J258" i="20"/>
  <c r="J257" i="20"/>
  <c r="J256" i="20"/>
  <c r="J255" i="20"/>
  <c r="J254" i="20"/>
  <c r="J253" i="20"/>
  <c r="J252" i="20"/>
  <c r="J251" i="20"/>
  <c r="J250" i="20"/>
  <c r="J249" i="20"/>
  <c r="J248" i="20"/>
  <c r="J247" i="20"/>
  <c r="J246" i="20"/>
  <c r="J245" i="20"/>
  <c r="J244" i="20"/>
  <c r="J243" i="20"/>
  <c r="J242" i="20"/>
  <c r="J241" i="20"/>
  <c r="J240" i="20"/>
  <c r="J239" i="20"/>
  <c r="J238" i="20"/>
  <c r="J237" i="20"/>
  <c r="J236" i="20"/>
  <c r="J235" i="20"/>
  <c r="J234" i="20"/>
  <c r="J233" i="20"/>
  <c r="J232" i="20"/>
  <c r="J231" i="20"/>
  <c r="J230" i="20"/>
  <c r="J229" i="20"/>
  <c r="J228" i="20"/>
  <c r="J227" i="20"/>
  <c r="J226" i="20"/>
  <c r="J225" i="20"/>
  <c r="J224" i="20"/>
  <c r="J223" i="20"/>
  <c r="J222" i="20"/>
  <c r="J221" i="20"/>
  <c r="J220" i="20"/>
  <c r="J219" i="20"/>
  <c r="J218" i="20"/>
  <c r="J217" i="20"/>
  <c r="J216" i="20"/>
  <c r="J215" i="20"/>
  <c r="J214" i="20"/>
  <c r="J213" i="20"/>
  <c r="J212" i="20"/>
  <c r="J211" i="20"/>
  <c r="J210" i="20"/>
  <c r="J209" i="20"/>
  <c r="J208" i="20"/>
  <c r="J207" i="20"/>
  <c r="J206" i="20"/>
  <c r="J205" i="20"/>
  <c r="J204" i="20"/>
  <c r="J203" i="20"/>
  <c r="J201" i="20"/>
  <c r="J200" i="20"/>
  <c r="J199" i="20"/>
  <c r="J198" i="20"/>
  <c r="J197" i="20"/>
  <c r="J196" i="20"/>
  <c r="J195" i="20"/>
  <c r="J194" i="20"/>
  <c r="J193" i="20"/>
  <c r="J192" i="20"/>
  <c r="J191" i="20"/>
  <c r="J190" i="20"/>
  <c r="J189" i="20"/>
  <c r="J188" i="20"/>
  <c r="J187" i="20"/>
  <c r="J186" i="20"/>
  <c r="J185" i="20"/>
  <c r="J184" i="20"/>
  <c r="J183" i="20"/>
  <c r="J182" i="20"/>
  <c r="J181" i="20"/>
  <c r="J180" i="20"/>
  <c r="J179" i="20"/>
  <c r="J178" i="20"/>
  <c r="J177" i="20"/>
  <c r="J176" i="20"/>
  <c r="J175" i="20"/>
  <c r="J174" i="20"/>
  <c r="J173" i="20"/>
  <c r="J172" i="20"/>
  <c r="J171" i="20"/>
  <c r="J170" i="20"/>
  <c r="J169" i="20"/>
  <c r="J168" i="20"/>
  <c r="J167" i="20"/>
  <c r="J166" i="20"/>
  <c r="J165" i="20"/>
  <c r="J164" i="20"/>
  <c r="J163" i="20"/>
  <c r="J162" i="20"/>
  <c r="J161" i="20"/>
  <c r="J160" i="20"/>
  <c r="J159" i="20"/>
  <c r="J158" i="20"/>
  <c r="J157" i="20"/>
  <c r="J156" i="20"/>
  <c r="J155" i="20"/>
  <c r="J154" i="20"/>
  <c r="J153" i="20"/>
  <c r="J152" i="20"/>
  <c r="J151" i="20"/>
  <c r="J150" i="20"/>
  <c r="J149" i="20"/>
  <c r="J148" i="20"/>
  <c r="J147" i="20"/>
  <c r="J146" i="20"/>
  <c r="J145" i="20"/>
  <c r="J144" i="20"/>
  <c r="J143" i="20"/>
  <c r="J142" i="20"/>
  <c r="J141" i="20"/>
  <c r="J140" i="20"/>
  <c r="J139" i="20"/>
  <c r="J138" i="20"/>
  <c r="J137" i="20"/>
  <c r="J136" i="20"/>
  <c r="J135" i="20"/>
  <c r="J134" i="20"/>
  <c r="J133" i="20"/>
  <c r="J132" i="20"/>
  <c r="J131" i="20"/>
  <c r="J130" i="20"/>
  <c r="J129" i="20"/>
  <c r="J128" i="20"/>
  <c r="J127" i="20"/>
  <c r="J126" i="20"/>
  <c r="J125" i="20"/>
  <c r="J124" i="20"/>
  <c r="J123" i="20"/>
  <c r="J122" i="20"/>
  <c r="J121" i="20"/>
  <c r="J120" i="20"/>
  <c r="J119" i="20"/>
  <c r="J118" i="20"/>
  <c r="J117" i="20"/>
  <c r="J116" i="20"/>
  <c r="J115" i="20"/>
  <c r="J114" i="20"/>
  <c r="J113" i="20"/>
  <c r="J112" i="20"/>
  <c r="J111" i="20"/>
  <c r="J110" i="20"/>
  <c r="J109" i="20"/>
  <c r="J108" i="20"/>
  <c r="J107" i="20"/>
  <c r="J106" i="20"/>
  <c r="J105" i="20"/>
  <c r="J104" i="20"/>
  <c r="J103" i="20"/>
  <c r="J102" i="20"/>
  <c r="J101" i="20"/>
  <c r="J100" i="20"/>
  <c r="J99" i="20"/>
  <c r="J98" i="20"/>
  <c r="J97" i="20"/>
  <c r="J96" i="20"/>
  <c r="J95" i="20"/>
  <c r="J94" i="20"/>
  <c r="J93" i="20"/>
  <c r="J92" i="20"/>
  <c r="J91" i="20"/>
  <c r="J90" i="20"/>
  <c r="J89" i="20"/>
  <c r="J88" i="20"/>
  <c r="J87" i="20"/>
  <c r="J86" i="20"/>
  <c r="J85" i="20"/>
  <c r="J84" i="20"/>
  <c r="J83" i="20"/>
  <c r="J82" i="20"/>
  <c r="J81" i="20"/>
  <c r="J80" i="20"/>
  <c r="J79" i="20"/>
  <c r="J78" i="20"/>
  <c r="J77" i="20"/>
  <c r="J76" i="20"/>
  <c r="J75" i="20"/>
  <c r="J74" i="20"/>
  <c r="J73" i="20"/>
  <c r="J72" i="20"/>
  <c r="J71" i="20"/>
  <c r="J70" i="20"/>
  <c r="J69" i="20"/>
  <c r="J68" i="20"/>
  <c r="J67" i="20"/>
  <c r="J66" i="20"/>
  <c r="J65" i="20"/>
  <c r="J64" i="20"/>
  <c r="J63" i="20"/>
  <c r="J62" i="20"/>
  <c r="J61" i="20"/>
  <c r="J60" i="20"/>
  <c r="J59" i="20"/>
  <c r="J58" i="20"/>
  <c r="J57" i="20"/>
  <c r="J56" i="20"/>
  <c r="J55" i="20"/>
  <c r="J54" i="20"/>
  <c r="J53" i="20"/>
  <c r="J52" i="20"/>
  <c r="J51" i="20"/>
  <c r="J50" i="20"/>
  <c r="J49" i="20"/>
  <c r="J48" i="20"/>
  <c r="J47" i="20"/>
  <c r="J46" i="20"/>
  <c r="J45" i="20"/>
  <c r="J44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74" i="21"/>
  <c r="J273" i="21"/>
  <c r="J272" i="21"/>
  <c r="J271" i="21"/>
  <c r="J270" i="21"/>
  <c r="J269" i="21"/>
  <c r="J268" i="21"/>
  <c r="J267" i="21"/>
  <c r="J266" i="21"/>
  <c r="J265" i="21"/>
  <c r="J264" i="21"/>
  <c r="J263" i="21"/>
  <c r="J262" i="21"/>
  <c r="J261" i="21"/>
  <c r="J260" i="21"/>
  <c r="J259" i="21"/>
  <c r="J258" i="21"/>
  <c r="J257" i="21"/>
  <c r="J256" i="21"/>
  <c r="J255" i="21"/>
  <c r="J254" i="21"/>
  <c r="J253" i="21"/>
  <c r="J252" i="21"/>
  <c r="J251" i="21"/>
  <c r="J250" i="21"/>
  <c r="J249" i="21"/>
  <c r="J248" i="21"/>
  <c r="J247" i="21"/>
  <c r="J246" i="21"/>
  <c r="J245" i="21"/>
  <c r="J244" i="21"/>
  <c r="J243" i="21"/>
  <c r="J242" i="21"/>
  <c r="J241" i="21"/>
  <c r="J240" i="21"/>
  <c r="J239" i="21"/>
  <c r="J238" i="21"/>
  <c r="J237" i="21"/>
  <c r="J236" i="21"/>
  <c r="J235" i="21"/>
  <c r="J234" i="21"/>
  <c r="J233" i="21"/>
  <c r="J232" i="21"/>
  <c r="J231" i="21"/>
  <c r="J230" i="21"/>
  <c r="J229" i="21"/>
  <c r="J228" i="21"/>
  <c r="J227" i="21"/>
  <c r="J226" i="21"/>
  <c r="J225" i="21"/>
  <c r="J224" i="21"/>
  <c r="J223" i="21"/>
  <c r="J222" i="21"/>
  <c r="J221" i="21"/>
  <c r="J220" i="21"/>
  <c r="J219" i="21"/>
  <c r="J218" i="21"/>
  <c r="J217" i="21"/>
  <c r="J216" i="21"/>
  <c r="J215" i="21"/>
  <c r="J214" i="21"/>
  <c r="J213" i="21"/>
  <c r="J212" i="21"/>
  <c r="J211" i="21"/>
  <c r="J210" i="21"/>
  <c r="J209" i="21"/>
  <c r="J208" i="21"/>
  <c r="J207" i="21"/>
  <c r="J206" i="21"/>
  <c r="J205" i="21"/>
  <c r="J204" i="21"/>
  <c r="J203" i="21"/>
  <c r="J202" i="21"/>
  <c r="J201" i="21"/>
  <c r="J200" i="21"/>
  <c r="J199" i="21"/>
  <c r="J198" i="21"/>
  <c r="J197" i="21"/>
  <c r="J196" i="21"/>
  <c r="J195" i="21"/>
  <c r="J194" i="21"/>
  <c r="J193" i="21"/>
  <c r="J192" i="21"/>
  <c r="J191" i="21"/>
  <c r="J190" i="21"/>
  <c r="J189" i="21"/>
  <c r="J188" i="21"/>
  <c r="J187" i="21"/>
  <c r="J186" i="21"/>
  <c r="J185" i="21"/>
  <c r="J184" i="21"/>
  <c r="J183" i="21"/>
  <c r="J182" i="21"/>
  <c r="J181" i="21"/>
  <c r="J180" i="21"/>
  <c r="J179" i="21"/>
  <c r="J178" i="21"/>
  <c r="J177" i="21"/>
  <c r="J176" i="21"/>
  <c r="J175" i="21"/>
  <c r="J174" i="21"/>
  <c r="J173" i="21"/>
  <c r="J172" i="21"/>
  <c r="J171" i="21"/>
  <c r="J170" i="21"/>
  <c r="J169" i="21"/>
  <c r="J168" i="21"/>
  <c r="J167" i="21"/>
  <c r="J166" i="21"/>
  <c r="J165" i="21"/>
  <c r="J164" i="21"/>
  <c r="J163" i="21"/>
  <c r="J162" i="21"/>
  <c r="J161" i="21"/>
  <c r="J160" i="21"/>
  <c r="J159" i="21"/>
  <c r="J158" i="21"/>
  <c r="J157" i="21"/>
  <c r="J156" i="21"/>
  <c r="J155" i="21"/>
  <c r="J154" i="21"/>
  <c r="J153" i="21"/>
  <c r="J152" i="21"/>
  <c r="J151" i="21"/>
  <c r="J150" i="21"/>
  <c r="J149" i="21"/>
  <c r="J148" i="21"/>
  <c r="J147" i="21"/>
  <c r="J146" i="21"/>
  <c r="J145" i="21"/>
  <c r="J144" i="21"/>
  <c r="J143" i="21"/>
  <c r="J142" i="21"/>
  <c r="J141" i="21"/>
  <c r="J140" i="21"/>
  <c r="J139" i="21"/>
  <c r="J138" i="21"/>
  <c r="J137" i="21"/>
  <c r="J136" i="21"/>
  <c r="J135" i="21"/>
  <c r="J134" i="21"/>
  <c r="J133" i="21"/>
  <c r="J132" i="21"/>
  <c r="J131" i="21"/>
  <c r="J130" i="21"/>
  <c r="J129" i="21"/>
  <c r="J128" i="21"/>
  <c r="J127" i="21"/>
  <c r="J126" i="21"/>
  <c r="J125" i="21"/>
  <c r="J124" i="21"/>
  <c r="J123" i="21"/>
  <c r="J122" i="21"/>
  <c r="J121" i="21"/>
  <c r="J120" i="21"/>
  <c r="J119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75" i="21"/>
  <c r="J74" i="21"/>
  <c r="J73" i="21"/>
  <c r="J72" i="21"/>
  <c r="J71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I274" i="21"/>
  <c r="I273" i="21"/>
  <c r="I272" i="21"/>
  <c r="I271" i="21"/>
  <c r="I270" i="21"/>
  <c r="I269" i="21"/>
  <c r="I268" i="21"/>
  <c r="I267" i="21"/>
  <c r="I266" i="21"/>
  <c r="I265" i="21"/>
  <c r="I264" i="21"/>
  <c r="I263" i="21"/>
  <c r="I262" i="21"/>
  <c r="I261" i="21"/>
  <c r="I260" i="21"/>
  <c r="I259" i="21"/>
  <c r="I258" i="21"/>
  <c r="I257" i="21"/>
  <c r="I256" i="21"/>
  <c r="I255" i="21"/>
  <c r="I254" i="21"/>
  <c r="I253" i="21"/>
  <c r="I252" i="21"/>
  <c r="I251" i="21"/>
  <c r="I228" i="21"/>
  <c r="I227" i="21"/>
  <c r="I226" i="21"/>
  <c r="I225" i="21"/>
  <c r="I224" i="21"/>
  <c r="I223" i="21"/>
  <c r="I222" i="21"/>
  <c r="I221" i="21"/>
  <c r="I220" i="21"/>
  <c r="I219" i="21"/>
  <c r="I218" i="21"/>
  <c r="I217" i="21"/>
  <c r="I216" i="21"/>
  <c r="I215" i="21"/>
  <c r="I214" i="21"/>
  <c r="I213" i="21"/>
  <c r="I212" i="21"/>
  <c r="I211" i="21"/>
  <c r="I210" i="21"/>
  <c r="I209" i="21"/>
  <c r="I208" i="21"/>
  <c r="I207" i="21"/>
  <c r="I206" i="21"/>
  <c r="I205" i="21"/>
  <c r="I204" i="21"/>
  <c r="I203" i="21"/>
  <c r="I202" i="21"/>
  <c r="I201" i="21"/>
  <c r="I200" i="21"/>
  <c r="I199" i="21"/>
  <c r="I198" i="21"/>
  <c r="I197" i="21"/>
  <c r="I196" i="21"/>
  <c r="I195" i="21"/>
  <c r="I194" i="21"/>
  <c r="I193" i="21"/>
  <c r="I192" i="21"/>
  <c r="I191" i="21"/>
  <c r="I190" i="21"/>
  <c r="I189" i="21"/>
  <c r="I188" i="21"/>
  <c r="I187" i="21"/>
  <c r="I186" i="21"/>
  <c r="I185" i="21"/>
  <c r="I184" i="21"/>
  <c r="I183" i="21"/>
  <c r="I182" i="21"/>
  <c r="I181" i="21"/>
  <c r="I180" i="21"/>
  <c r="I178" i="21"/>
  <c r="I177" i="21"/>
  <c r="I176" i="21"/>
  <c r="I175" i="21"/>
  <c r="I174" i="21"/>
  <c r="I173" i="21"/>
  <c r="I172" i="21"/>
  <c r="I171" i="21"/>
  <c r="I170" i="21"/>
  <c r="I169" i="21"/>
  <c r="I168" i="21"/>
  <c r="I167" i="21"/>
  <c r="I166" i="21"/>
  <c r="I165" i="21"/>
  <c r="I164" i="21"/>
  <c r="I163" i="21"/>
  <c r="I162" i="21"/>
  <c r="I161" i="21"/>
  <c r="I160" i="21"/>
  <c r="I159" i="21"/>
  <c r="I158" i="21"/>
  <c r="I157" i="21"/>
  <c r="I156" i="21"/>
  <c r="I155" i="21"/>
  <c r="I154" i="21"/>
  <c r="I153" i="21"/>
  <c r="I152" i="21"/>
  <c r="I151" i="21"/>
  <c r="I150" i="21"/>
  <c r="I149" i="21"/>
  <c r="I148" i="21"/>
  <c r="I147" i="21"/>
  <c r="I146" i="21"/>
  <c r="I145" i="21"/>
  <c r="I144" i="21"/>
  <c r="I143" i="21"/>
  <c r="I142" i="21"/>
  <c r="I141" i="21"/>
  <c r="I140" i="21"/>
  <c r="I139" i="21"/>
  <c r="I138" i="21"/>
  <c r="I137" i="21"/>
  <c r="I136" i="21"/>
  <c r="I135" i="21"/>
  <c r="I134" i="21"/>
  <c r="I133" i="21"/>
  <c r="I132" i="21"/>
  <c r="I131" i="21"/>
  <c r="I130" i="21"/>
  <c r="I129" i="21"/>
  <c r="I128" i="21"/>
  <c r="I127" i="21"/>
  <c r="I126" i="21"/>
  <c r="I125" i="21"/>
  <c r="I124" i="21"/>
  <c r="I123" i="21"/>
  <c r="I122" i="21"/>
  <c r="I121" i="21"/>
  <c r="I120" i="21"/>
  <c r="I119" i="21"/>
  <c r="I118" i="21"/>
  <c r="I117" i="21"/>
  <c r="I116" i="21"/>
  <c r="I115" i="21"/>
  <c r="I114" i="21"/>
  <c r="I113" i="21"/>
  <c r="I112" i="21"/>
  <c r="I111" i="21"/>
  <c r="I110" i="21"/>
  <c r="I109" i="21"/>
  <c r="I108" i="21"/>
  <c r="I107" i="21"/>
  <c r="I106" i="21"/>
  <c r="I105" i="21"/>
  <c r="I104" i="21"/>
  <c r="I103" i="21"/>
  <c r="I102" i="21"/>
  <c r="I101" i="21"/>
  <c r="I100" i="21"/>
  <c r="I99" i="21"/>
  <c r="I98" i="21"/>
  <c r="I97" i="21"/>
  <c r="I96" i="21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B367" i="31"/>
  <c r="B366" i="31"/>
  <c r="B361" i="31"/>
  <c r="B356" i="31"/>
  <c r="B351" i="31"/>
  <c r="B348" i="31"/>
  <c r="B347" i="31"/>
  <c r="B346" i="31"/>
  <c r="B345" i="31"/>
  <c r="B344" i="31"/>
  <c r="B343" i="31"/>
  <c r="B342" i="31"/>
  <c r="B341" i="31"/>
  <c r="B340" i="31"/>
  <c r="B339" i="31"/>
  <c r="B338" i="31"/>
  <c r="B337" i="31"/>
  <c r="B336" i="31"/>
  <c r="B335" i="31"/>
  <c r="B330" i="31"/>
  <c r="B329" i="31"/>
  <c r="B328" i="31"/>
  <c r="B327" i="31"/>
  <c r="B326" i="31"/>
  <c r="B325" i="31"/>
  <c r="B324" i="31"/>
  <c r="B323" i="31"/>
  <c r="B322" i="31"/>
  <c r="B321" i="31"/>
  <c r="B320" i="31"/>
  <c r="B319" i="31"/>
  <c r="B318" i="31"/>
  <c r="B313" i="31"/>
  <c r="B312" i="31"/>
  <c r="B311" i="31"/>
  <c r="B310" i="31"/>
  <c r="B309" i="31"/>
  <c r="B308" i="31"/>
  <c r="B307" i="31"/>
  <c r="B306" i="31"/>
  <c r="B305" i="31"/>
  <c r="B304" i="31"/>
  <c r="B303" i="31"/>
  <c r="B302" i="31"/>
  <c r="B301" i="31"/>
  <c r="B300" i="31"/>
  <c r="B299" i="31"/>
  <c r="B298" i="31"/>
  <c r="B297" i="31"/>
  <c r="B296" i="31"/>
  <c r="B295" i="31"/>
  <c r="B294" i="31"/>
  <c r="B293" i="31"/>
  <c r="B292" i="31"/>
  <c r="B291" i="31"/>
  <c r="B290" i="31"/>
  <c r="C285" i="31"/>
  <c r="B285" i="31"/>
  <c r="C284" i="31"/>
  <c r="B284" i="31"/>
  <c r="C283" i="31"/>
  <c r="B283" i="31"/>
  <c r="C282" i="31"/>
  <c r="B282" i="31"/>
  <c r="C281" i="31"/>
  <c r="B281" i="31"/>
  <c r="C280" i="31"/>
  <c r="B280" i="31"/>
  <c r="C279" i="31"/>
  <c r="B279" i="31"/>
  <c r="C278" i="31"/>
  <c r="B278" i="31"/>
  <c r="C277" i="31"/>
  <c r="B277" i="31"/>
  <c r="C276" i="31"/>
  <c r="B276" i="31"/>
  <c r="B273" i="31"/>
  <c r="B269" i="31"/>
  <c r="C266" i="31"/>
  <c r="B266" i="31"/>
  <c r="C265" i="31"/>
  <c r="B265" i="31"/>
  <c r="B259" i="31"/>
  <c r="B258" i="31"/>
  <c r="B257" i="31"/>
  <c r="B256" i="31"/>
  <c r="B255" i="31"/>
  <c r="B254" i="31"/>
  <c r="B253" i="31"/>
  <c r="B252" i="31"/>
  <c r="B247" i="31"/>
  <c r="B246" i="31"/>
  <c r="B245" i="31"/>
  <c r="B244" i="31"/>
  <c r="B243" i="31"/>
  <c r="B242" i="31"/>
  <c r="B241" i="31"/>
  <c r="B240" i="31"/>
  <c r="B239" i="31"/>
  <c r="B238" i="31"/>
  <c r="B237" i="31"/>
  <c r="B236" i="31"/>
  <c r="B235" i="31"/>
  <c r="B234" i="31"/>
  <c r="B229" i="31"/>
  <c r="B228" i="31"/>
  <c r="B227" i="31"/>
  <c r="B226" i="31"/>
  <c r="B225" i="31"/>
  <c r="B224" i="31"/>
  <c r="B223" i="31"/>
  <c r="B222" i="31"/>
  <c r="B221" i="31"/>
  <c r="B220" i="31"/>
  <c r="B219" i="31"/>
  <c r="B218" i="31"/>
  <c r="B217" i="31"/>
  <c r="B216" i="31"/>
  <c r="B215" i="31"/>
  <c r="B214" i="31"/>
  <c r="B213" i="31"/>
  <c r="B212" i="31"/>
  <c r="B211" i="31"/>
  <c r="B210" i="31"/>
  <c r="B209" i="31"/>
  <c r="B208" i="31"/>
  <c r="B207" i="31"/>
  <c r="B206" i="31"/>
  <c r="B205" i="31"/>
  <c r="B204" i="31"/>
  <c r="B203" i="31"/>
  <c r="B202" i="31"/>
  <c r="B201" i="31"/>
  <c r="B200" i="31"/>
  <c r="B199" i="31"/>
  <c r="B198" i="31"/>
  <c r="B197" i="31"/>
  <c r="B196" i="31"/>
  <c r="B195" i="31"/>
  <c r="B194" i="31"/>
  <c r="B189" i="31"/>
  <c r="B188" i="31"/>
  <c r="B187" i="31"/>
  <c r="B186" i="31"/>
  <c r="B185" i="31"/>
  <c r="B184" i="31"/>
  <c r="B183" i="31"/>
  <c r="B182" i="31"/>
  <c r="B181" i="31"/>
  <c r="B180" i="31"/>
  <c r="B175" i="31"/>
  <c r="B174" i="31"/>
  <c r="B169" i="31"/>
  <c r="B168" i="31"/>
  <c r="B163" i="31"/>
  <c r="B162" i="31"/>
  <c r="B161" i="31"/>
  <c r="B160" i="31"/>
  <c r="B159" i="31"/>
  <c r="C154" i="31"/>
  <c r="B154" i="31"/>
  <c r="B153" i="31"/>
  <c r="B152" i="31"/>
  <c r="B151" i="31"/>
  <c r="B150" i="31"/>
  <c r="B149" i="31"/>
  <c r="B148" i="31"/>
  <c r="B147" i="31"/>
  <c r="B142" i="31"/>
  <c r="B141" i="31"/>
  <c r="B140" i="31"/>
  <c r="B139" i="31"/>
  <c r="B138" i="31"/>
  <c r="B137" i="31"/>
  <c r="B136" i="31"/>
  <c r="B135" i="31"/>
  <c r="B134" i="31"/>
  <c r="B133" i="31"/>
  <c r="B132" i="31"/>
  <c r="B131" i="31"/>
  <c r="B130" i="31"/>
  <c r="B129" i="31"/>
  <c r="B128" i="31"/>
  <c r="B127" i="31"/>
  <c r="B116" i="31"/>
  <c r="B107" i="31"/>
  <c r="B98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C76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56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C26" i="31"/>
  <c r="B26" i="31"/>
  <c r="C25" i="31"/>
  <c r="B25" i="31"/>
  <c r="C24" i="31"/>
  <c r="B24" i="31"/>
  <c r="C23" i="31"/>
  <c r="B23" i="31"/>
  <c r="C22" i="31"/>
  <c r="B22" i="31"/>
  <c r="B14" i="31"/>
  <c r="B11" i="31"/>
  <c r="B10" i="31"/>
  <c r="B502" i="27"/>
  <c r="B499" i="27"/>
  <c r="B498" i="27"/>
  <c r="B493" i="27"/>
  <c r="B488" i="27"/>
  <c r="B483" i="27"/>
  <c r="B480" i="27"/>
  <c r="B479" i="27"/>
  <c r="B478" i="27"/>
  <c r="B477" i="27"/>
  <c r="B476" i="27"/>
  <c r="B475" i="27"/>
  <c r="B474" i="27"/>
  <c r="B473" i="27"/>
  <c r="B472" i="27"/>
  <c r="B471" i="27"/>
  <c r="B470" i="27"/>
  <c r="B469" i="27"/>
  <c r="B468" i="27"/>
  <c r="B467" i="27"/>
  <c r="B466" i="27"/>
  <c r="B460" i="27"/>
  <c r="B459" i="27"/>
  <c r="B458" i="27"/>
  <c r="B457" i="27"/>
  <c r="B456" i="27"/>
  <c r="B455" i="27"/>
  <c r="B454" i="27"/>
  <c r="B453" i="27"/>
  <c r="B452" i="27"/>
  <c r="B451" i="27"/>
  <c r="B450" i="27"/>
  <c r="B449" i="27"/>
  <c r="B448" i="27"/>
  <c r="B447" i="27"/>
  <c r="B446" i="27"/>
  <c r="B440" i="27"/>
  <c r="B439" i="27"/>
  <c r="B438" i="27"/>
  <c r="B437" i="27"/>
  <c r="B436" i="27"/>
  <c r="B435" i="27"/>
  <c r="B434" i="27"/>
  <c r="B433" i="27"/>
  <c r="B432" i="27"/>
  <c r="B431" i="27"/>
  <c r="B430" i="27"/>
  <c r="B429" i="27"/>
  <c r="B428" i="27"/>
  <c r="B427" i="27"/>
  <c r="B422" i="27"/>
  <c r="B421" i="27"/>
  <c r="B420" i="27"/>
  <c r="B419" i="27"/>
  <c r="B418" i="27"/>
  <c r="B417" i="27"/>
  <c r="B416" i="27"/>
  <c r="B415" i="27"/>
  <c r="B414" i="27"/>
  <c r="B413" i="27"/>
  <c r="B412" i="27"/>
  <c r="B411" i="27"/>
  <c r="B410" i="27"/>
  <c r="B405" i="27"/>
  <c r="B404" i="27"/>
  <c r="B403" i="27"/>
  <c r="B402" i="27"/>
  <c r="B401" i="27"/>
  <c r="B400" i="27"/>
  <c r="B399" i="27"/>
  <c r="B398" i="27"/>
  <c r="B397" i="27"/>
  <c r="B396" i="27"/>
  <c r="B395" i="27"/>
  <c r="B394" i="27"/>
  <c r="B393" i="27"/>
  <c r="B392" i="27"/>
  <c r="B391" i="27"/>
  <c r="B390" i="27"/>
  <c r="B389" i="27"/>
  <c r="B388" i="27"/>
  <c r="B387" i="27"/>
  <c r="B386" i="27"/>
  <c r="B385" i="27"/>
  <c r="B384" i="27"/>
  <c r="B383" i="27"/>
  <c r="B382" i="27"/>
  <c r="C377" i="27"/>
  <c r="B377" i="27"/>
  <c r="C376" i="27"/>
  <c r="B376" i="27"/>
  <c r="C375" i="27"/>
  <c r="B375" i="27"/>
  <c r="C374" i="27"/>
  <c r="B374" i="27"/>
  <c r="C373" i="27"/>
  <c r="B373" i="27"/>
  <c r="C372" i="27"/>
  <c r="B372" i="27"/>
  <c r="C371" i="27"/>
  <c r="B371" i="27"/>
  <c r="C370" i="27"/>
  <c r="B370" i="27"/>
  <c r="C369" i="27"/>
  <c r="B369" i="27"/>
  <c r="C368" i="27"/>
  <c r="B368" i="27"/>
  <c r="B365" i="27"/>
  <c r="B361" i="27"/>
  <c r="C358" i="27"/>
  <c r="B358" i="27"/>
  <c r="C357" i="27"/>
  <c r="B357" i="27"/>
  <c r="B351" i="27"/>
  <c r="B350" i="27"/>
  <c r="B349" i="27"/>
  <c r="B348" i="27"/>
  <c r="B347" i="27"/>
  <c r="B346" i="27"/>
  <c r="B345" i="27"/>
  <c r="B344" i="27"/>
  <c r="C339" i="27"/>
  <c r="B339" i="27"/>
  <c r="C338" i="27"/>
  <c r="B338" i="27"/>
  <c r="C337" i="27"/>
  <c r="B337" i="27"/>
  <c r="C336" i="27"/>
  <c r="B336" i="27"/>
  <c r="C335" i="27"/>
  <c r="B335" i="27"/>
  <c r="C334" i="27"/>
  <c r="B334" i="27"/>
  <c r="C333" i="27"/>
  <c r="B333" i="27"/>
  <c r="C332" i="27"/>
  <c r="B332" i="27"/>
  <c r="C331" i="27"/>
  <c r="B331" i="27"/>
  <c r="C330" i="27"/>
  <c r="B330" i="27"/>
  <c r="C329" i="27"/>
  <c r="B329" i="27"/>
  <c r="C328" i="27"/>
  <c r="B328" i="27"/>
  <c r="C327" i="27"/>
  <c r="B327" i="27"/>
  <c r="C326" i="27"/>
  <c r="B326" i="27"/>
  <c r="C325" i="27"/>
  <c r="B325" i="27"/>
  <c r="B320" i="27"/>
  <c r="B319" i="27"/>
  <c r="B318" i="27"/>
  <c r="B317" i="27"/>
  <c r="B316" i="27"/>
  <c r="B315" i="27"/>
  <c r="B314" i="27"/>
  <c r="B313" i="27"/>
  <c r="B312" i="27"/>
  <c r="B311" i="27"/>
  <c r="B310" i="27"/>
  <c r="B309" i="27"/>
  <c r="B308" i="27"/>
  <c r="B307" i="27"/>
  <c r="B302" i="27"/>
  <c r="B301" i="27"/>
  <c r="B300" i="27"/>
  <c r="B299" i="27"/>
  <c r="B298" i="27"/>
  <c r="B297" i="27"/>
  <c r="B296" i="27"/>
  <c r="B295" i="27"/>
  <c r="B294" i="27"/>
  <c r="B293" i="27"/>
  <c r="B292" i="27"/>
  <c r="B291" i="27"/>
  <c r="B290" i="27"/>
  <c r="B289" i="27"/>
  <c r="B288" i="27"/>
  <c r="B287" i="27"/>
  <c r="B286" i="27"/>
  <c r="B285" i="27"/>
  <c r="B284" i="27"/>
  <c r="B283" i="27"/>
  <c r="B282" i="27"/>
  <c r="B281" i="27"/>
  <c r="B280" i="27"/>
  <c r="B279" i="27"/>
  <c r="B278" i="27"/>
  <c r="B277" i="27"/>
  <c r="B276" i="27"/>
  <c r="B275" i="27"/>
  <c r="B274" i="27"/>
  <c r="B273" i="27"/>
  <c r="B272" i="27"/>
  <c r="B271" i="27"/>
  <c r="B270" i="27"/>
  <c r="B269" i="27"/>
  <c r="B268" i="27"/>
  <c r="B267" i="27"/>
  <c r="B262" i="27"/>
  <c r="B261" i="27"/>
  <c r="B260" i="27"/>
  <c r="B259" i="27"/>
  <c r="B258" i="27"/>
  <c r="B257" i="27"/>
  <c r="B256" i="27"/>
  <c r="B255" i="27"/>
  <c r="B254" i="27"/>
  <c r="B253" i="27"/>
  <c r="B248" i="27"/>
  <c r="B247" i="27"/>
  <c r="B242" i="27"/>
  <c r="B241" i="27"/>
  <c r="B236" i="27"/>
  <c r="B235" i="27"/>
  <c r="B234" i="27"/>
  <c r="B233" i="27"/>
  <c r="B232" i="27"/>
  <c r="C227" i="27"/>
  <c r="B227" i="27"/>
  <c r="B226" i="27"/>
  <c r="B225" i="27"/>
  <c r="B224" i="27"/>
  <c r="B223" i="27"/>
  <c r="B222" i="27"/>
  <c r="B221" i="27"/>
  <c r="B220" i="27"/>
  <c r="B212" i="27"/>
  <c r="B206" i="27"/>
  <c r="B203" i="27"/>
  <c r="B202" i="27"/>
  <c r="B201" i="27"/>
  <c r="B200" i="27"/>
  <c r="B199" i="27"/>
  <c r="B198" i="27"/>
  <c r="B197" i="27"/>
  <c r="B196" i="27"/>
  <c r="B195" i="27"/>
  <c r="B194" i="27"/>
  <c r="B193" i="27"/>
  <c r="B192" i="27"/>
  <c r="B191" i="27"/>
  <c r="B190" i="27"/>
  <c r="B189" i="27"/>
  <c r="B188" i="27"/>
  <c r="B183" i="27"/>
  <c r="B182" i="27"/>
  <c r="B181" i="27"/>
  <c r="B180" i="27"/>
  <c r="B179" i="27"/>
  <c r="B178" i="27"/>
  <c r="B177" i="27"/>
  <c r="B176" i="27"/>
  <c r="B175" i="27"/>
  <c r="B174" i="27"/>
  <c r="B173" i="27"/>
  <c r="B172" i="27"/>
  <c r="B171" i="27"/>
  <c r="B170" i="27"/>
  <c r="B169" i="27"/>
  <c r="B168" i="27"/>
  <c r="B157" i="27"/>
  <c r="B148" i="27"/>
  <c r="B139" i="27"/>
  <c r="B136" i="27"/>
  <c r="B135" i="27"/>
  <c r="B134" i="27"/>
  <c r="B133" i="27"/>
  <c r="B132" i="27"/>
  <c r="B131" i="27"/>
  <c r="B130" i="27"/>
  <c r="B129" i="27"/>
  <c r="B128" i="27"/>
  <c r="B120" i="27"/>
  <c r="C117" i="27"/>
  <c r="B117" i="27"/>
  <c r="C116" i="27"/>
  <c r="B116" i="27"/>
  <c r="C110" i="27"/>
  <c r="B110" i="27"/>
  <c r="C109" i="27"/>
  <c r="B109" i="27"/>
  <c r="C108" i="27"/>
  <c r="B108" i="27"/>
  <c r="C107" i="27"/>
  <c r="B107" i="27"/>
  <c r="C106" i="27"/>
  <c r="B106" i="27"/>
  <c r="C105" i="27"/>
  <c r="B105" i="27"/>
  <c r="C104" i="27"/>
  <c r="B104" i="27"/>
  <c r="C103" i="27"/>
  <c r="B103" i="27"/>
  <c r="C102" i="27"/>
  <c r="B102" i="27"/>
  <c r="B95" i="27"/>
  <c r="B94" i="27"/>
  <c r="B93" i="27"/>
  <c r="B92" i="27"/>
  <c r="B91" i="27"/>
  <c r="B90" i="27"/>
  <c r="B89" i="27"/>
  <c r="B88" i="27"/>
  <c r="B87" i="27"/>
  <c r="B86" i="27"/>
  <c r="B85" i="27"/>
  <c r="B84" i="27"/>
  <c r="B83" i="27"/>
  <c r="B82" i="27"/>
  <c r="B81" i="27"/>
  <c r="C76" i="27"/>
  <c r="B76" i="27"/>
  <c r="B75" i="27"/>
  <c r="B74" i="27"/>
  <c r="B73" i="27"/>
  <c r="B72" i="27"/>
  <c r="B71" i="27"/>
  <c r="B70" i="27"/>
  <c r="B69" i="27"/>
  <c r="B68" i="27"/>
  <c r="B67" i="27"/>
  <c r="B66" i="27"/>
  <c r="B65" i="27"/>
  <c r="B64" i="27"/>
  <c r="B56" i="27"/>
  <c r="B53" i="27"/>
  <c r="B52" i="27"/>
  <c r="B51" i="27"/>
  <c r="B50" i="27"/>
  <c r="B49" i="27"/>
  <c r="B48" i="27"/>
  <c r="B47" i="27"/>
  <c r="B46" i="27"/>
  <c r="B45" i="27"/>
  <c r="B44" i="27"/>
  <c r="B43" i="27"/>
  <c r="B42" i="27"/>
  <c r="B41" i="27"/>
  <c r="B40" i="27"/>
  <c r="B39" i="27"/>
  <c r="B38" i="27"/>
  <c r="B37" i="27"/>
  <c r="B36" i="27"/>
  <c r="B35" i="27"/>
  <c r="B34" i="27"/>
  <c r="B33" i="27"/>
  <c r="B32" i="27"/>
  <c r="C26" i="27"/>
  <c r="B26" i="27"/>
  <c r="C25" i="27"/>
  <c r="B25" i="27"/>
  <c r="C24" i="27"/>
  <c r="B24" i="27"/>
  <c r="C23" i="27"/>
  <c r="B23" i="27"/>
  <c r="C22" i="27"/>
  <c r="B22" i="27"/>
  <c r="B14" i="27"/>
  <c r="B11" i="27"/>
  <c r="B10" i="27"/>
  <c r="B335" i="30"/>
  <c r="B325" i="30"/>
  <c r="C322" i="30"/>
  <c r="B322" i="30"/>
  <c r="C321" i="30"/>
  <c r="B321" i="30"/>
  <c r="C320" i="30"/>
  <c r="B320" i="30"/>
  <c r="B315" i="30"/>
  <c r="B314" i="30"/>
  <c r="B313" i="30"/>
  <c r="B307" i="30"/>
  <c r="B306" i="30"/>
  <c r="B305" i="30"/>
  <c r="B300" i="30"/>
  <c r="B299" i="30"/>
  <c r="B298" i="30"/>
  <c r="B295" i="30"/>
  <c r="B294" i="30"/>
  <c r="B289" i="30"/>
  <c r="B284" i="30"/>
  <c r="B279" i="30"/>
  <c r="B276" i="30"/>
  <c r="B275" i="30"/>
  <c r="B274" i="30"/>
  <c r="B273" i="30"/>
  <c r="B272" i="30"/>
  <c r="B271" i="30"/>
  <c r="B270" i="30"/>
  <c r="B269" i="30"/>
  <c r="C264" i="30"/>
  <c r="B264" i="30"/>
  <c r="C263" i="30"/>
  <c r="B263" i="30"/>
  <c r="C262" i="30"/>
  <c r="B262" i="30"/>
  <c r="C261" i="30"/>
  <c r="B261" i="30"/>
  <c r="C260" i="30"/>
  <c r="B260" i="30"/>
  <c r="C259" i="30"/>
  <c r="B259" i="30"/>
  <c r="C258" i="30"/>
  <c r="B258" i="30"/>
  <c r="C257" i="30"/>
  <c r="B257" i="30"/>
  <c r="C256" i="30"/>
  <c r="B256" i="30"/>
  <c r="C255" i="30"/>
  <c r="B255" i="30"/>
  <c r="C254" i="30"/>
  <c r="B254" i="30"/>
  <c r="C253" i="30"/>
  <c r="B253" i="30"/>
  <c r="C252" i="30"/>
  <c r="B252" i="30"/>
  <c r="C251" i="30"/>
  <c r="B251" i="30"/>
  <c r="C250" i="30"/>
  <c r="B250" i="30"/>
  <c r="B245" i="30"/>
  <c r="B244" i="30"/>
  <c r="B243" i="30"/>
  <c r="B242" i="30"/>
  <c r="B241" i="30"/>
  <c r="B240" i="30"/>
  <c r="B239" i="30"/>
  <c r="B238" i="30"/>
  <c r="B237" i="30"/>
  <c r="B236" i="30"/>
  <c r="B231" i="30"/>
  <c r="B230" i="30"/>
  <c r="B225" i="30"/>
  <c r="B224" i="30"/>
  <c r="B219" i="30"/>
  <c r="B218" i="30"/>
  <c r="B217" i="30"/>
  <c r="B216" i="30"/>
  <c r="B215" i="30"/>
  <c r="B210" i="30"/>
  <c r="B209" i="30"/>
  <c r="B208" i="30"/>
  <c r="B207" i="30"/>
  <c r="B206" i="30"/>
  <c r="B205" i="30"/>
  <c r="B204" i="30"/>
  <c r="B203" i="30"/>
  <c r="B202" i="30"/>
  <c r="B201" i="30"/>
  <c r="B200" i="30"/>
  <c r="B199" i="30"/>
  <c r="B198" i="30"/>
  <c r="B197" i="30"/>
  <c r="B196" i="30"/>
  <c r="C191" i="30"/>
  <c r="B191" i="30"/>
  <c r="B190" i="30"/>
  <c r="B189" i="30"/>
  <c r="B188" i="30"/>
  <c r="B187" i="30"/>
  <c r="B186" i="30"/>
  <c r="B185" i="30"/>
  <c r="B184" i="30"/>
  <c r="B183" i="30"/>
  <c r="B182" i="30"/>
  <c r="B181" i="30"/>
  <c r="B180" i="30"/>
  <c r="B179" i="30"/>
  <c r="B171" i="30"/>
  <c r="B162" i="30"/>
  <c r="B153" i="30"/>
  <c r="B144" i="30"/>
  <c r="B135" i="30"/>
  <c r="C104" i="30"/>
  <c r="B104" i="30"/>
  <c r="C103" i="30"/>
  <c r="B103" i="30"/>
  <c r="C102" i="30"/>
  <c r="B102" i="30"/>
  <c r="C101" i="30"/>
  <c r="B101" i="30"/>
  <c r="B88" i="30"/>
  <c r="B87" i="30"/>
  <c r="B86" i="30"/>
  <c r="B82" i="30"/>
  <c r="B72" i="30"/>
  <c r="B71" i="30"/>
  <c r="B70" i="30"/>
  <c r="B65" i="30"/>
  <c r="B58" i="30"/>
  <c r="B57" i="30"/>
  <c r="B54" i="30"/>
  <c r="B53" i="30"/>
  <c r="B52" i="30"/>
  <c r="B24" i="30"/>
  <c r="B20" i="30"/>
  <c r="B17" i="30"/>
  <c r="B16" i="30"/>
  <c r="B9" i="30"/>
  <c r="B318" i="13"/>
  <c r="B308" i="13"/>
  <c r="C305" i="13"/>
  <c r="B305" i="13"/>
  <c r="C304" i="13"/>
  <c r="B304" i="13"/>
  <c r="C303" i="13"/>
  <c r="B303" i="13"/>
  <c r="B298" i="13"/>
  <c r="B297" i="13"/>
  <c r="B296" i="13"/>
  <c r="B290" i="13"/>
  <c r="B289" i="13"/>
  <c r="B288" i="13"/>
  <c r="B283" i="13"/>
  <c r="B282" i="13"/>
  <c r="B281" i="13"/>
  <c r="B278" i="13"/>
  <c r="B277" i="13"/>
  <c r="B272" i="13"/>
  <c r="B267" i="13"/>
  <c r="B262" i="13"/>
  <c r="B259" i="13"/>
  <c r="B258" i="13"/>
  <c r="B257" i="13"/>
  <c r="B256" i="13"/>
  <c r="B255" i="13"/>
  <c r="B254" i="13"/>
  <c r="B253" i="13"/>
  <c r="B252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B228" i="13"/>
  <c r="B227" i="13"/>
  <c r="B226" i="13"/>
  <c r="B225" i="13"/>
  <c r="B224" i="13"/>
  <c r="B223" i="13"/>
  <c r="B222" i="13"/>
  <c r="B221" i="13"/>
  <c r="B220" i="13"/>
  <c r="B219" i="13"/>
  <c r="B214" i="13"/>
  <c r="B213" i="13"/>
  <c r="B208" i="13"/>
  <c r="B207" i="13"/>
  <c r="B202" i="13"/>
  <c r="B201" i="13"/>
  <c r="B200" i="13"/>
  <c r="B199" i="13"/>
  <c r="B198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C174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55" i="13"/>
  <c r="B146" i="13"/>
  <c r="B137" i="13"/>
  <c r="B128" i="13"/>
  <c r="B119" i="13"/>
  <c r="C116" i="13"/>
  <c r="B116" i="13"/>
  <c r="C115" i="13"/>
  <c r="B115" i="13"/>
  <c r="C100" i="13"/>
  <c r="B100" i="13"/>
  <c r="C99" i="13"/>
  <c r="B99" i="13"/>
  <c r="C98" i="13"/>
  <c r="B98" i="13"/>
  <c r="C97" i="13"/>
  <c r="B97" i="13"/>
  <c r="B84" i="13"/>
  <c r="B83" i="13"/>
  <c r="B82" i="13"/>
  <c r="B78" i="13"/>
  <c r="B68" i="13"/>
  <c r="B67" i="13"/>
  <c r="B66" i="13"/>
  <c r="B61" i="13"/>
  <c r="B54" i="13"/>
  <c r="B53" i="13"/>
  <c r="B50" i="13"/>
  <c r="B49" i="13"/>
  <c r="B48" i="13"/>
  <c r="B45" i="13"/>
  <c r="B44" i="13"/>
  <c r="B43" i="13"/>
  <c r="B42" i="13"/>
  <c r="B41" i="13"/>
  <c r="B40" i="13"/>
  <c r="B39" i="13"/>
  <c r="B38" i="13"/>
  <c r="B24" i="13"/>
  <c r="B20" i="13"/>
  <c r="B17" i="13"/>
  <c r="B16" i="13"/>
  <c r="B9" i="13"/>
  <c r="B479" i="12"/>
  <c r="B478" i="12"/>
  <c r="B473" i="12"/>
  <c r="B468" i="12"/>
  <c r="B463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C357" i="12"/>
  <c r="B357" i="12"/>
  <c r="C356" i="12"/>
  <c r="B356" i="12"/>
  <c r="B350" i="12"/>
  <c r="B349" i="12"/>
  <c r="B348" i="12"/>
  <c r="B347" i="12"/>
  <c r="B346" i="12"/>
  <c r="B345" i="12"/>
  <c r="B344" i="12"/>
  <c r="B343" i="12"/>
  <c r="C338" i="12"/>
  <c r="B338" i="12"/>
  <c r="C337" i="12"/>
  <c r="B337" i="12"/>
  <c r="C336" i="12"/>
  <c r="B336" i="12"/>
  <c r="C335" i="12"/>
  <c r="B335" i="12"/>
  <c r="C334" i="12"/>
  <c r="B334" i="12"/>
  <c r="C333" i="12"/>
  <c r="B333" i="12"/>
  <c r="C332" i="12"/>
  <c r="B332" i="12"/>
  <c r="C331" i="12"/>
  <c r="B331" i="12"/>
  <c r="C330" i="12"/>
  <c r="B330" i="12"/>
  <c r="C329" i="12"/>
  <c r="B329" i="12"/>
  <c r="C328" i="12"/>
  <c r="B328" i="12"/>
  <c r="C327" i="12"/>
  <c r="B327" i="12"/>
  <c r="C326" i="12"/>
  <c r="B326" i="12"/>
  <c r="C325" i="12"/>
  <c r="B325" i="12"/>
  <c r="C324" i="12"/>
  <c r="B324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1" i="12"/>
  <c r="B260" i="12"/>
  <c r="B259" i="12"/>
  <c r="B258" i="12"/>
  <c r="B257" i="12"/>
  <c r="B256" i="12"/>
  <c r="B255" i="12"/>
  <c r="B254" i="12"/>
  <c r="B253" i="12"/>
  <c r="B252" i="12"/>
  <c r="B247" i="12"/>
  <c r="B246" i="12"/>
  <c r="B241" i="12"/>
  <c r="B240" i="12"/>
  <c r="B235" i="12"/>
  <c r="B234" i="12"/>
  <c r="B233" i="12"/>
  <c r="B232" i="12"/>
  <c r="B231" i="12"/>
  <c r="C226" i="12"/>
  <c r="B226" i="12"/>
  <c r="B225" i="12"/>
  <c r="B224" i="12"/>
  <c r="B223" i="12"/>
  <c r="B222" i="12"/>
  <c r="B221" i="12"/>
  <c r="B220" i="12"/>
  <c r="B219" i="12"/>
  <c r="B211" i="12"/>
  <c r="B205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56" i="12"/>
  <c r="B147" i="12"/>
  <c r="B138" i="12"/>
  <c r="B135" i="12"/>
  <c r="B134" i="12"/>
  <c r="B133" i="12"/>
  <c r="B132" i="12"/>
  <c r="B131" i="12"/>
  <c r="B130" i="12"/>
  <c r="B129" i="12"/>
  <c r="B128" i="12"/>
  <c r="B127" i="12"/>
  <c r="B119" i="12"/>
  <c r="C116" i="12"/>
  <c r="B116" i="12"/>
  <c r="C115" i="12"/>
  <c r="B115" i="12"/>
  <c r="C109" i="12"/>
  <c r="B109" i="12"/>
  <c r="C108" i="12"/>
  <c r="B108" i="12"/>
  <c r="C107" i="12"/>
  <c r="B107" i="12"/>
  <c r="C106" i="12"/>
  <c r="B106" i="12"/>
  <c r="C105" i="12"/>
  <c r="B105" i="12"/>
  <c r="C104" i="12"/>
  <c r="B104" i="12"/>
  <c r="C103" i="12"/>
  <c r="B103" i="12"/>
  <c r="C102" i="12"/>
  <c r="B102" i="12"/>
  <c r="C101" i="12"/>
  <c r="B101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C75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56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C26" i="12"/>
  <c r="B26" i="12"/>
  <c r="C25" i="12"/>
  <c r="B25" i="12"/>
  <c r="C24" i="12"/>
  <c r="B24" i="12"/>
  <c r="C23" i="12"/>
  <c r="B23" i="12"/>
  <c r="C22" i="12"/>
  <c r="B22" i="12"/>
  <c r="B14" i="12"/>
  <c r="B11" i="12"/>
  <c r="B10" i="12"/>
  <c r="B347" i="11"/>
  <c r="B346" i="11"/>
  <c r="B341" i="11"/>
  <c r="B336" i="11"/>
  <c r="B331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C265" i="11"/>
  <c r="B265" i="11"/>
  <c r="C264" i="11"/>
  <c r="B264" i="11"/>
  <c r="B258" i="11"/>
  <c r="B257" i="11"/>
  <c r="B256" i="11"/>
  <c r="B255" i="11"/>
  <c r="B254" i="11"/>
  <c r="B253" i="11"/>
  <c r="B252" i="11"/>
  <c r="B251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88" i="11"/>
  <c r="B187" i="11"/>
  <c r="B186" i="11"/>
  <c r="B185" i="11"/>
  <c r="B184" i="11"/>
  <c r="B183" i="11"/>
  <c r="B182" i="11"/>
  <c r="B181" i="11"/>
  <c r="B180" i="11"/>
  <c r="B179" i="11"/>
  <c r="B174" i="11"/>
  <c r="B173" i="11"/>
  <c r="B168" i="11"/>
  <c r="B167" i="11"/>
  <c r="B162" i="11"/>
  <c r="B161" i="11"/>
  <c r="B160" i="11"/>
  <c r="B159" i="11"/>
  <c r="B158" i="11"/>
  <c r="C153" i="11"/>
  <c r="B153" i="11"/>
  <c r="B152" i="11"/>
  <c r="B151" i="11"/>
  <c r="B150" i="11"/>
  <c r="B149" i="11"/>
  <c r="B148" i="11"/>
  <c r="B147" i="11"/>
  <c r="B146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15" i="11"/>
  <c r="B106" i="11"/>
  <c r="B97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C75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56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C26" i="11"/>
  <c r="B26" i="11"/>
  <c r="C25" i="11"/>
  <c r="B25" i="11"/>
  <c r="C24" i="11"/>
  <c r="B24" i="11"/>
  <c r="C23" i="11"/>
  <c r="B23" i="11"/>
  <c r="C22" i="11"/>
  <c r="B22" i="11"/>
  <c r="B14" i="11"/>
  <c r="B11" i="11"/>
  <c r="B10" i="11"/>
  <c r="E596" i="5"/>
  <c r="E583" i="5"/>
  <c r="E582" i="5"/>
  <c r="E571" i="5"/>
  <c r="E570" i="5"/>
  <c r="E559" i="5"/>
  <c r="E558" i="5"/>
  <c r="E547" i="5"/>
  <c r="E544" i="5"/>
  <c r="E541" i="5"/>
  <c r="E538" i="5"/>
  <c r="E529" i="5"/>
  <c r="E520" i="5"/>
  <c r="E511" i="5"/>
  <c r="E510" i="5"/>
  <c r="E493" i="5"/>
  <c r="E491" i="5"/>
  <c r="E490" i="5"/>
  <c r="E489" i="5"/>
  <c r="E488" i="5"/>
  <c r="E483" i="5"/>
  <c r="E479" i="5"/>
  <c r="E475" i="5"/>
  <c r="E471" i="5"/>
  <c r="E467" i="5"/>
  <c r="E463" i="5"/>
  <c r="E459" i="5"/>
  <c r="E455" i="5"/>
  <c r="E451" i="5"/>
  <c r="E447" i="5"/>
  <c r="E444" i="5"/>
  <c r="E442" i="5"/>
  <c r="E440" i="5"/>
  <c r="E438" i="5"/>
  <c r="E436" i="5"/>
  <c r="E434" i="5"/>
  <c r="E432" i="5"/>
  <c r="E430" i="5"/>
  <c r="E428" i="5"/>
  <c r="E426" i="5"/>
  <c r="E424" i="5"/>
  <c r="E422" i="5"/>
  <c r="E420" i="5"/>
  <c r="E418" i="5"/>
  <c r="E416" i="5"/>
  <c r="E414" i="5"/>
  <c r="E412" i="5"/>
  <c r="E410" i="5"/>
  <c r="E408" i="5"/>
  <c r="E406" i="5"/>
  <c r="E404" i="5"/>
  <c r="E402" i="5"/>
  <c r="E400" i="5"/>
  <c r="E398" i="5"/>
  <c r="E396" i="5"/>
  <c r="E394" i="5"/>
  <c r="E392" i="5"/>
  <c r="E390" i="5"/>
  <c r="E388" i="5"/>
  <c r="E386" i="5"/>
  <c r="E382" i="5"/>
  <c r="E378" i="5"/>
  <c r="E374" i="5"/>
  <c r="E370" i="5"/>
  <c r="E366" i="5"/>
  <c r="E362" i="5"/>
  <c r="E358" i="5"/>
  <c r="E354" i="5"/>
  <c r="E350" i="5"/>
  <c r="E346" i="5"/>
  <c r="E342" i="5"/>
  <c r="E338" i="5"/>
  <c r="E334" i="5"/>
  <c r="E330" i="5"/>
  <c r="E326" i="5"/>
  <c r="E322" i="5"/>
  <c r="E318" i="5"/>
  <c r="E314" i="5"/>
  <c r="E310" i="5"/>
  <c r="E306" i="5"/>
  <c r="E302" i="5"/>
  <c r="E298" i="5"/>
  <c r="E294" i="5"/>
  <c r="E290" i="5"/>
  <c r="E286" i="5"/>
  <c r="E282" i="5"/>
  <c r="E278" i="5"/>
  <c r="E274" i="5"/>
  <c r="E270" i="5"/>
  <c r="E266" i="5"/>
  <c r="E262" i="5"/>
  <c r="E258" i="5"/>
  <c r="E254" i="5"/>
  <c r="E250" i="5"/>
  <c r="E249" i="5"/>
  <c r="E244" i="5"/>
  <c r="E240" i="5"/>
  <c r="E236" i="5"/>
  <c r="E232" i="5"/>
  <c r="E228" i="5"/>
  <c r="E224" i="5"/>
  <c r="E220" i="5"/>
  <c r="E216" i="5"/>
  <c r="E212" i="5"/>
  <c r="E208" i="5"/>
  <c r="E204" i="5"/>
  <c r="E200" i="5"/>
  <c r="E196" i="5"/>
  <c r="E193" i="5"/>
  <c r="E188" i="5"/>
  <c r="E182" i="5"/>
  <c r="E176" i="5"/>
  <c r="E170" i="5"/>
  <c r="E149" i="5"/>
  <c r="E148" i="5"/>
  <c r="E147" i="5"/>
  <c r="E146" i="5"/>
  <c r="E143" i="5"/>
  <c r="E136" i="5"/>
  <c r="E135" i="5"/>
  <c r="E128" i="5"/>
  <c r="E127" i="5"/>
  <c r="E120" i="5"/>
  <c r="E119" i="5"/>
  <c r="E112" i="5"/>
  <c r="E111" i="5"/>
  <c r="E103" i="5"/>
  <c r="E95" i="5"/>
  <c r="E94" i="5"/>
  <c r="E93" i="5"/>
  <c r="E85" i="5"/>
  <c r="E77" i="5"/>
  <c r="E75" i="5"/>
  <c r="E74" i="5"/>
  <c r="E68" i="5"/>
  <c r="E67" i="5"/>
  <c r="E50" i="5"/>
  <c r="E48" i="5"/>
  <c r="E19" i="5"/>
  <c r="E17" i="5"/>
  <c r="E16" i="5"/>
  <c r="E15" i="5"/>
  <c r="E8" i="5"/>
  <c r="E1501" i="1"/>
  <c r="E1500" i="1"/>
  <c r="E1499" i="1"/>
  <c r="E1498" i="1"/>
  <c r="E1493" i="1"/>
  <c r="E1489" i="1"/>
  <c r="E1483" i="1"/>
  <c r="E1477" i="1"/>
  <c r="E1471" i="1"/>
  <c r="E1465" i="1"/>
  <c r="E1459" i="1"/>
  <c r="E1453" i="1"/>
  <c r="E1447" i="1"/>
  <c r="E1441" i="1"/>
  <c r="E1435" i="1"/>
  <c r="E1429" i="1"/>
  <c r="E1423" i="1"/>
  <c r="E1417" i="1"/>
  <c r="E1411" i="1"/>
  <c r="E1405" i="1"/>
  <c r="E1399" i="1"/>
  <c r="E1393" i="1"/>
  <c r="E1387" i="1"/>
  <c r="E1381" i="1"/>
  <c r="E1375" i="1"/>
  <c r="E1369" i="1"/>
  <c r="E1363" i="1"/>
  <c r="E1357" i="1"/>
  <c r="E1351" i="1"/>
  <c r="E1345" i="1"/>
  <c r="E1339" i="1"/>
  <c r="E1333" i="1"/>
  <c r="E1327" i="1"/>
  <c r="E1321" i="1"/>
  <c r="E1315" i="1"/>
  <c r="E1309" i="1"/>
  <c r="E1305" i="1"/>
  <c r="E1301" i="1"/>
  <c r="E1297" i="1"/>
  <c r="E1293" i="1"/>
  <c r="E1289" i="1"/>
  <c r="E1285" i="1"/>
  <c r="E1281" i="1"/>
  <c r="E1277" i="1"/>
  <c r="E1273" i="1"/>
  <c r="E1269" i="1"/>
  <c r="E1265" i="1"/>
  <c r="E1261" i="1"/>
  <c r="E1257" i="1"/>
  <c r="E1253" i="1"/>
  <c r="E1249" i="1"/>
  <c r="E1245" i="1"/>
  <c r="E1241" i="1"/>
  <c r="E1237" i="1"/>
  <c r="E1233" i="1"/>
  <c r="E1229" i="1"/>
  <c r="E1225" i="1"/>
  <c r="E1221" i="1"/>
  <c r="E1217" i="1"/>
  <c r="E1213" i="1"/>
  <c r="E1209" i="1"/>
  <c r="E1205" i="1"/>
  <c r="E1201" i="1"/>
  <c r="E1197" i="1"/>
  <c r="E1193" i="1"/>
  <c r="E1189" i="1"/>
  <c r="E1185" i="1"/>
  <c r="E1181" i="1"/>
  <c r="E1177" i="1"/>
  <c r="E1173" i="1"/>
  <c r="E1169" i="1"/>
  <c r="E1165" i="1"/>
  <c r="E1161" i="1"/>
  <c r="E1157" i="1"/>
  <c r="E1153" i="1"/>
  <c r="E1149" i="1"/>
  <c r="E1145" i="1"/>
  <c r="E1141" i="1"/>
  <c r="E1137" i="1"/>
  <c r="E1133" i="1"/>
  <c r="E1129" i="1"/>
  <c r="E1125" i="1"/>
  <c r="E1121" i="1"/>
  <c r="E1117" i="1"/>
  <c r="E1113" i="1"/>
  <c r="E1109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5" i="1"/>
  <c r="E1071" i="1"/>
  <c r="E1067" i="1"/>
  <c r="E1063" i="1"/>
  <c r="E1059" i="1"/>
  <c r="E1055" i="1"/>
  <c r="E1051" i="1"/>
  <c r="E1047" i="1"/>
  <c r="E1044" i="1"/>
  <c r="E1042" i="1"/>
  <c r="E1040" i="1"/>
  <c r="E1038" i="1"/>
  <c r="E1036" i="1"/>
  <c r="E1034" i="1"/>
  <c r="E1032" i="1"/>
  <c r="E1030" i="1"/>
  <c r="E1028" i="1"/>
  <c r="E1026" i="1"/>
  <c r="E1024" i="1"/>
  <c r="E1022" i="1"/>
  <c r="E1020" i="1"/>
  <c r="E1018" i="1"/>
  <c r="E1016" i="1"/>
  <c r="E1014" i="1"/>
  <c r="E1012" i="1"/>
  <c r="E1010" i="1"/>
  <c r="E1008" i="1"/>
  <c r="E1006" i="1"/>
  <c r="E1004" i="1"/>
  <c r="E1002" i="1"/>
  <c r="E1000" i="1"/>
  <c r="E998" i="1"/>
  <c r="E996" i="1"/>
  <c r="E994" i="1"/>
  <c r="E992" i="1"/>
  <c r="E990" i="1"/>
  <c r="E988" i="1"/>
  <c r="E986" i="1"/>
  <c r="E982" i="1"/>
  <c r="E978" i="1"/>
  <c r="E974" i="1"/>
  <c r="E970" i="1"/>
  <c r="E966" i="1"/>
  <c r="E962" i="1"/>
  <c r="E958" i="1"/>
  <c r="E954" i="1"/>
  <c r="E950" i="1"/>
  <c r="E946" i="1"/>
  <c r="E942" i="1"/>
  <c r="E938" i="1"/>
  <c r="E934" i="1"/>
  <c r="E930" i="1"/>
  <c r="E926" i="1"/>
  <c r="E922" i="1"/>
  <c r="E918" i="1"/>
  <c r="E914" i="1"/>
  <c r="E910" i="1"/>
  <c r="E906" i="1"/>
  <c r="E902" i="1"/>
  <c r="E898" i="1"/>
  <c r="E894" i="1"/>
  <c r="E890" i="1"/>
  <c r="E886" i="1"/>
  <c r="E882" i="1"/>
  <c r="E878" i="1"/>
  <c r="E874" i="1"/>
  <c r="E870" i="1"/>
  <c r="E866" i="1"/>
  <c r="E862" i="1"/>
  <c r="E858" i="1"/>
  <c r="E854" i="1"/>
  <c r="E850" i="1"/>
  <c r="E846" i="1"/>
  <c r="E842" i="1"/>
  <c r="E838" i="1"/>
  <c r="E834" i="1"/>
  <c r="E830" i="1"/>
  <c r="E826" i="1"/>
  <c r="E822" i="1"/>
  <c r="E818" i="1"/>
  <c r="E814" i="1"/>
  <c r="E810" i="1"/>
  <c r="E806" i="1"/>
  <c r="E802" i="1"/>
  <c r="E798" i="1"/>
  <c r="E794" i="1"/>
  <c r="E790" i="1"/>
  <c r="E786" i="1"/>
  <c r="E782" i="1"/>
  <c r="E778" i="1"/>
  <c r="E774" i="1"/>
  <c r="E770" i="1"/>
  <c r="E766" i="1"/>
  <c r="E762" i="1"/>
  <c r="E758" i="1"/>
  <c r="E754" i="1"/>
  <c r="E750" i="1"/>
  <c r="E746" i="1"/>
  <c r="E742" i="1"/>
  <c r="E738" i="1"/>
  <c r="E734" i="1"/>
  <c r="E730" i="1"/>
  <c r="E726" i="1"/>
  <c r="E722" i="1"/>
  <c r="E718" i="1"/>
  <c r="E714" i="1"/>
  <c r="E710" i="1"/>
  <c r="E709" i="1"/>
  <c r="E704" i="1"/>
  <c r="E699" i="1"/>
  <c r="E694" i="1"/>
  <c r="E689" i="1"/>
  <c r="E684" i="1"/>
  <c r="E679" i="1"/>
  <c r="E674" i="1"/>
  <c r="E669" i="1"/>
  <c r="E666" i="1"/>
  <c r="E661" i="1"/>
  <c r="E657" i="1"/>
  <c r="E653" i="1"/>
  <c r="E649" i="1"/>
  <c r="E645" i="1"/>
  <c r="E641" i="1"/>
  <c r="E637" i="1"/>
  <c r="E633" i="1"/>
  <c r="E629" i="1"/>
  <c r="E625" i="1"/>
  <c r="E621" i="1"/>
  <c r="E617" i="1"/>
  <c r="E613" i="1"/>
  <c r="E609" i="1"/>
  <c r="E605" i="1"/>
  <c r="E601" i="1"/>
  <c r="E597" i="1"/>
  <c r="E593" i="1"/>
  <c r="E589" i="1"/>
  <c r="E585" i="1"/>
  <c r="E581" i="1"/>
  <c r="E577" i="1"/>
  <c r="E573" i="1"/>
  <c r="E569" i="1"/>
  <c r="E565" i="1"/>
  <c r="E561" i="1"/>
  <c r="E557" i="1"/>
  <c r="E553" i="1"/>
  <c r="E549" i="1"/>
  <c r="E545" i="1"/>
  <c r="E541" i="1"/>
  <c r="E537" i="1"/>
  <c r="E533" i="1"/>
  <c r="E527" i="1"/>
  <c r="E521" i="1"/>
  <c r="E515" i="1"/>
  <c r="E509" i="1"/>
  <c r="E503" i="1"/>
  <c r="E497" i="1"/>
  <c r="E491" i="1"/>
  <c r="E485" i="1"/>
  <c r="E479" i="1"/>
  <c r="E473" i="1"/>
  <c r="E467" i="1"/>
  <c r="E461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395" i="1"/>
  <c r="E391" i="1"/>
  <c r="E387" i="1"/>
  <c r="E383" i="1"/>
  <c r="E379" i="1"/>
  <c r="E375" i="1"/>
  <c r="E371" i="1"/>
  <c r="E367" i="1"/>
  <c r="E363" i="1"/>
  <c r="E359" i="1"/>
  <c r="E355" i="1"/>
  <c r="E351" i="1"/>
  <c r="E347" i="1"/>
  <c r="E343" i="1"/>
  <c r="E339" i="1"/>
  <c r="E335" i="1"/>
  <c r="E331" i="1"/>
  <c r="E327" i="1"/>
  <c r="E323" i="1"/>
  <c r="E319" i="1"/>
  <c r="E315" i="1"/>
  <c r="E311" i="1"/>
  <c r="E310" i="1"/>
  <c r="E305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4" i="1"/>
  <c r="E247" i="1"/>
  <c r="E240" i="1"/>
  <c r="E233" i="1"/>
  <c r="E226" i="1"/>
  <c r="E219" i="1"/>
  <c r="E212" i="1"/>
  <c r="E205" i="1"/>
  <c r="E198" i="1"/>
  <c r="E191" i="1"/>
  <c r="E184" i="1"/>
  <c r="E177" i="1"/>
  <c r="E170" i="1"/>
  <c r="E163" i="1"/>
  <c r="E156" i="1"/>
  <c r="E149" i="1"/>
  <c r="E142" i="1"/>
  <c r="E135" i="1"/>
  <c r="E128" i="1"/>
  <c r="E121" i="1"/>
  <c r="E114" i="1"/>
  <c r="E107" i="1"/>
  <c r="E100" i="1"/>
  <c r="E96" i="1"/>
  <c r="E95" i="1"/>
  <c r="E94" i="1"/>
  <c r="E93" i="1"/>
  <c r="E92" i="1"/>
  <c r="E88" i="1"/>
  <c r="E87" i="1"/>
  <c r="E86" i="1"/>
  <c r="E85" i="1"/>
  <c r="E84" i="1"/>
  <c r="E82" i="1"/>
  <c r="E81" i="1"/>
  <c r="E80" i="1"/>
  <c r="E76" i="1"/>
  <c r="E59" i="1"/>
  <c r="E39" i="1"/>
  <c r="E35" i="1"/>
  <c r="E1043" i="6"/>
  <c r="E1042" i="6"/>
  <c r="E1041" i="6"/>
  <c r="E1036" i="6"/>
  <c r="E1032" i="6"/>
  <c r="E1028" i="6"/>
  <c r="E1024" i="6"/>
  <c r="E1020" i="6"/>
  <c r="E1016" i="6"/>
  <c r="E1012" i="6"/>
  <c r="E1008" i="6"/>
  <c r="E1004" i="6"/>
  <c r="E1000" i="6"/>
  <c r="E996" i="6"/>
  <c r="E992" i="6"/>
  <c r="E988" i="6"/>
  <c r="E984" i="6"/>
  <c r="E980" i="6"/>
  <c r="E976" i="6"/>
  <c r="E972" i="6"/>
  <c r="E968" i="6"/>
  <c r="E964" i="6"/>
  <c r="E960" i="6"/>
  <c r="E956" i="6"/>
  <c r="E952" i="6"/>
  <c r="E948" i="6"/>
  <c r="E944" i="6"/>
  <c r="E940" i="6"/>
  <c r="E936" i="6"/>
  <c r="E932" i="6"/>
  <c r="E928" i="6"/>
  <c r="E924" i="6"/>
  <c r="E920" i="6"/>
  <c r="E916" i="6"/>
  <c r="E912" i="6"/>
  <c r="E908" i="6"/>
  <c r="E904" i="6"/>
  <c r="E900" i="6"/>
  <c r="E896" i="6"/>
  <c r="E892" i="6"/>
  <c r="E888" i="6"/>
  <c r="E884" i="6"/>
  <c r="E880" i="6"/>
  <c r="E876" i="6"/>
  <c r="E872" i="6"/>
  <c r="E868" i="6"/>
  <c r="E864" i="6"/>
  <c r="E860" i="6"/>
  <c r="E856" i="6"/>
  <c r="E852" i="6"/>
  <c r="E848" i="6"/>
  <c r="E844" i="6"/>
  <c r="E840" i="6"/>
  <c r="E836" i="6"/>
  <c r="E832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798" i="6"/>
  <c r="E794" i="6"/>
  <c r="E790" i="6"/>
  <c r="E786" i="6"/>
  <c r="E782" i="6"/>
  <c r="E778" i="6"/>
  <c r="E774" i="6"/>
  <c r="E770" i="6"/>
  <c r="E766" i="6"/>
  <c r="E762" i="6"/>
  <c r="E758" i="6"/>
  <c r="E754" i="6"/>
  <c r="E750" i="6"/>
  <c r="E746" i="6"/>
  <c r="E742" i="6"/>
  <c r="E738" i="6"/>
  <c r="E734" i="6"/>
  <c r="E730" i="6"/>
  <c r="E726" i="6"/>
  <c r="E722" i="6"/>
  <c r="E718" i="6"/>
  <c r="E714" i="6"/>
  <c r="E710" i="6"/>
  <c r="E706" i="6"/>
  <c r="E702" i="6"/>
  <c r="E698" i="6"/>
  <c r="E694" i="6"/>
  <c r="E690" i="6"/>
  <c r="E686" i="6"/>
  <c r="E682" i="6"/>
  <c r="E678" i="6"/>
  <c r="E674" i="6"/>
  <c r="E670" i="6"/>
  <c r="E666" i="6"/>
  <c r="E662" i="6"/>
  <c r="E658" i="6"/>
  <c r="E654" i="6"/>
  <c r="E650" i="6"/>
  <c r="E646" i="6"/>
  <c r="E642" i="6"/>
  <c r="E638" i="6"/>
  <c r="E634" i="6"/>
  <c r="E630" i="6"/>
  <c r="E626" i="6"/>
  <c r="E622" i="6"/>
  <c r="E618" i="6"/>
  <c r="E614" i="6"/>
  <c r="E610" i="6"/>
  <c r="E606" i="6"/>
  <c r="E602" i="6"/>
  <c r="E598" i="6"/>
  <c r="E594" i="6"/>
  <c r="E590" i="6"/>
  <c r="E586" i="6"/>
  <c r="E582" i="6"/>
  <c r="E578" i="6"/>
  <c r="E574" i="6"/>
  <c r="E570" i="6"/>
  <c r="E566" i="6"/>
  <c r="E562" i="6"/>
  <c r="E558" i="6"/>
  <c r="E554" i="6"/>
  <c r="E550" i="6"/>
  <c r="E546" i="6"/>
  <c r="E542" i="6"/>
  <c r="E538" i="6"/>
  <c r="E534" i="6"/>
  <c r="E530" i="6"/>
  <c r="E526" i="6"/>
  <c r="E522" i="6"/>
  <c r="E518" i="6"/>
  <c r="E514" i="6"/>
  <c r="E510" i="6"/>
  <c r="E506" i="6"/>
  <c r="E502" i="6"/>
  <c r="E498" i="6"/>
  <c r="E494" i="6"/>
  <c r="E493" i="6"/>
  <c r="E488" i="6"/>
  <c r="E483" i="6"/>
  <c r="E478" i="6"/>
  <c r="E473" i="6"/>
  <c r="E468" i="6"/>
  <c r="E463" i="6"/>
  <c r="E458" i="6"/>
  <c r="E453" i="6"/>
  <c r="E449" i="6"/>
  <c r="E445" i="6"/>
  <c r="E441" i="6"/>
  <c r="E437" i="6"/>
  <c r="E433" i="6"/>
  <c r="E429" i="6"/>
  <c r="E425" i="6"/>
  <c r="E421" i="6"/>
  <c r="E417" i="6"/>
  <c r="E413" i="6"/>
  <c r="E409" i="6"/>
  <c r="E405" i="6"/>
  <c r="E401" i="6"/>
  <c r="E397" i="6"/>
  <c r="E393" i="6"/>
  <c r="E389" i="6"/>
  <c r="E383" i="6"/>
  <c r="E377" i="6"/>
  <c r="E371" i="6"/>
  <c r="E367" i="6"/>
  <c r="E363" i="6"/>
  <c r="E359" i="6"/>
  <c r="E355" i="6"/>
  <c r="E351" i="6"/>
  <c r="E347" i="6"/>
  <c r="E343" i="6"/>
  <c r="E339" i="6"/>
  <c r="E335" i="6"/>
  <c r="E331" i="6"/>
  <c r="E327" i="6"/>
  <c r="E323" i="6"/>
  <c r="E319" i="6"/>
  <c r="E315" i="6"/>
  <c r="E311" i="6"/>
  <c r="E310" i="6"/>
  <c r="E305" i="6"/>
  <c r="E301" i="6"/>
  <c r="E297" i="6"/>
  <c r="E293" i="6"/>
  <c r="E289" i="6"/>
  <c r="E285" i="6"/>
  <c r="E281" i="6"/>
  <c r="E277" i="6"/>
  <c r="E273" i="6"/>
  <c r="E269" i="6"/>
  <c r="E265" i="6"/>
  <c r="E261" i="6"/>
  <c r="E257" i="6"/>
  <c r="E254" i="6"/>
  <c r="E247" i="6"/>
  <c r="E240" i="6"/>
  <c r="E233" i="6"/>
  <c r="E226" i="6"/>
  <c r="E219" i="6"/>
  <c r="E212" i="6"/>
  <c r="E205" i="6"/>
  <c r="E198" i="6"/>
  <c r="E191" i="6"/>
  <c r="E184" i="6"/>
  <c r="E177" i="6"/>
  <c r="E170" i="6"/>
  <c r="E163" i="6"/>
  <c r="E156" i="6"/>
  <c r="E149" i="6"/>
  <c r="E142" i="6"/>
  <c r="E135" i="6"/>
  <c r="E128" i="6"/>
  <c r="E121" i="6"/>
  <c r="E114" i="6"/>
  <c r="E107" i="6"/>
  <c r="E100" i="6"/>
  <c r="E96" i="6"/>
  <c r="E95" i="6"/>
  <c r="E94" i="6"/>
  <c r="E93" i="6"/>
  <c r="E92" i="6"/>
  <c r="E88" i="6"/>
  <c r="E87" i="6"/>
  <c r="E86" i="6"/>
  <c r="E85" i="6"/>
  <c r="E84" i="6"/>
  <c r="E82" i="6"/>
  <c r="E81" i="6"/>
  <c r="E80" i="6"/>
  <c r="E76" i="6"/>
  <c r="E59" i="6"/>
  <c r="E39" i="6"/>
  <c r="E35" i="6"/>
  <c r="H237" i="23"/>
  <c r="H236" i="23"/>
  <c r="H235" i="23"/>
  <c r="H234" i="23"/>
  <c r="H233" i="23"/>
  <c r="H232" i="23"/>
  <c r="H231" i="23"/>
  <c r="H230" i="23"/>
  <c r="H229" i="23"/>
  <c r="H228" i="23"/>
  <c r="H227" i="23"/>
  <c r="H226" i="23"/>
  <c r="H225" i="23"/>
  <c r="H224" i="23"/>
  <c r="H223" i="23"/>
  <c r="H222" i="23"/>
  <c r="H221" i="23"/>
  <c r="H220" i="23"/>
  <c r="H219" i="23"/>
  <c r="H218" i="23"/>
  <c r="H217" i="23"/>
  <c r="H216" i="23"/>
  <c r="H215" i="23"/>
  <c r="H214" i="23"/>
  <c r="H213" i="23"/>
  <c r="H212" i="23"/>
  <c r="H211" i="23"/>
  <c r="H210" i="23"/>
  <c r="H209" i="23"/>
  <c r="H208" i="23"/>
  <c r="H207" i="23"/>
  <c r="H206" i="23"/>
  <c r="H205" i="23"/>
  <c r="H204" i="23"/>
  <c r="H203" i="23"/>
  <c r="H202" i="23"/>
  <c r="H201" i="23"/>
  <c r="H200" i="23"/>
  <c r="H199" i="23"/>
  <c r="H198" i="23"/>
  <c r="H197" i="23"/>
  <c r="H196" i="23"/>
  <c r="H195" i="23"/>
  <c r="H193" i="23"/>
  <c r="H192" i="23"/>
  <c r="H191" i="23"/>
  <c r="H190" i="23"/>
  <c r="H189" i="23"/>
  <c r="H188" i="23"/>
  <c r="H187" i="23"/>
  <c r="H186" i="23"/>
  <c r="H185" i="23"/>
  <c r="H184" i="23"/>
  <c r="H183" i="23"/>
  <c r="H182" i="23"/>
  <c r="H181" i="23"/>
  <c r="H180" i="23"/>
  <c r="H179" i="23"/>
  <c r="H178" i="23"/>
  <c r="H177" i="23"/>
  <c r="H176" i="23"/>
  <c r="H175" i="23"/>
  <c r="H174" i="23"/>
  <c r="H173" i="23"/>
  <c r="H172" i="23"/>
  <c r="H171" i="23"/>
  <c r="H170" i="23"/>
  <c r="H169" i="23"/>
  <c r="H168" i="23"/>
  <c r="H167" i="23"/>
  <c r="H166" i="23"/>
  <c r="H165" i="23"/>
  <c r="H164" i="23"/>
  <c r="H163" i="23"/>
  <c r="H162" i="23"/>
  <c r="H161" i="23"/>
  <c r="H160" i="23"/>
  <c r="H159" i="23"/>
  <c r="H158" i="23"/>
  <c r="H157" i="23"/>
  <c r="H156" i="23"/>
  <c r="H155" i="23"/>
  <c r="H154" i="23"/>
  <c r="H153" i="23"/>
  <c r="H152" i="23"/>
  <c r="H151" i="23"/>
  <c r="H150" i="23"/>
  <c r="H149" i="23"/>
  <c r="H148" i="23"/>
  <c r="H147" i="23"/>
  <c r="H146" i="23"/>
  <c r="H145" i="23"/>
  <c r="H144" i="23"/>
  <c r="H143" i="23"/>
  <c r="H142" i="23"/>
  <c r="H141" i="23"/>
  <c r="H140" i="23"/>
  <c r="H139" i="23"/>
  <c r="H138" i="23"/>
  <c r="H137" i="23"/>
  <c r="H116" i="23"/>
  <c r="H115" i="23"/>
  <c r="H114" i="23"/>
  <c r="H113" i="23"/>
  <c r="H110" i="23"/>
  <c r="H109" i="23"/>
  <c r="H108" i="23"/>
  <c r="H107" i="23"/>
  <c r="H106" i="23"/>
  <c r="H105" i="23"/>
  <c r="H104" i="23"/>
  <c r="H103" i="23"/>
  <c r="H102" i="23"/>
  <c r="H101" i="23"/>
  <c r="H100" i="23"/>
  <c r="H99" i="23"/>
  <c r="H98" i="23"/>
  <c r="H9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19" i="20"/>
  <c r="H274" i="21"/>
  <c r="H273" i="21"/>
  <c r="H272" i="21"/>
  <c r="H271" i="21"/>
  <c r="H270" i="21"/>
  <c r="H269" i="21"/>
  <c r="H268" i="21"/>
  <c r="H267" i="21"/>
  <c r="H266" i="21"/>
  <c r="H265" i="21"/>
  <c r="H264" i="21"/>
  <c r="H263" i="21"/>
  <c r="H262" i="21"/>
  <c r="H261" i="21"/>
  <c r="H260" i="21"/>
  <c r="H259" i="21"/>
  <c r="H258" i="21"/>
  <c r="H257" i="21"/>
  <c r="H256" i="21"/>
  <c r="H255" i="21"/>
  <c r="H254" i="21"/>
  <c r="H253" i="21"/>
  <c r="H252" i="21"/>
  <c r="H251" i="21"/>
  <c r="H250" i="21"/>
  <c r="H249" i="21"/>
  <c r="H248" i="21"/>
  <c r="H247" i="21"/>
  <c r="H246" i="21"/>
  <c r="H245" i="21"/>
  <c r="H244" i="21"/>
  <c r="H243" i="21"/>
  <c r="H242" i="21"/>
  <c r="H241" i="21"/>
  <c r="H240" i="21"/>
  <c r="H239" i="21"/>
  <c r="H238" i="21"/>
  <c r="H237" i="21"/>
  <c r="H236" i="21"/>
  <c r="H235" i="21"/>
  <c r="H234" i="21"/>
  <c r="H233" i="21"/>
  <c r="H232" i="21"/>
  <c r="H231" i="21"/>
  <c r="H230" i="21"/>
  <c r="H229" i="21"/>
  <c r="H228" i="21"/>
  <c r="H227" i="21"/>
  <c r="H226" i="21"/>
  <c r="H225" i="21"/>
  <c r="H224" i="21"/>
  <c r="H223" i="21"/>
  <c r="H222" i="21"/>
  <c r="H221" i="21"/>
  <c r="H220" i="21"/>
  <c r="H219" i="21"/>
  <c r="H218" i="21"/>
  <c r="H217" i="21"/>
  <c r="H216" i="21"/>
  <c r="H215" i="21"/>
  <c r="H214" i="21"/>
  <c r="H213" i="21"/>
  <c r="H212" i="21"/>
  <c r="H211" i="21"/>
  <c r="H210" i="21"/>
  <c r="H209" i="21"/>
  <c r="H208" i="21"/>
  <c r="H207" i="21"/>
  <c r="H206" i="21"/>
  <c r="H205" i="21"/>
  <c r="H204" i="21"/>
  <c r="H203" i="21"/>
  <c r="H202" i="21"/>
  <c r="H201" i="21"/>
  <c r="H200" i="21"/>
  <c r="H199" i="21"/>
  <c r="H198" i="21"/>
  <c r="H197" i="21"/>
  <c r="H196" i="21"/>
  <c r="H195" i="21"/>
  <c r="H194" i="21"/>
  <c r="H193" i="21"/>
  <c r="H192" i="21"/>
  <c r="H191" i="21"/>
  <c r="H190" i="21"/>
  <c r="H189" i="21"/>
  <c r="H188" i="21"/>
  <c r="H187" i="21"/>
  <c r="H186" i="21"/>
  <c r="H185" i="21"/>
  <c r="H184" i="21"/>
  <c r="H183" i="21"/>
  <c r="H182" i="21"/>
  <c r="H181" i="21"/>
  <c r="H180" i="21"/>
  <c r="H179" i="21"/>
  <c r="H178" i="21"/>
  <c r="H177" i="21"/>
  <c r="H176" i="21"/>
  <c r="H175" i="21"/>
  <c r="H174" i="21"/>
  <c r="H173" i="21"/>
  <c r="H172" i="21"/>
  <c r="H171" i="21"/>
  <c r="H170" i="21"/>
  <c r="H169" i="21"/>
  <c r="H168" i="21"/>
  <c r="H167" i="21"/>
  <c r="H166" i="21"/>
  <c r="H165" i="21"/>
  <c r="H164" i="21"/>
  <c r="H163" i="21"/>
  <c r="H162" i="21"/>
  <c r="H161" i="21"/>
  <c r="H160" i="21"/>
  <c r="H159" i="21"/>
  <c r="H158" i="21"/>
  <c r="H157" i="21"/>
  <c r="H156" i="21"/>
  <c r="H155" i="21"/>
  <c r="H154" i="21"/>
  <c r="H153" i="21"/>
  <c r="H152" i="21"/>
  <c r="H151" i="21"/>
  <c r="H150" i="21"/>
  <c r="H149" i="21"/>
  <c r="H148" i="21"/>
  <c r="H147" i="21"/>
  <c r="H146" i="21"/>
  <c r="H145" i="21"/>
  <c r="H144" i="21"/>
  <c r="H143" i="21"/>
  <c r="H142" i="21"/>
  <c r="H141" i="21"/>
  <c r="H140" i="21"/>
  <c r="H139" i="21"/>
  <c r="H138" i="21"/>
  <c r="H137" i="21"/>
  <c r="H136" i="21"/>
  <c r="H135" i="21"/>
  <c r="H134" i="21"/>
  <c r="H133" i="21"/>
  <c r="H132" i="21"/>
  <c r="H131" i="21"/>
  <c r="H130" i="21"/>
  <c r="H129" i="21"/>
  <c r="H128" i="21"/>
  <c r="H127" i="21"/>
  <c r="H126" i="21"/>
  <c r="H125" i="21"/>
  <c r="H124" i="21"/>
  <c r="H123" i="21"/>
  <c r="H122" i="21"/>
  <c r="H121" i="21"/>
  <c r="H120" i="21"/>
  <c r="H119" i="21"/>
  <c r="H118" i="21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H43" i="21"/>
  <c r="H42" i="21"/>
  <c r="H41" i="21"/>
  <c r="H40" i="21"/>
  <c r="H39" i="21"/>
  <c r="H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19" i="21"/>
  <c r="H18" i="21"/>
</calcChain>
</file>

<file path=xl/sharedStrings.xml><?xml version="1.0" encoding="utf-8"?>
<sst xmlns="http://schemas.openxmlformats.org/spreadsheetml/2006/main" count="17736" uniqueCount="1845">
  <si>
    <t>-</t>
  </si>
  <si>
    <t>-</t>
    <phoneticPr fontId="1" type="noConversion"/>
  </si>
  <si>
    <t>-</t>
    <phoneticPr fontId="1" type="noConversion"/>
  </si>
  <si>
    <t>cm</t>
    <phoneticPr fontId="1" type="noConversion"/>
  </si>
  <si>
    <t>kg</t>
    <phoneticPr fontId="1" type="noConversion"/>
  </si>
  <si>
    <t>-</t>
    <phoneticPr fontId="1" type="noConversion"/>
  </si>
  <si>
    <t>➅</t>
  </si>
  <si>
    <t>1)</t>
  </si>
  <si>
    <t>2)</t>
  </si>
  <si>
    <t>3)</t>
  </si>
  <si>
    <t>4)</t>
  </si>
  <si>
    <t>-</t>
    <phoneticPr fontId="1" type="noConversion"/>
  </si>
  <si>
    <t>-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</si>
  <si>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</si>
  <si>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</si>
  <si>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</si>
  <si>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변수설명</t>
  </si>
  <si>
    <t>변수명</t>
  </si>
  <si>
    <t>변수유무</t>
  </si>
  <si>
    <t>생년</t>
  </si>
  <si>
    <t>생월</t>
  </si>
  <si>
    <t>성별</t>
  </si>
  <si>
    <t>! 시트명 변경 시 하이퍼링크가 작동하지 않음</t>
  </si>
  <si>
    <t>학생과의 관계</t>
  </si>
  <si>
    <t>학생 생년</t>
  </si>
  <si>
    <t>학생 생월</t>
  </si>
  <si>
    <t>학생 성별</t>
  </si>
  <si>
    <t>월 평균 가구 소득</t>
  </si>
  <si>
    <t>주관적 가정의 경제수준</t>
  </si>
  <si>
    <t>[자녀의 출생지]-국내외 여부</t>
  </si>
  <si>
    <t>[자녀의 출생지]-해외 국가명</t>
  </si>
  <si>
    <t>[본인의 출생지]-국내외 여부</t>
  </si>
  <si>
    <t>[본인의 출생지]-해외 국가명</t>
  </si>
  <si>
    <t>[최종학력]-아버지</t>
  </si>
  <si>
    <t>[최종학력]-어머니</t>
  </si>
  <si>
    <t>[최종학력]-보호자</t>
  </si>
  <si>
    <t>[주간노동시간]-아버지</t>
  </si>
  <si>
    <t>[주간노동시간]-어머니</t>
  </si>
  <si>
    <t>[주간노동시간]-보호자</t>
  </si>
  <si>
    <t>[직업]-아버지</t>
  </si>
  <si>
    <t>[직업]-어머니</t>
  </si>
  <si>
    <t>[직업]-보호자</t>
  </si>
  <si>
    <t>[직업]-기타_아버지</t>
  </si>
  <si>
    <t>[직업]-기타_어머니</t>
  </si>
  <si>
    <t>[직업]-기타_보호자</t>
  </si>
  <si>
    <t>문항</t>
  </si>
  <si>
    <t>값</t>
  </si>
  <si>
    <t>값설명</t>
  </si>
  <si>
    <t>남자</t>
  </si>
  <si>
    <t>여자</t>
  </si>
  <si>
    <t>학교 가는 날</t>
  </si>
  <si>
    <t>기상(평균적으로 일어나는 시간)</t>
  </si>
  <si>
    <t>시</t>
  </si>
  <si>
    <t>분</t>
  </si>
  <si>
    <t>취침(평균적으로 잠드는 시간)</t>
  </si>
  <si>
    <t>평소 잠을 잘 잡니까?</t>
  </si>
  <si>
    <t>매우 못 잔다</t>
  </si>
  <si>
    <t>못 자는 편이다</t>
  </si>
  <si>
    <t>잘 자는 편이다</t>
  </si>
  <si>
    <t>매우 잘 잔다</t>
  </si>
  <si>
    <t>학교 가지 않는 날</t>
  </si>
  <si>
    <t>평일</t>
  </si>
  <si>
    <t>전혀 안 함</t>
  </si>
  <si>
    <t>30분 미만</t>
  </si>
  <si>
    <t>30분~1시간 미만</t>
  </si>
  <si>
    <t>1시간~2시간 미만</t>
  </si>
  <si>
    <t>2시간~3시간 미만</t>
  </si>
  <si>
    <t>3시간~4시간 미만</t>
  </si>
  <si>
    <t>4시간 이상~</t>
  </si>
  <si>
    <t>주말</t>
  </si>
  <si>
    <t>학원 및 과외시간</t>
  </si>
  <si>
    <t>인터넷 및 TV강의 시간</t>
  </si>
  <si>
    <t>방과 후 학교</t>
  </si>
  <si>
    <t>스스로 공부하는 시간(학교 및 학원 숙제 포함)</t>
  </si>
  <si>
    <t>독서시간(교과서 및 참고서 외)</t>
  </si>
  <si>
    <t>운동 및 신체활동 시간(학교 수업시간 외)</t>
  </si>
  <si>
    <t>스마트폰을 가지고 노는 시간</t>
  </si>
  <si>
    <t>컴퓨터를 가지고 노는 시간</t>
  </si>
  <si>
    <t>TV를 시청하며 노는 시간</t>
  </si>
  <si>
    <t>위의 8)~11) 이외에 친구들과 노는 시간</t>
  </si>
  <si>
    <t>스마트폰을 사용합니까?</t>
  </si>
  <si>
    <t>예. 나의 스마트폰이 있음</t>
  </si>
  <si>
    <t>예. 나의 스마트폰은 없지만 부모님 등 다른 가족의 것을 이용함</t>
  </si>
  <si>
    <t>아니오. 스마트폰을 사용하지 않음</t>
  </si>
  <si>
    <t>스마트폰을 얼마나 자주 사용합니까?</t>
  </si>
  <si>
    <t xml:space="preserve">가족과의 통화 </t>
  </si>
  <si>
    <t>전혀 사용하지 않는다</t>
  </si>
  <si>
    <t>거의 사용하지 않는다</t>
  </si>
  <si>
    <t>가끔 사용한다</t>
  </si>
  <si>
    <t>자주 사용한다</t>
  </si>
  <si>
    <t>해당없음</t>
  </si>
  <si>
    <t>가족과의 문자 메시지(카톡, 라인 등 메신저 포함)</t>
  </si>
  <si>
    <t xml:space="preserve">친구와의 통화 </t>
  </si>
  <si>
    <t>친구와의 문자 메시지(카톡, 라인 등 메신저 포함)</t>
  </si>
  <si>
    <t>SNS(트위터, 페이스북, 인스타그램 등) 이용</t>
  </si>
  <si>
    <t>게임</t>
  </si>
  <si>
    <t>사진/동영상 촬영</t>
  </si>
  <si>
    <t>TV 및 동영상 시청(DMB, 아프리카 TV, 판도라 TV, 유튜브 등)</t>
  </si>
  <si>
    <t>음악 감상</t>
  </si>
  <si>
    <t>정보 검색(학교홈페이지, 뉴스, 포탈사이트, 웹서핑 등 학습·비학습 관련 모두 포함)</t>
  </si>
  <si>
    <t>문서 보기(웹툰, e-Book 등)</t>
  </si>
  <si>
    <t>기타</t>
  </si>
  <si>
    <t>기타 (구체적으로)</t>
  </si>
  <si>
    <t>스마트폰 이용에 대해 자신이 어떻게 느끼고 있는지 응답해 주십시오.</t>
  </si>
  <si>
    <t>스마트폰의 지나친 사용으로 학교성적이 떨어진다</t>
  </si>
  <si>
    <t>전혀 그렇지 않다</t>
  </si>
  <si>
    <t>그렇지 않은 편이다</t>
  </si>
  <si>
    <t>그런 편이다</t>
  </si>
  <si>
    <t>매우 그렇다</t>
  </si>
  <si>
    <t>수시로 스마트폰을 사용하다가 지적을 받은 적이 있다</t>
  </si>
  <si>
    <t>스마트폰을 너무 자주 또는 오래한다고 가족이나 친구들로부터 불평을 들은 적이 있다</t>
  </si>
  <si>
    <t>스마트폰을 사용하느라 지금 하고 있는 일(공부)에 집중이 안 된 적이 있다</t>
  </si>
  <si>
    <t>스마트폰 사용이 지금 하고 있는 일(공부)에 방해가 되지 않는다</t>
  </si>
  <si>
    <t>스마트폰을 사용하지 못하면 온 세상을 잃은 것 같은 생각이 든다</t>
  </si>
  <si>
    <t>가족이나 친구들과 함께 있는 것보다 스마트폰을 사용하고 있는 것이 더 즐겁다</t>
  </si>
  <si>
    <t>스마트폰을 사용할 수 없게 된다면 견디기 힘들 것이다</t>
  </si>
  <si>
    <t>스마트폰이 없으면 안절부절 못하고 초조해진다</t>
  </si>
  <si>
    <t>스마트폰이 없어도 불안하지 않다</t>
  </si>
  <si>
    <t>스마트폰이 옆에 없으면, 하루 종일 일(공부)이 손에 안 잡힌다</t>
  </si>
  <si>
    <t>스마트폰 사용시간을 줄이려고 해보았지만 실패한다</t>
  </si>
  <si>
    <t>스마트폰을 사용할 때 그만해야지 라고 생각은 하면서도 계속한다</t>
  </si>
  <si>
    <t>스마트폰 사용에 많은 시간을 보내는 것이 습관화되었다</t>
  </si>
  <si>
    <t>스마트폰 사용에 많은 시간을 보내지 않는다</t>
  </si>
  <si>
    <t>지난 학기(2018년도 1학기) 전 과목 성적은 다음 중 어디에 해당한다고 생각하십니까?</t>
  </si>
  <si>
    <t>매우 못함</t>
  </si>
  <si>
    <t>못함</t>
  </si>
  <si>
    <t>보통</t>
  </si>
  <si>
    <t>잘함</t>
  </si>
  <si>
    <t>매우 잘함</t>
  </si>
  <si>
    <t>잘 모르겠음</t>
  </si>
  <si>
    <t>지난 학기(2018년도 1학기) 학교성적에 대해 얼마나 만족하십니까?</t>
  </si>
  <si>
    <t>매우 불만족</t>
  </si>
  <si>
    <t>불만족</t>
  </si>
  <si>
    <t>만족</t>
  </si>
  <si>
    <t>매우 만족한다</t>
  </si>
  <si>
    <t>지난 학기(2018년도 1학기) 학교생활에 얼마나 만족하십니까?</t>
  </si>
  <si>
    <t>다음 각 문항에 대하여 자신에게 해당되는 항목에 응답해 주십시오.</t>
  </si>
  <si>
    <t>나는 내가 하고 있는 공부의 의미와 목적을 분명히 안다</t>
  </si>
  <si>
    <t>나는 공부란 도전해 볼만한 것이라고 생각한다</t>
  </si>
  <si>
    <t>나는 공부를 하면 뿌듯해진다</t>
  </si>
  <si>
    <t>나는 공부를 통해 자아실현을 할 수 있다고 생각한다</t>
  </si>
  <si>
    <t>나는 공부할 때 힘이 나고 활기가 생긴다</t>
  </si>
  <si>
    <t>나는 공부할 때 에너지가 생긴다</t>
  </si>
  <si>
    <t>나는 공부할 때 정신적으로 힘이 난다</t>
  </si>
  <si>
    <t>아침에 일어나면 수업 들으러 학교에 가고 싶다</t>
  </si>
  <si>
    <t>나는 공부를 잘한다</t>
  </si>
  <si>
    <t>나는 공부에 있어 누구에게도 뒤지지 않는다</t>
  </si>
  <si>
    <t>나는 공부에 자신이 있다</t>
  </si>
  <si>
    <t>나는 어려운 과제도 충분히 해결할 만한 능력이 있다</t>
  </si>
  <si>
    <t>나는 공부할 때 내 주변의 다른 모든 것을 잊어버린다</t>
  </si>
  <si>
    <t xml:space="preserve">나는 공부를 시작하면 푹 빠진다 </t>
  </si>
  <si>
    <t>공부를 하다보면 나도 모르게 집중할 때가 있다</t>
  </si>
  <si>
    <t>나는 공부할 때 시간이 잘 간다</t>
  </si>
  <si>
    <t>진로(진학, 직업 선택 등)와 관련하여 다음 분들과 얼마나 자주 대화(또는 상담)하십니까?</t>
  </si>
  <si>
    <t>아버지</t>
  </si>
  <si>
    <t>전혀 대화하지 않는다</t>
  </si>
  <si>
    <t>별로 대화하지 않는다</t>
  </si>
  <si>
    <t>가끔 대화한다</t>
  </si>
  <si>
    <t>자주 대화한다</t>
  </si>
  <si>
    <t>어머니</t>
  </si>
  <si>
    <t>학교 선생님</t>
  </si>
  <si>
    <t>상담교사</t>
  </si>
  <si>
    <t>학원/과외 선생님</t>
  </si>
  <si>
    <t>현재 자신의 생활에 대해 어떻게 생각하는지에 대한 질문입니다. 다음 각 문항에 대하여 자신에게 해당되는 항목에 응답해 주십시오.</t>
  </si>
  <si>
    <t>전반적으로 볼 때, 나의 삶은 나의 이상에 가깝다</t>
  </si>
  <si>
    <t>내 삶의 상황들은 아주 좋다</t>
  </si>
  <si>
    <t>나는 내 삶에 만족한다</t>
  </si>
  <si>
    <t>지금까지 내 삶에서 내가 원하는 중요한 것들을 이루어 냈다</t>
  </si>
  <si>
    <t>만약 내 삶을 다시 살 수 있더라도, 나는 거의 아무것도 바꾸지 않을 것이다</t>
  </si>
  <si>
    <t>아래 문항을 읽고 자신을 가장 잘 설명한다고 생각하는 항목에 응답해 주십시오.</t>
  </si>
  <si>
    <t xml:space="preserve">전반적으로 나는 … </t>
  </si>
  <si>
    <t>아주 불행한 사람이다</t>
  </si>
  <si>
    <t>불행한 사람이다</t>
  </si>
  <si>
    <t>행복한 사람이다</t>
  </si>
  <si>
    <t>아주 행복한 사람이다</t>
  </si>
  <si>
    <t>다른 사람과 비교했을 때 나는…</t>
  </si>
  <si>
    <t>전반적으로 아주 행복한 사람들이 있다.그들은 무슨 일이 있어도 개의치 않고 즐겁게 지내는 편이다. 나는 …</t>
  </si>
  <si>
    <t>전반적으로 아주 불행한 사람들이 있다.그들은 특별히 우울한 일이 없어도 행복하지 않아 보인다.  나는 …</t>
  </si>
  <si>
    <t>나는 나에게 만족한다</t>
  </si>
  <si>
    <t>때때로 나는 내가 어디에도 소용없는 사람이라고 생각한다</t>
  </si>
  <si>
    <t>나는 내가 장점이 많다고 느낀다</t>
  </si>
  <si>
    <t>나는 내가 적어도 다른 사람만큼 가치 있는 사람이라고 느낀다</t>
  </si>
  <si>
    <t>나는 내가 자랑스러워할 만한 것이 별로 없다고 느낀다</t>
  </si>
  <si>
    <t>때때로 나는 내가 쓸모없는 존재로 느껴진다</t>
  </si>
  <si>
    <t>나는 남들만큼의 일은 할 수 있다</t>
  </si>
  <si>
    <t>나는 나를 좀 더 존중할 수 있었으면 좋겠다</t>
  </si>
  <si>
    <t>나는 내가 실패자라고 느끼는 경향이 있다</t>
  </si>
  <si>
    <t>나는 나에 대해 긍정적인 태도를 지니고 있다</t>
  </si>
  <si>
    <t>칭찬을 받거나 벌을 받아도 금방 다시 주의가 산만해진다</t>
  </si>
  <si>
    <t>문제를 풀 때 문제를 끝까지 읽지 않는 편이다</t>
  </si>
  <si>
    <t>오랫동안 집중해야 하는 과제는 하고 싶지 않다</t>
  </si>
  <si>
    <t>연필이나 지우개 등 학용품을 잘 잃어버린다</t>
  </si>
  <si>
    <t>주의를 기울이지 않아서 실수를 하거나 사고를 낸다</t>
  </si>
  <si>
    <t>공부할 때 차분하게 앉아 있기 힘들다</t>
  </si>
  <si>
    <t>글자를 잘 빠뜨리고 쓰는 편이다</t>
  </si>
  <si>
    <t>작은 일에도 트집을 잡을 때가 있다</t>
  </si>
  <si>
    <t>남이 하는 일을 방해할 때가 있다</t>
  </si>
  <si>
    <t>내가 원하는 것을 못하게 하면 따지거나 덤빈다</t>
  </si>
  <si>
    <t>별 것 아닌 일로 싸우곤 한다</t>
  </si>
  <si>
    <t>하루 종일 화가 날 때가 있다</t>
  </si>
  <si>
    <t>아무 이유 없이 울 때가 있다</t>
  </si>
  <si>
    <t>깊이 잠들지 못하고 자다가 잠에서 깨곤 한다</t>
  </si>
  <si>
    <t>머리가 자주 아프다</t>
  </si>
  <si>
    <t>속이 자주 메슥거린다</t>
  </si>
  <si>
    <t>공부를 하면 배가 아플 때가 있다</t>
  </si>
  <si>
    <t>입맛이 없을 때가 있다</t>
  </si>
  <si>
    <t>자주 피곤하다</t>
  </si>
  <si>
    <t>숨쉬기 어려울 때가 있다</t>
  </si>
  <si>
    <t>자주 열이 나는 것처럼 느껴진다</t>
  </si>
  <si>
    <t>주위에 사람들이 많으면 어색하다</t>
  </si>
  <si>
    <t>부끄럼을 많이 탄다</t>
  </si>
  <si>
    <t>다른 사람들에게 내 의견을 분명하게 말하기 어렵다</t>
  </si>
  <si>
    <t>수줍어한다</t>
  </si>
  <si>
    <t>사람들 앞에 나서기를 싫어한다</t>
  </si>
  <si>
    <t>기운이 별로 없다</t>
  </si>
  <si>
    <t>불행하다고 생각하거나 슬퍼하고 우울해한다</t>
  </si>
  <si>
    <t>걱정이 많다</t>
  </si>
  <si>
    <t>죽고 싶은 생각이 든다</t>
  </si>
  <si>
    <t>울기를 잘한다</t>
  </si>
  <si>
    <t>어떤 일이 잘못 되었을 때 나 때문이라는 생각을 자주 한다</t>
  </si>
  <si>
    <t>외롭다</t>
  </si>
  <si>
    <t>모든 일에 관심과 흥미가 없다</t>
  </si>
  <si>
    <t>장래가 희망적이지 않은 것 같다</t>
  </si>
  <si>
    <t>모든 일이 힘들다</t>
  </si>
  <si>
    <t>다음 각 문항에 대하여 자신의 생각과 일치하는 항목에 응답해 주십시오.</t>
  </si>
  <si>
    <t>나는 그룹활동을 할 때, 친구의 장점이나 능력을 적극적으로 알려 준다</t>
  </si>
  <si>
    <t>나는 그룹활동을 할 때, 친구가 어려워하면 기꺼이 돕는다</t>
  </si>
  <si>
    <t>나는 그룹활동을 할 때, 친구들이 의견을 자유롭게 이야기하도록 분위기를 조성한다</t>
  </si>
  <si>
    <t>나는 그룹활동을 할 때, 활용할 수 있는 새로운 방법을 제시한다</t>
  </si>
  <si>
    <t>나는 그룹에서 하고 있는 활동이 의미있는 일이라는 것을 친구에게 이야기 한다</t>
  </si>
  <si>
    <t>나는 그룹활동을 할 때, 친구가 다양한 관점에서 생각할 수 있도록 도와준다</t>
  </si>
  <si>
    <t>나는 그룹활동을 할 때, 나의 역할에 최선을 다한다</t>
  </si>
  <si>
    <t>나는 그룹의 리더가 아니더라도 맡은 일보다 많은 일을 하여 그룹활동에 도움이 되고자 한다</t>
  </si>
  <si>
    <t>나는 내가 속한 그룹에서 가치 있는 사람이 되기 위해 능력을 최대한 발휘한다</t>
  </si>
  <si>
    <t>나는 그룹에서 발생한 문제와 관련된 지식이나 정보를 친구들과 공유한다</t>
  </si>
  <si>
    <t>나는 그룹의 문제해결을 위한 구체적인 계획이나 내용을 친구들과 공유한다</t>
  </si>
  <si>
    <t>나는 그룹에서 발생한 문제를 친구들과 자주 이야기한다</t>
  </si>
  <si>
    <t>나는 그룹활동을 할 때, 중요한 사항이나 문제점이 생기면 친구들과 함께 해결한다</t>
  </si>
  <si>
    <t>나는 그룹에서 발생한 문제에 대해 잘잘못을 따지기 보다는 해결하려고 노력한다</t>
  </si>
  <si>
    <t>다음 각 문항에 대해 평소 본인의 생각과 가장 가깝다고 생각되는 곳에 응답해 주십시오.</t>
  </si>
  <si>
    <t>나는 무엇을 하다가 다른 생각이 나면 집중하기가 어렵다</t>
  </si>
  <si>
    <t>나는 어떤 문제에 잠깐 집중하다가 곧 흥미를 잃은 적이 있다</t>
  </si>
  <si>
    <t>나는 노력가이다</t>
  </si>
  <si>
    <t>나는 자주 목표를 세우지만 그것을 이루기 전에 다른 목표를 세우고는 한다</t>
  </si>
  <si>
    <t>나는 무엇을 완성하는데 시간이 오래 걸리면 계속 열심히 하는 것이 어렵다</t>
  </si>
  <si>
    <t>나는 시작하면 무조건 끝낸다</t>
  </si>
  <si>
    <t>나는 부지런하다</t>
  </si>
  <si>
    <t>부모님(부모님이 안 계신 경우에는 보호자)과 하루에 얼마나 시간을 함께 보내십니까? 평일과 주말로 구분하여 기입해 주십시오.</t>
  </si>
  <si>
    <t>평일(하루 평균)</t>
  </si>
  <si>
    <t>시간</t>
  </si>
  <si>
    <t>주말(하루 평균)</t>
  </si>
  <si>
    <t>부모님(부모님이 안 계신 경우에는 보호자)을 어떻게 생각하는지에 대한 질문입니다.다음 각 문항에 대하여 자신에게 해당되는 항목에 응답해 주십시오.</t>
  </si>
  <si>
    <t>부모님이 나를 사랑한다는 것을 표현하신다</t>
  </si>
  <si>
    <t>부모님은 나와 함께 있는 것을 좋아하신다</t>
  </si>
  <si>
    <t>부모님은 항상 나를 반가워하신다</t>
  </si>
  <si>
    <t>부모님은 나를 특별하게 여기신다</t>
  </si>
  <si>
    <t>부모님이 나를 좋아하시는지 가끔 궁금할 때가 있다</t>
  </si>
  <si>
    <t>부모님은 내가 방해가 된다고 생각하신다</t>
  </si>
  <si>
    <t>부모님은 나로 하여금 불필요한 존재라고 느끼게 하신다</t>
  </si>
  <si>
    <t>부모님은 내가 하는 어떤 것도 만족스러워하지 않으신다</t>
  </si>
  <si>
    <t>부모님은 나를 믿어주신다</t>
  </si>
  <si>
    <t>부모님은 나를 있는 그대로 받아주신다</t>
  </si>
  <si>
    <t>부모님은 내가 중요하게 생각하는 일을 하게 해주신다</t>
  </si>
  <si>
    <t>부모님은 나의 생각을 이해하려고 노력하신다</t>
  </si>
  <si>
    <t>부모님은 나에게 늘 무엇을 하라고 하신다</t>
  </si>
  <si>
    <t>부모님은 나에게 이래라저래라 하신다</t>
  </si>
  <si>
    <t>부모님은 어떤 일을 할 때 오로지 그분들의 방식만이 유일하게 올바른 길이라고 생각하신다</t>
  </si>
  <si>
    <t>부모님은 모든 것에 대해 “안 돼." 라고 하신다</t>
  </si>
  <si>
    <t>내가 무언가 하려고 할 때, 부모님이 어떻게 하라고 가르쳐 주신다</t>
  </si>
  <si>
    <t>어떤 일이나 사물이 돌아가는 이치를 알고 싶어할 때, 부모님께서 설명해주신다</t>
  </si>
  <si>
    <t>내게 문제가 있을 때 부모님이 어떻게 해결해야할지 도움을 주신다</t>
  </si>
  <si>
    <t>부모님은 내게 규칙을 말씀하실 때, 왜 지켜야 하는지 이유도 설명해주신다</t>
  </si>
  <si>
    <t>부모님이 약속을 해도, 그 분들이 지키실지는 알 수 없다</t>
  </si>
  <si>
    <t>부모님은 무언가를 하겠다고 말씀하시고는 실제로는 하지 않으실 때도 가끔 있다</t>
  </si>
  <si>
    <t>부모님은 나에 대한 규칙을 자주 바꾸신다</t>
  </si>
  <si>
    <t>부모님은 사전에 주의도 주지 않고 화부터 내신다</t>
  </si>
  <si>
    <t>친구들과 함께 시간을 보낸다</t>
  </si>
  <si>
    <t>친구들은 속상하고 힘든 일을 나에게 털어놓는다</t>
  </si>
  <si>
    <t>친구들에게 내 이야기를 잘한다</t>
  </si>
  <si>
    <t>친구들에게 내 비밀을 이야기 할 수 있다</t>
  </si>
  <si>
    <t>내가 무슨 일을 할 때 친구들은 나를 도와준다</t>
  </si>
  <si>
    <t>친구들은 나를 좋아하고 잘 따른다</t>
  </si>
  <si>
    <t>친구들은 나에게 관심이 있다</t>
  </si>
  <si>
    <t>친구들과의 관계가 좋다</t>
  </si>
  <si>
    <t>친구들과 의견 충돌이 잦다</t>
  </si>
  <si>
    <t xml:space="preserve">친구와 싸우면 잘 화해하지 않는다 </t>
  </si>
  <si>
    <t>친구가 내 뜻과 다르게 행동하면 화를 내거나 짜증을 낸다</t>
  </si>
  <si>
    <t>나와 다른 아이들과는 친해질 생각이 없다</t>
  </si>
  <si>
    <t>친구들은 나의 어렵고 힘든 점에 대해 관심이 없다</t>
  </si>
  <si>
    <t>내가 공부나 다른 문제로 힘들 때 선생님께 찾아가서 제일 먼저 의논하고 싶다</t>
  </si>
  <si>
    <t>선생님은 내가 수업시간에 다른 생각을 하는지 금방 아신다</t>
  </si>
  <si>
    <t>선생님은 수업내용을 내가 알아듣기 쉽게 잘 정리해서 설명해주신다</t>
  </si>
  <si>
    <t>선생님은 내가 앞으로 공부를 잘 할 수 있다고 믿으신다</t>
  </si>
  <si>
    <t>선생님은 내가 수업에 흥미가 있는지를 잘 아신다</t>
  </si>
  <si>
    <t>선생님은 질문에 대답할 때까지 참고 기다려주신다</t>
  </si>
  <si>
    <t>선생님은 내가 책임과 의무를 다하는 학생이라고 생각하신다</t>
  </si>
  <si>
    <t>선생님은 나의 의견을 존중하시고 자유롭게 말하도록 하신다</t>
  </si>
  <si>
    <t>선생님은 내가 모르는 것을 질문하면 이해할 때까지 몇 번이라도 다시 설명해주신다</t>
  </si>
  <si>
    <t>선생님은 내가 끈기와 인내심이 강하다고 생각하신다</t>
  </si>
  <si>
    <t>선생님은 내가 공부하면서 부족한 부분이 있으면 개별적으로 보충해주신다</t>
  </si>
  <si>
    <t>선생님은 내가 원할 때마다 항상 나를 위해 시간을 내 주신다</t>
  </si>
  <si>
    <t>선생님은 내가 수업내용을 잘 이해하고 있는지를 금방 눈치 채신다</t>
  </si>
  <si>
    <t>선생님은 내가 머리가 좋은 학생이라고 생각하신다</t>
  </si>
  <si>
    <t xml:space="preserve">또래 친구들과 비교해 볼 때 건강 상태가 어떻다고 생각합니까? </t>
  </si>
  <si>
    <t>전혀 건강하지 않다</t>
  </si>
  <si>
    <t>건강하지 못한 편이다</t>
  </si>
  <si>
    <t>건강한 편이다</t>
  </si>
  <si>
    <t>매우 건강하다</t>
  </si>
  <si>
    <t>지난 일주일 간 땀이 날 정도로 운동한 시간은 몇 시간 정도입니까?</t>
  </si>
  <si>
    <t>없다</t>
  </si>
  <si>
    <t>1시간</t>
  </si>
  <si>
    <t>2시간</t>
  </si>
  <si>
    <t>3시간</t>
  </si>
  <si>
    <t>4시간 이상</t>
  </si>
  <si>
    <t>지난 일주일 간 아침식사를 한 날은 며칠입니까?</t>
  </si>
  <si>
    <t>일</t>
  </si>
  <si>
    <t>키와 몸무게는 어떻게 됩니까?</t>
  </si>
  <si>
    <t>키</t>
  </si>
  <si>
    <t>몸무게</t>
  </si>
  <si>
    <t>지난 1년간 참여 횟수</t>
  </si>
  <si>
    <t>문화/예술 관련 활동(공연 감상 등)</t>
  </si>
  <si>
    <t>1~2회</t>
  </si>
  <si>
    <t>3~4회</t>
  </si>
  <si>
    <t>5회 이상</t>
  </si>
  <si>
    <t>과학/정보 관련 활동(경진 대회, 과학 실험 등)</t>
  </si>
  <si>
    <t>모험/개척 관련 활동(탐사·등반, 야영 등)</t>
  </si>
  <si>
    <t>자원봉사활동(일손 돕기, 자선·구호 등)</t>
  </si>
  <si>
    <t>직업/진로 관련 활동(직업 체험, 진로 탐색 등)</t>
  </si>
  <si>
    <t>국제 교류 활동</t>
  </si>
  <si>
    <t>건강/보건 관련 활동(신체단련, 안전·응급처치 등)</t>
  </si>
  <si>
    <t>자기(인성)계발 관련 활동(자기표현, 마음 수련 등)</t>
  </si>
  <si>
    <t>환경 보존 관련 활동(생태·숲 체험, 환경 살리기 등)</t>
  </si>
  <si>
    <t>(참여한 적이 있다면) 만족도</t>
  </si>
  <si>
    <t>전혀 만족하지 않는다</t>
  </si>
  <si>
    <t>만족하지 않는 편이다</t>
  </si>
  <si>
    <t>만족하는 편이다</t>
  </si>
  <si>
    <t>지난 1년 동안 다음과 같은 동아리 활동에 참여한 경험이 있습니까?경험이 있다면 총 참여 횟수가 얼마나 되는지, 또한 그 경험이 얼마나 만족스러웠는지 응답해 주십시오.</t>
  </si>
  <si>
    <t>교내 공식 동아리(방송반, 컴퓨터반 등 학교에서 인정한 모임)</t>
  </si>
  <si>
    <t>교외 공식 동아리(청소년수련관, 사회복지관 등에서 지원하는 모임)</t>
  </si>
  <si>
    <t>(참여한 적이 있다면)만족도</t>
  </si>
  <si>
    <t>특별히 좋아하는 연예인이나 운동선수가 있습니까?</t>
  </si>
  <si>
    <t>있다</t>
  </si>
  <si>
    <t>좋아하는 연예인이나 운동선수와 관련하여 다음과 같은 행동을 얼마나 자주 했는지 응답해 주십시오.</t>
  </si>
  <si>
    <t>팬미팅(싸인회) 참석하기</t>
  </si>
  <si>
    <t>전혀없다</t>
  </si>
  <si>
    <t>1년에 1~2번</t>
  </si>
  <si>
    <t>한 달에 한 번</t>
  </si>
  <si>
    <t>한 달에 2~3번</t>
  </si>
  <si>
    <t>1주일에 1번</t>
  </si>
  <si>
    <t>1주일에 여러 번</t>
  </si>
  <si>
    <t>팬클럽이나 팬카페 활동하기</t>
  </si>
  <si>
    <t>방송국이나 공연장, 영화관(시사회), 경기장, 행사장가기</t>
  </si>
  <si>
    <t>팬레터 쓰기 및 메시지 보내기</t>
  </si>
  <si>
    <t>선물 보내기</t>
  </si>
  <si>
    <t>SNS, 블로그, 트위터, 기사 등에 댓글 달기</t>
  </si>
  <si>
    <t>사진과 동영상 감상 및 업로드하기</t>
  </si>
  <si>
    <t>책, CD, DVD, 화보집 구입하기</t>
  </si>
  <si>
    <t>굿즈(응원봉, 캐릭터, 플래카드, 인형 등) 만들기 또는 구입하기</t>
  </si>
  <si>
    <t>실력 차이를 내 힘으로 극복할 수는 없다고 생각한다</t>
  </si>
  <si>
    <t>아무리 공부해도 내가 지금보다 더 잘할 수는 없다고 생각한다</t>
  </si>
  <si>
    <t>내 힘으로 학업 문제를 해결할 수는 없다고 생각한다</t>
  </si>
  <si>
    <t>공부를 잘하기 위하여 내가 할 수 있는 일이 없다고 생각한다</t>
  </si>
  <si>
    <t>공부에 신경 쓰고 싶지 않다</t>
  </si>
  <si>
    <t>공부를 왜 해야 하는지 관심도 없다</t>
  </si>
  <si>
    <t>공부를 열심히 해야 하는 이유를 모르겠다</t>
  </si>
  <si>
    <t>공부하고 싶은 의욕이 생기지 않는다</t>
  </si>
  <si>
    <t>공부하는 것이 즐겁지 않다</t>
  </si>
  <si>
    <t>수업을 듣거나 모둠활동을 하면서 유쾌함을 느끼지 못한다</t>
  </si>
  <si>
    <t>학교에서 생활하면서 행복함을 느끼지 못한다</t>
  </si>
  <si>
    <t>점수가 잘 나온다 해도 기쁘지 않다</t>
  </si>
  <si>
    <t>시험기간이라도 공부에 전념하지 않는다</t>
  </si>
  <si>
    <t>스스로 알아서 공부하지 않는다</t>
  </si>
  <si>
    <t>수업에 적극적으로 참여하지 않는다</t>
  </si>
  <si>
    <t>스스로 알아서 학습계획을 짜본 적이 없다</t>
  </si>
  <si>
    <t>앞으로 어느 정도 수준까지 공부할 계획입니까?</t>
  </si>
  <si>
    <t>고등학교 졸업</t>
  </si>
  <si>
    <t>2-3년제 전문대학 졸업</t>
  </si>
  <si>
    <t>4년제 대학교 졸업</t>
  </si>
  <si>
    <t>대학원(석사, 박사) 이상</t>
  </si>
  <si>
    <t>장래에 자신이 하고자 하는 직업을 결정하였습니까?</t>
  </si>
  <si>
    <t>아직 하고 싶은 직업을 정하지 않았다</t>
  </si>
  <si>
    <t>대강 하고 싶은 직업이 있다</t>
  </si>
  <si>
    <t>구체적으로 정해 놓은 직업이 있다</t>
  </si>
  <si>
    <t>본인을 잘 표현하는 단어를 원하는 만큼 자유롭게 선택해 주십시오.</t>
  </si>
  <si>
    <t>유능한</t>
  </si>
  <si>
    <t>선택 안 함</t>
  </si>
  <si>
    <t>선택</t>
  </si>
  <si>
    <t>매력적인</t>
  </si>
  <si>
    <t>영리한</t>
  </si>
  <si>
    <t>속물의</t>
  </si>
  <si>
    <t>확신에 찬</t>
  </si>
  <si>
    <t>인습에 얽매이지 않는</t>
  </si>
  <si>
    <t>자화자찬의</t>
  </si>
  <si>
    <t>가식적인</t>
  </si>
  <si>
    <t>유머감각이 있는</t>
  </si>
  <si>
    <t>매사에 조심스러운</t>
  </si>
  <si>
    <t>개인주의적인</t>
  </si>
  <si>
    <t>평범한</t>
  </si>
  <si>
    <t>격식을 차리지 않는</t>
  </si>
  <si>
    <t>보수적인</t>
  </si>
  <si>
    <t>통찰력이 있는</t>
  </si>
  <si>
    <t>관습적인</t>
  </si>
  <si>
    <t>지적인</t>
  </si>
  <si>
    <t>불만에 찬</t>
  </si>
  <si>
    <t>관심이 다양한</t>
  </si>
  <si>
    <t>정직한</t>
  </si>
  <si>
    <t>발명의 재능이 있는</t>
  </si>
  <si>
    <t>관심의 폭이 좁은</t>
  </si>
  <si>
    <t>독창적인</t>
  </si>
  <si>
    <t>예의바른</t>
  </si>
  <si>
    <t>심사숙고하는</t>
  </si>
  <si>
    <t>진실한</t>
  </si>
  <si>
    <t>기지가 있는(재치있는, 임기응변의)</t>
  </si>
  <si>
    <t>순종하는</t>
  </si>
  <si>
    <t>자신감이 넘치는</t>
  </si>
  <si>
    <t>의심이 많은</t>
  </si>
  <si>
    <t>지난 1년 동안 다음과 같은 행동을 한 경험이 있습니까?다음 각 문항에 대하여 자신에게 해당되는 항목에 응답해 주십시오.</t>
  </si>
  <si>
    <t>담배 피우기</t>
  </si>
  <si>
    <t>전혀 없다</t>
  </si>
  <si>
    <t>한 달에 1번</t>
  </si>
  <si>
    <t>술 마시기(제사나 성찬식 등에서 한 모금 정도마시는 경우는 제외)</t>
  </si>
  <si>
    <t>무단결석(보호자나 선생님께 알리지 않고 학교에 가지 않은 경우)</t>
  </si>
  <si>
    <t>가출(하룻밤 이상 보호자의 허락을 받지 않고 귀가하지 않은 경우)</t>
  </si>
  <si>
    <t>다른 사람 심하게 놀리거나 조롱하기</t>
  </si>
  <si>
    <t>다른 사람 집단따돌림(왕따)시키기</t>
  </si>
  <si>
    <t>패싸움</t>
  </si>
  <si>
    <t>다른 사람 심하게 때리기</t>
  </si>
  <si>
    <t>다른 사람 협박하기</t>
  </si>
  <si>
    <t>다른 사람 돈이나 물건 뺏기(삥뜯기)</t>
  </si>
  <si>
    <t>다른 사람 돈이나 물건 훔치기</t>
  </si>
  <si>
    <t>성관계</t>
  </si>
  <si>
    <t>성폭행이나 성희롱</t>
  </si>
  <si>
    <t>돈을 걸고 도박하기</t>
  </si>
  <si>
    <t>심한 욕설과 폭언</t>
  </si>
  <si>
    <t>지난 1년 동안 스마트폰이나 컴퓨터(인터넷) 상에서 다음과 같은 행동을 한 적이 있습니까?다음 각 문항에 대하여 자신에게 해당되는 항목에 응답해 주십시오.</t>
  </si>
  <si>
    <t>누군가에게 욕이나 험한 말을 직접 보낸 적이 있다</t>
  </si>
  <si>
    <t>누군가에 대한 욕이나 나쁜 소문을 다른 사람들에게 퍼뜨린 적이 있다</t>
  </si>
  <si>
    <t>상대방이 싫다는데 계속해서 말, 글, 그림 등을 보내 스토킹 한 적이 있다</t>
  </si>
  <si>
    <t>당사자가 원치 않는 사진, 엽사, 이미지, 동영상을 보내거나 몰래 다른 사람들에게 전달한 적이 있다</t>
  </si>
  <si>
    <t>다른 사람 아이디를 도용해 가짜 계정을 만들거나 사이버상에서 그 사람인 것처럼 행동한 적이 있다</t>
  </si>
  <si>
    <t>누군가의 개인정보(이름, 나이, 학교, 전화번호 등)를 인터넷에 올리는 신상털기를 한 적이 있다</t>
  </si>
  <si>
    <t>게임머니, 게임아이템, 사이버머니, 돈을 뺏은 적이 있다</t>
  </si>
  <si>
    <t>와이파이 셔틀이나 핫스팟 셔틀(데이터를 무료로 제공하게 시키는 것)을 시킨 적이 있다</t>
  </si>
  <si>
    <t>상대방이 원하지 않는 성적인 글이나 말, 야한 사진, 동영상 등을 보낸 적이 있다</t>
  </si>
  <si>
    <t>인터넷 대화방에서 누군가를 퇴장하지 못하도록 하거나 싫다는데 반복적으로 초대한 적이 있다</t>
  </si>
  <si>
    <t>일부러 시비를 걸어 상대방이 먼저 욕하게 하거나 성격에 문제있어 보이게 유도한 적이 있다</t>
  </si>
  <si>
    <t>스마트폰 등을 이용해 상대방이 원하지 않는 행동을 시키거나 (담배)심부름을 시킨 적이 있다</t>
  </si>
  <si>
    <t>누군가를 괴롭힐 목적으로 저격글을 올려 여러 사람이 볼 수 있게 한 적이 있다</t>
  </si>
  <si>
    <t>사이버 상에서 누군가를 집중공격을 한 적이 있다</t>
  </si>
  <si>
    <t>대화방에 일부러 상대방을 초대하지 않거나 댓글이나 말을 무시한 적이 있다</t>
  </si>
  <si>
    <t>귀하는 ‘이 조사표를 가지고 온 학생’과 어떤 관계이십니까? 아래 해당 번호에 ○표 해 주십시오.</t>
  </si>
  <si>
    <t>(외)할머니</t>
  </si>
  <si>
    <t>(외)할아버지</t>
  </si>
  <si>
    <t>형제/자매</t>
  </si>
  <si>
    <t>친인척</t>
  </si>
  <si>
    <t>비혈연</t>
  </si>
  <si>
    <t>학생은 몇 년 몇 월에 태어났습니까? 실제 태어난 생년과 월을 아래에 써 주십시오.</t>
  </si>
  <si>
    <t>학생의 성별은 무엇입니까?</t>
  </si>
  <si>
    <t>귀하를 포함하여 귀댁에서 함께 생활하는 가구원은 모두 몇 명입니까?</t>
  </si>
  <si>
    <t>명</t>
  </si>
  <si>
    <t>현재 귀댁에 실제로 함께 살고 있는 가구원 모두에 대하여 다음 내용을 응답해 주십시오.</t>
  </si>
  <si>
    <t>관계</t>
  </si>
  <si>
    <t>가구대표</t>
  </si>
  <si>
    <t>가구대표의 배우자</t>
  </si>
  <si>
    <t>가구대표의 자녀</t>
  </si>
  <si>
    <t>자녀의 배우자</t>
  </si>
  <si>
    <t>손자녀/그 배우자</t>
  </si>
  <si>
    <t>부모/조부모</t>
  </si>
  <si>
    <t>형제자매/그 배우자</t>
  </si>
  <si>
    <t>형제자매의 자녀</t>
  </si>
  <si>
    <t>기타 친인척</t>
  </si>
  <si>
    <t>동거인(친구, 가사도우미 등 비혈연)</t>
  </si>
  <si>
    <t>년</t>
  </si>
  <si>
    <t>월</t>
  </si>
  <si>
    <t>조사에 참여하는 청소년(자녀 또는 피양육자)의 출생지는 어디입니까?</t>
  </si>
  <si>
    <t>국내/해외</t>
  </si>
  <si>
    <t>국내</t>
  </si>
  <si>
    <t>해외</t>
  </si>
  <si>
    <t>해외 국가명</t>
  </si>
  <si>
    <t>국가명</t>
  </si>
  <si>
    <t>조사에 참여하는 청소년(자녀 또는 피양육자)과 함께 살고 있는 가구원의 구성은 어떻게 됩니까?</t>
  </si>
  <si>
    <t>부모 모두(아버지, 어머니) + 자녀</t>
  </si>
  <si>
    <t>한 부모(아버지 또는 어머니) + 자녀</t>
  </si>
  <si>
    <t>(한)조부모(할머니, 할아버지) + 자녀</t>
  </si>
  <si>
    <t>(한)조부모(할머니, 할아버지) + 부모 모두 + 자녀</t>
  </si>
  <si>
    <t>(한)조부모(할머니, 할아버지) + 한 부모 + 자녀</t>
  </si>
  <si>
    <t xml:space="preserve"> 조사에 참여하는 청소년(자녀 또는 피양육자)은 지난 1년간 사교육을 받은 경험이 있습니까?</t>
  </si>
  <si>
    <t>예</t>
  </si>
  <si>
    <t>아니오</t>
  </si>
  <si>
    <t>지난 1년간 사교육을 받은 경험이 있는 경우, 받은 이유를 중요한 순서대로 1순위와 2순위로 응답해 주십시오.</t>
  </si>
  <si>
    <t>1순위</t>
  </si>
  <si>
    <t>상급 학교 진학을 위해</t>
  </si>
  <si>
    <t>대부분의 학생들이 사교육을 받으므로</t>
  </si>
  <si>
    <t>선행 학습을 하기 위해</t>
  </si>
  <si>
    <t>학교 수업 보충 차원으로</t>
  </si>
  <si>
    <t>학교 성적의 향상을 위해</t>
  </si>
  <si>
    <t>취미 활동이나 자기 개발을 하기 위해</t>
  </si>
  <si>
    <t>하교 후 돌봐 줄 사람이 마땅치 않아서</t>
  </si>
  <si>
    <t>2순위</t>
  </si>
  <si>
    <t>지난 1년간 사교육을 받은 경험이 있는 경우, 월평균 교육비를 응답해 주십시오.</t>
  </si>
  <si>
    <t>만원</t>
  </si>
  <si>
    <t>지난 1년간 사교육을 받은 경험이 없는 경우, 받지 않은 이유를 중요한 순서대로 1순위와 2순위로 응답해 주십시오.</t>
  </si>
  <si>
    <t>학교 수업만으로도 충분해서</t>
  </si>
  <si>
    <t>스스로 공부하는 습관을 갖도록 하기 위해서</t>
  </si>
  <si>
    <t>경제적 형편이 어려워서</t>
  </si>
  <si>
    <t>마땅한 과외 교사나 학원을 찾지 못해서</t>
  </si>
  <si>
    <t>사교육을 받아도 성적이 향상되지 않아서</t>
  </si>
  <si>
    <t>사교육을 받을 시간이 부족해서</t>
  </si>
  <si>
    <t>자녀가 원하지 않아서</t>
  </si>
  <si>
    <t xml:space="preserve">기타 </t>
  </si>
  <si>
    <t>다음 중 조사에 참여하는 청소년(자녀 또는 피양육자)에게 다음의 역할을 하는 가구원은 누구라고 생각하십니까?</t>
  </si>
  <si>
    <t>자녀(또는 피양육자)의 주양육자</t>
  </si>
  <si>
    <t>형제자매</t>
  </si>
  <si>
    <t>자녀(또는 피양육자)의 학교 관련 일정을 주로 관리하는 보호자</t>
  </si>
  <si>
    <t>자녀(또는 피양육자)의 사교육 관련 일정을 주로 관리하는 보호자</t>
  </si>
  <si>
    <t>자녀(또는 피양육자)의 교우관계 형성에 주로 관여하는 보호자</t>
  </si>
  <si>
    <t>귀하는 조사에 참여하는 청소년(자녀 또는 피양육자)과 하루에 얼마나 시간을 함께 보내십니까? 평일과 주말로 구분하여 기입해 주십시오.</t>
  </si>
  <si>
    <t>귀하는 조사에 참여하는 청소년(자녀 또는 피양육자)의 지난 학기(2018년도 1학기) 전 과목 성적이 다음 중 어디에 해당한다고 생각하십니까?</t>
  </si>
  <si>
    <t>귀하는 조사에 참여하는 청소년(자녀 또는 피양육자)의 지난 학기(2018년도 1학기) 학교성적에 대해 얼마나 만족하십니까?</t>
  </si>
  <si>
    <t>귀하는 조사에 참여하는 청소년(자녀 또는 피양육자)의 지난 학기(2018년도 1학기) 학교생활에 대해 얼마나 만족하십니까?</t>
  </si>
  <si>
    <t>귀하는 전반적으로 자녀가 어느 정도 수준까지 공부하기를 원하십니까?</t>
  </si>
  <si>
    <t>귀하는 스마트폰을 사용합니까?</t>
  </si>
  <si>
    <t>귀하는 스마트폰을 얼마나 자주 사용합니까?</t>
  </si>
  <si>
    <t>귀하는 스마트폰 이용에 대해 자신이 어떻게 느끼고 있는지 응답해 주십시오.</t>
  </si>
  <si>
    <t>스마트폰의 지나친 사용으로 업무능률이 떨어진다</t>
  </si>
  <si>
    <t>스마트폰을 사용하지 못하면 온 세상을 잃은 것 같은생각이 든다</t>
  </si>
  <si>
    <t>현재 귀하의 생활에 대해 어떻게 생각하는지에 대한 질문입니다. 다음 각 문항에 대하여 귀하에게 해당되는 항목에 응답해 주십시오.</t>
  </si>
  <si>
    <t>아래 문항을 읽고 귀하를 가장 잘 설명한다고 생각하는 항목에 응답해 주십시오.</t>
  </si>
  <si>
    <t>나는 문제를 해결하다가 어려움이 생겼을 때 크게 좌절하지 않으며, 다른 사람들보다 빨리 좌절에서 벗어난다</t>
  </si>
  <si>
    <t>귀하는 동년배와 비교했을 때, 건강 상태가 어떻다고 생각하십니까?</t>
  </si>
  <si>
    <t>귀하는 지난 일주일 간 땀이 날 정도로 운동한 시간은 몇 시간 정도입니까?</t>
  </si>
  <si>
    <t>귀하는 지난 일주일 간 아침식사를 한 날은 며칠입니까?</t>
  </si>
  <si>
    <t>귀하의 출생지는 어디입니까?</t>
  </si>
  <si>
    <t>조사에 참여하는 청소년(자녀 또는 피양육자)의 부모님(부모님이 안 계신 경우 보호자)의 최종 학력은 어떻게 됩니까?(중간에 학교를 그만 둔 경우는 '졸업' 이 아닙니다.)</t>
  </si>
  <si>
    <t>학교 안 다님</t>
  </si>
  <si>
    <t>초등학교 졸업</t>
  </si>
  <si>
    <t>중학교 졸업</t>
  </si>
  <si>
    <t>보호자(부모님이 안계신 경우)</t>
  </si>
  <si>
    <t>조사에 참여하는 청소년(자녀 또는 피양육자)의 부모님(부모님이 안 계신 경우 보호자)은 지난 일주일 동안 수입을 목적으로 1시간 이상 일을 하셨습니까? 또는 돈을 받지 않고 가족이 경영하는 사업체나 농장 등에서 18시간 이상 일을 하셨습니까?</t>
  </si>
  <si>
    <t>조사에 참여하는 청소년(자녀 또는 피양육자)의 부모님(부모님이 안 계신 경우 보호자)의 직업은 다음중 어디에 해당됩니까?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</si>
  <si>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</si>
  <si>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</si>
  <si>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</si>
  <si>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</si>
  <si>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</si>
  <si>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</si>
  <si>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관련기능 종사자</t>
  </si>
  <si>
    <t>장치/기계조작 및 조립 종사자</t>
  </si>
  <si>
    <t>단순노무 종사자</t>
  </si>
  <si>
    <t>직업군인</t>
  </si>
  <si>
    <t>귀 댁의 월평균 가구소득은 얼마입니까?</t>
  </si>
  <si>
    <t>소득 없음</t>
  </si>
  <si>
    <t>100만 원 미만</t>
  </si>
  <si>
    <t>100만 원 이상~200만 원 미만</t>
  </si>
  <si>
    <t>200만 원 이상~300만 원 미만</t>
  </si>
  <si>
    <t>300만 원 이상~400만 원 미만</t>
  </si>
  <si>
    <t>400만 원 이상~500만 원 미만</t>
  </si>
  <si>
    <t>500만 원 이상~600만 원 미만</t>
  </si>
  <si>
    <t>600만 원 이상~700만 원 미만</t>
  </si>
  <si>
    <t>700만 원 이상~800만 원 미만</t>
  </si>
  <si>
    <t>800만 원 이상~900만 원 미만</t>
  </si>
  <si>
    <t>900만 원 이상~1,000만 원 미만</t>
  </si>
  <si>
    <t>1,000만 원 이상</t>
  </si>
  <si>
    <t>무응답</t>
  </si>
  <si>
    <t>귀 댁의 가정 형편(경제수준)은 다음 중 어디에 해당한다고 생각하십니까?</t>
  </si>
  <si>
    <t>최하</t>
  </si>
  <si>
    <t>하</t>
  </si>
  <si>
    <t>상</t>
  </si>
  <si>
    <t>최상</t>
  </si>
  <si>
    <t>SQ1) 학생은 몇 년 몇 월에 태어났습니까? 실제 태어난 생년과 월을 아래에 써 주십시오.</t>
  </si>
  <si>
    <t xml:space="preserve">SQ2) 학생의 성별은 무엇입니까? </t>
  </si>
  <si>
    <t>1. 남자</t>
  </si>
  <si>
    <t>2. 여자</t>
  </si>
  <si>
    <t>※24시간 단위로 응답.  예：밤 10시 30분 → (22) 시 (30) 분,  밤 12시 → (0) 시 (0) 분새벽 1시 30분 → (1) 시 (30) 분,  낮 12시 → (12) 시 (0) 분</t>
  </si>
  <si>
    <t>항목</t>
  </si>
  <si>
    <t>1a) 학교 가는 날</t>
  </si>
  <si>
    <t>1b) 학교 가지 않는 날</t>
  </si>
  <si>
    <t>(월~금)</t>
  </si>
  <si>
    <t>(주말, 공휴일)</t>
  </si>
  <si>
    <t>1-1) 기상(평균적으로 일어나는 시간)</t>
  </si>
  <si>
    <t>1-2) 취침(평균적으로 잠드는 시간)</t>
  </si>
  <si>
    <t>1-3) 평소 잠을 잘 잡니까?</t>
  </si>
  <si>
    <t>① 매우 못 잔다</t>
  </si>
  <si>
    <t>② 못 자는 편이다</t>
  </si>
  <si>
    <t>③ 잘 자는 편이다</t>
  </si>
  <si>
    <t>④ 매우 잘 잔다</t>
  </si>
  <si>
    <t>30분~
1시간 미만</t>
  </si>
  <si>
    <t>1시간~
2시간 미만</t>
  </si>
  <si>
    <t>2시간~
3시간 미만</t>
  </si>
  <si>
    <t>3시간~
4시간 미만</t>
  </si>
  <si>
    <t>2) 부모님(또는 양육자)과 대화시간</t>
  </si>
  <si>
    <t>①</t>
  </si>
  <si>
    <t>②</t>
  </si>
  <si>
    <t>③</t>
  </si>
  <si>
    <t>④</t>
  </si>
  <si>
    <t>⑤</t>
  </si>
  <si>
    <t>⑥</t>
  </si>
  <si>
    <t>⑦</t>
  </si>
  <si>
    <t>3) 학원 및 과외시간</t>
  </si>
  <si>
    <t>4) 인터넷 및 TV강의 시간</t>
  </si>
  <si>
    <t>5) 방과 후 학교</t>
  </si>
  <si>
    <t>6) 스스로 공부하는 시간(학교 및 학원 숙제 포함)</t>
  </si>
  <si>
    <t>7) 독서시간(교과서 및 참고서 외)</t>
  </si>
  <si>
    <t>8) 운동 및 신체활동 시간(학교 수업시간 외)</t>
  </si>
  <si>
    <t>9) 스마트폰을 가지고 노는 시간</t>
  </si>
  <si>
    <t>10) 컴퓨터를 가지고 노는 시간</t>
  </si>
  <si>
    <t>11) TV를 시청하며 노는 시간</t>
  </si>
  <si>
    <t>12) 위의 8)~11) 이외에 친구들과노는 시간</t>
  </si>
  <si>
    <t>문 2) 스마트폰을 사용합니까?</t>
  </si>
  <si>
    <t xml:space="preserve">1) 가족과의 통화 </t>
  </si>
  <si>
    <t>2) 가족과의 문자 메시지(카톡, 라인 등 메신저 포함)</t>
  </si>
  <si>
    <t xml:space="preserve">3) 친구와의 통화 </t>
  </si>
  <si>
    <t>4) 친구와의 문자 메시지(카톡, 라인 등 메신저 포함)</t>
  </si>
  <si>
    <t>5) SNS(트위터, 페이스북, 인스타그램 등) 이용</t>
  </si>
  <si>
    <t>6) 게임</t>
  </si>
  <si>
    <t>7) 사진/동영상 촬영</t>
  </si>
  <si>
    <t>8) TV 및 동영상 시청(DMB, 아프리카 TV, 판도라 TV, 유튜브 등)</t>
  </si>
  <si>
    <t>9) 음악 감상</t>
  </si>
  <si>
    <t>10) 정보 검색(학교홈페이지, 뉴스, 포탈사이트, 웹서핑 등 학습·비학습 관련 모두 포함)</t>
  </si>
  <si>
    <t>11) 문서 보기(웹툰, e-Book 등)</t>
  </si>
  <si>
    <t>○</t>
  </si>
  <si>
    <t>문 2-2) ([문2]에서 ①, ② 에 응답한 사람만) 스마트폰 이용에 대해 자신이 어떻게 느끼고 있는지 응답해 주십시오.</t>
  </si>
  <si>
    <t>전혀 
그렇지 않다</t>
  </si>
  <si>
    <t>그렇지 
않은 편이다</t>
  </si>
  <si>
    <t>1) 스마트폰의 지나친 사용으로 학교성적이 떨어진다</t>
  </si>
  <si>
    <t>2) 수시로 스마트폰을 사용하다가 지적을 받은 적이 있다</t>
  </si>
  <si>
    <t>3) 스마트폰을 너무 자주 또는 오래한다고 가족이나 친구들로부터 불평을 들은 적이 있다</t>
  </si>
  <si>
    <t>4) 스마트폰을 사용하느라 지금 하고 있는 일(공부)에 집중이 안 된 적이 있다</t>
  </si>
  <si>
    <t>5) 스마트폰 사용이 지금 하고 있는 일(공부)에 방해가 되지 않는다</t>
  </si>
  <si>
    <t>6) 스마트폰을 사용하지 못하면 온 세상을 잃은 것 같은 생각이 든다</t>
  </si>
  <si>
    <t>7) 가족이나 친구들과 함께 있는 것보다 스마트폰을 사용하고 있는 것이 더 즐겁다</t>
  </si>
  <si>
    <t>8) 스마트폰을 사용할 수 없게 된다면 견디기 힘들 것이다</t>
  </si>
  <si>
    <t>9) 스마트폰이 없으면 안절부절 못하고 초조해진다</t>
  </si>
  <si>
    <t>10) 스마트폰이 없어도 불안하지 않다</t>
  </si>
  <si>
    <t>11) 스마트폰이 옆에 없으면, 하루 종일 일(공부)이 손에 안 잡힌다</t>
  </si>
  <si>
    <t>12) 스마트폰 사용시간을 줄이려고 해보았지만 실패한다</t>
  </si>
  <si>
    <t>13) 스마트폰을 사용할 때 그만해야지 라고 생각은 하면서도 계속한다</t>
  </si>
  <si>
    <t>14) 스마트폰 사용에 많은 시간을 보내는 것이 습관화되었다</t>
  </si>
  <si>
    <t>15) 스마트폰 사용에 많은 시간을 보내지 않는다</t>
  </si>
  <si>
    <t>문 3) 지난 학기(2018년도 1학기) 전 과목 성적은 다음 중 어디에 해당한다고 생각하십니까?</t>
  </si>
  <si>
    <t>매우 만족</t>
  </si>
  <si>
    <t>문 5) 지난 학기(2018년도 1학기) 학교생활에 얼마나 만족하십니까?</t>
  </si>
  <si>
    <t>문 6) 다음 각 문항에 대하여 자신에게 해당되는 항목에 응답해 주십시오.</t>
  </si>
  <si>
    <t>문 항</t>
  </si>
  <si>
    <t>1) 나는 내가 하고 있는 공부의 의미와 목적을 분명히 안다</t>
  </si>
  <si>
    <t>2) 나는 공부란 도전해 볼만한 것이라고 생각한다</t>
  </si>
  <si>
    <t>3) 나는 공부를 하면 뿌듯해진다</t>
  </si>
  <si>
    <t>4) 나는 공부를 통해 자아실현을 할 수 있다고 생각한다</t>
  </si>
  <si>
    <t>5) 나는 공부할 때 힘이 나고 활기가 생긴다</t>
  </si>
  <si>
    <t>6) 나는 공부할 때 에너지가 생긴다</t>
  </si>
  <si>
    <t>7) 나는 공부할 때 정신적으로 힘이 난다</t>
  </si>
  <si>
    <t>8) 아침에 일어나면 수업 들으러 학교에 가고 싶다</t>
  </si>
  <si>
    <t>9) 나는 공부를 잘한다</t>
  </si>
  <si>
    <t>10) 나는 공부에 있어 누구에게도 뒤지지 않는다</t>
  </si>
  <si>
    <t>11) 나는 공부에 자신이 있다</t>
  </si>
  <si>
    <t>12) 나는 어려운 과제도 충분히 해결할 만한 능력이 있다</t>
  </si>
  <si>
    <t>13) 나는 공부할 때 내 주변의 다른 모든 것을 잊어버린다</t>
  </si>
  <si>
    <t xml:space="preserve">14) 나는 공부를 시작하면 푹 빠진다 </t>
  </si>
  <si>
    <t>15) 공부를 하다보면 나도 모르게 집중할 때가 있다</t>
  </si>
  <si>
    <t>16) 나는 공부할 때 시간이 잘 간다</t>
  </si>
  <si>
    <t>문 7)진로(진학, 직업 선택 등)와 관련하여 다음 분들과 얼마나 자주 대화(또는 상담) 하십니까?</t>
  </si>
  <si>
    <t>1) 아버지</t>
  </si>
  <si>
    <t>⑧</t>
  </si>
  <si>
    <t>2) 어머니</t>
  </si>
  <si>
    <t>5) 학교 선생님</t>
  </si>
  <si>
    <t>6) 상담교사</t>
  </si>
  <si>
    <t>7) 학원/과외 선생님</t>
  </si>
  <si>
    <t>문 8) 현재 자신의 생활에 대해 어떻게 생각하는지에 대한 질문입니다. 다음 각 문항에 대하여 자신에게 해당되는 항목에 응답해 주십시오.</t>
  </si>
  <si>
    <t>1) 전반적으로 볼 때, 나의 삶은 나의 이상에 가깝다</t>
  </si>
  <si>
    <t>2) 내 삶의 상황들은 아주 좋다</t>
  </si>
  <si>
    <t>3) 나는 내 삶에 만족한다</t>
  </si>
  <si>
    <t>4) 지금까지 내 삶에서 내가 원하는 중요한 것들을 이루어 냈다</t>
  </si>
  <si>
    <t>5)만약 내 삶을 다시 살 수 있더라도, 나는 거의 아무것도 바꾸지 않을 것이다</t>
  </si>
  <si>
    <t>문 9a) 아래 문항을 읽고 자신을 가장 잘 설명한다고 생각하는 항목에 응답해 주십시오.</t>
  </si>
  <si>
    <t>아주 불행한 
사람이다</t>
  </si>
  <si>
    <t>불행한 
사람이다</t>
  </si>
  <si>
    <t>행복한 
사람이다</t>
  </si>
  <si>
    <t>아주 행복한 
사람이다</t>
  </si>
  <si>
    <t xml:space="preserve">1) 전반적으로 나는 … </t>
  </si>
  <si>
    <t>2) 다른 사람과 비교했을 때 나는…</t>
  </si>
  <si>
    <t>문 9b) 아래 문항을 읽고 자신을 가장 잘 설명한다고 생각하는 항목에 응답해 주십시오.</t>
  </si>
  <si>
    <t>1) 전반적으로 아주 행복한 사람들이 있다. 
    그들은 무슨 일이 있어도 개의치 않고 즐겁게 지내는 편이다. 나는 …</t>
  </si>
  <si>
    <t>2) 전반적으로 아주 불행한 사람들이 있다. 
    그들은 특별히 우울한 일이 없어도 행복하지 않아 보인다. 나는 …</t>
  </si>
  <si>
    <t>문 10) 다음 각 문항에 대하여 자신에게 해당되는 항목에 응답해 주십시오.</t>
  </si>
  <si>
    <t>1) 나는 나에게 만족한다</t>
  </si>
  <si>
    <t>2) 때때로 나는 내가 어디에도 소용없는 사람이라고 생각한다</t>
  </si>
  <si>
    <t>3) 나는 내가 장점이 많다고 느낀다</t>
  </si>
  <si>
    <t>4) 나는 내가 적어도 다른 사람만큼 가치 있는 사람이라고 느낀다</t>
  </si>
  <si>
    <t>5) 나는 내가 자랑스러워할 만한 것이 별로 없다고 느낀다</t>
  </si>
  <si>
    <t>6) 때때로 나는 내가 쓸모없는 존재로 느껴진다</t>
  </si>
  <si>
    <t>7) 나는 남들만큼의 일은 할 수 있다</t>
  </si>
  <si>
    <t>8) 나는 나를 좀 더 존중할 수 있었으면 좋겠다</t>
  </si>
  <si>
    <t>9) 나는 내가 실패자라고 느끼는 경향이 있다</t>
  </si>
  <si>
    <t>10) 나는 나에 대해 긍정적인 태도를 지니고 있다</t>
  </si>
  <si>
    <t>문 11) 다음 각 문항에 대하여 자신에게 해당되는 항목에 응답해 주십시오.</t>
  </si>
  <si>
    <t>1) 칭찬을 받거나 벌을 받아도 금방 다시 주의가 산만해진다</t>
  </si>
  <si>
    <t>2) 문제를 풀 때 문제를 끝까지 읽지 않는 편이다</t>
  </si>
  <si>
    <t>3) 오랫동안 집중해야 하는 과제는 하고 싶지 않다</t>
  </si>
  <si>
    <t>4) 연필이나 지우개 등 학용품을 잘 잃어버린다</t>
  </si>
  <si>
    <t>5) 주의를 기울이지 않아서 실수를 하거나 사고를 낸다</t>
  </si>
  <si>
    <t>6) 공부할 때 차분하게 앉아 있기 힘들다</t>
  </si>
  <si>
    <t>7) 글자를 잘 빠뜨리고 쓰는 편이다</t>
  </si>
  <si>
    <t>8) 작은 일에도 트집을 잡을 때가 있다</t>
  </si>
  <si>
    <t>9) 남이 하는 일을 방해할 때가 있다</t>
  </si>
  <si>
    <t>10) 내가 원하는 것을 못하게 하면 따지거나 덤빈다</t>
  </si>
  <si>
    <t>11) 별 것 아닌 일로 싸우곤 한다</t>
  </si>
  <si>
    <t>12) 하루 종일 화가 날 때가 있다</t>
  </si>
  <si>
    <t>13) 아무 이유 없이 울 때가 있다</t>
  </si>
  <si>
    <t>14) 깊이 잠들지 못하고 자다가 잠에서 깨곤 한다</t>
  </si>
  <si>
    <t>15) 머리가 자주 아프다</t>
  </si>
  <si>
    <t>16) 속이 자주 메슥거린다</t>
  </si>
  <si>
    <t>17) 공부를 하면 배가 아플 때가 있다</t>
  </si>
  <si>
    <t>18) 입맛이 없을 때가 있다</t>
  </si>
  <si>
    <t>19) 자주 피곤하다</t>
  </si>
  <si>
    <t>20) 숨쉬기 어려울 때가 있다</t>
  </si>
  <si>
    <t>21) 자주 열이 나는 것처럼 느껴진다</t>
  </si>
  <si>
    <t>22) 주위에 사람들이 많으면 어색하다</t>
  </si>
  <si>
    <t>23) 부끄럼을 많이 탄다</t>
  </si>
  <si>
    <t>24) 다른 사람들에게 내 의견을 분명하게 말하기 어렵다</t>
  </si>
  <si>
    <t>25) 수줍어한다</t>
  </si>
  <si>
    <t>26) 사람들 앞에 나서기를 싫어한다</t>
  </si>
  <si>
    <t>27) 기운이 별로 없다</t>
  </si>
  <si>
    <t>28) 불행하다고 생각하거나 슬퍼하고 우울해한다</t>
  </si>
  <si>
    <t>29) 걱정이 많다</t>
  </si>
  <si>
    <t>30) 죽고 싶은 생각이 든다</t>
  </si>
  <si>
    <t>31) 울기를 잘한다</t>
  </si>
  <si>
    <t>32) 어떤 일이 잘못 되었을 때 나 때문이라는 생각을 자주 한다</t>
  </si>
  <si>
    <t>33) 외롭다</t>
  </si>
  <si>
    <t>34) 모든 일에 관심과 흥미가 없다</t>
  </si>
  <si>
    <t>35) 장래가 희망적이지 않은 것 같다</t>
  </si>
  <si>
    <t>36) 모든 일이 힘들다</t>
  </si>
  <si>
    <t>문 12) 다음 각 문항에 대하여 자신의 생각과 일치하는 항목에 응답해 주십시오.</t>
  </si>
  <si>
    <t>1) 나는 그룹활동을 할 때, 친구의 장점이나 능력을 적극적으로 알려 준다</t>
  </si>
  <si>
    <t>2) 나는 그룹활동을 할 때, 친구가 어려워하면 기꺼이 돕는다</t>
  </si>
  <si>
    <t>3) 나는 그룹활동을 할 때, 친구들이 의견을 자유롭게 이야기하도록 분위기를 조성한다</t>
  </si>
  <si>
    <t>4) 나는 그룹활동을 할 때, 활용할 수 있는 새로운 방법을 제시한다</t>
  </si>
  <si>
    <t>5) 나는 그룹에서 하고 있는 활동이 의미있는 일이라는 것을 친구에게 이야기 한다</t>
  </si>
  <si>
    <t>6) 나는 그룹활동을 할 때, 친구가 다양한 관점에서 생각할 수 있도록 도와준다</t>
  </si>
  <si>
    <t>7) 나는 그룹활동을 할 때, 나의 역할에 최선을 다한다</t>
  </si>
  <si>
    <t>8) 나는 그룹의 리더가 아니더라도 맡은 일보다 많은 일을 하여 그룹활동에 도움이 되고자 한다</t>
  </si>
  <si>
    <t>9) 나는 내가 속한 그룹에서 가치 있는 사람이 되기 위해 능력을 최대한 발휘한다</t>
  </si>
  <si>
    <t>10) 나는 그룹에서 발생한 문제와 관련된 지식이나 정보를 친구들과 공유한다</t>
  </si>
  <si>
    <t>11) 나는 그룹의 문제해결을 위한 구체적인 계획이나 내용을 친구들과 공유한다</t>
  </si>
  <si>
    <t>12) 나는 그룹에서 발생한 문제를 친구들과 자주 이야기한다</t>
  </si>
  <si>
    <t>13) 나는 그룹활동을 할 때, 중요한 사항이나 문제점이 생기면 친구들과 함께 해결한다</t>
  </si>
  <si>
    <t>14) 나는 그룹에서 발생한 문제에 대해 잘잘못을 따지기 보다는 해결하려고 노력한다</t>
  </si>
  <si>
    <t>문 13) 다음 각 문항에 대해 평소 본인의 생각과 가장 가깝다고 생각되는 곳에 응답해 주십시오.</t>
  </si>
  <si>
    <t>1) 나는 무엇을 하다가 다른 생각이 나면 집중하기가 어렵다</t>
  </si>
  <si>
    <t>2) 나는 문제를 해결하다가 어려움이 생겼을 때 크게 좌절하지 않으며, 
    다른 사람들보다 빨리 좌절에서 벗어난다</t>
  </si>
  <si>
    <t>3) 나는 어떤 문제에 잠깐 집중하다가 곧 흥미를 잃은 적이 있다</t>
  </si>
  <si>
    <t>4) 나는 노력가이다</t>
  </si>
  <si>
    <t>5) 나는 자주 목표를 세우지만 그것을 이루기 전에 다른 목표를 세우고는 한다</t>
  </si>
  <si>
    <t>6) 나는 무엇을 완성하는데 시간이 오래 걸리면 계속 열심히 하는 것이 어렵다</t>
  </si>
  <si>
    <t>7) 나는 시작하면 무조건 끝낸다</t>
  </si>
  <si>
    <t>8) 나는 부지런하다</t>
  </si>
  <si>
    <t>문 14) 부모님(부모님이 안 계신 경우에는 보호자)과 하루에 얼마나 시간을 함께 보내십니까? 평일과 주말로 구분하여 기입해 주십시오.</t>
  </si>
  <si>
    <t>※함께 보내는 시간에는 식사, 학습활동, 여가활동, 대화시간 등이 모두 포함됩니다. 단, 수면 시간은 제외됩니다. 평균적으로 함께 보내는 시간을 계산해서 기입해 주십시오.</t>
  </si>
  <si>
    <t>14a) 평일(하루 평균)</t>
  </si>
  <si>
    <t>14b) 주말(하루 평균)</t>
  </si>
  <si>
    <t>문 15) 부모님(부모님이 안 계신 경우에는 보호자)을 어떻게 생각하는지에 대한 질문입니다.다음 각 문항에 대하여 자신에게 해당되는 항목에 응답해 주십시오.</t>
  </si>
  <si>
    <t>1) 부모님이 나를 사랑한다는 것을 표현하신다</t>
  </si>
  <si>
    <t>2) 부모님은 나와 함께 있는 것을 좋아하신다</t>
  </si>
  <si>
    <t>3) 부모님은 항상 나를 반가워하신다</t>
  </si>
  <si>
    <t>4) 부모님은 나를 특별하게 여기신다</t>
  </si>
  <si>
    <t>5) 부모님이 나를 좋아하시는지 가끔 궁금할 때가 있다</t>
  </si>
  <si>
    <t>6) 부모님은 내가 방해가 된다고 생각하신다</t>
  </si>
  <si>
    <t>7) 부모님은 나로 하여금 불필요한 존재라고 느끼게 하신다</t>
  </si>
  <si>
    <t>8) 부모님은 내가 하는 어떤 것도 만족스러워하지 않으신다</t>
  </si>
  <si>
    <t>9) 부모님은 나를 믿어주신다</t>
  </si>
  <si>
    <t>10) 부모님은 나를 있는 그대로 받아주신다</t>
  </si>
  <si>
    <t>11) 부모님은 내가 중요하게 생각하는 일을 하게 해주신다</t>
  </si>
  <si>
    <t>12) 부모님은 나의 생각을 이해하려고 노력하신다</t>
  </si>
  <si>
    <t>13) 부모님은 나에게 늘 무엇을 하라고 하신다</t>
  </si>
  <si>
    <t>14) 부모님은 나에게 이래라저래라 하신다</t>
  </si>
  <si>
    <t>15) 부모님은 어떤 일을 할 때 오로지 그분들의 방식만이 유일하게 올바른 길이라고 생각하신다</t>
  </si>
  <si>
    <t>16) 부모님은 모든 것에 대해 “안 돼." 라고 하신다</t>
  </si>
  <si>
    <t>17) 내가 무언가 하려고 할 때, 부모님이 어떻게 하라고 가르쳐 주신다</t>
  </si>
  <si>
    <t>18) 어떤 일이나 사물이 돌아가는 이치를 알고 싶어할 때, 부모님께서 설명해주신다</t>
  </si>
  <si>
    <t>19) 내게 문제가 있을 때 부모님이 어떻게 해결해야할지 도움을 주신다</t>
  </si>
  <si>
    <t>20) 부모님은 내게 규칙을 말씀하실 때, 왜 지켜야 하는지 이유도 설명해주신다</t>
  </si>
  <si>
    <t>21) 부모님이 약속을 해도, 그 분들이 지키실지는 알 수 없다</t>
  </si>
  <si>
    <t>22) 부모님은 무언가를 하겠다고 말씀하시고는 실제로는 하지 않으실 때도 가끔 있다</t>
  </si>
  <si>
    <t>23) 부모님은 나에 대한 규칙을 자주 바꾸신다</t>
  </si>
  <si>
    <t>24) 부모님은 사전에 주의도 주지 않고 화부터 내신다</t>
  </si>
  <si>
    <t>문 16) 다음 각 문항에 대하여 자신에게 해당되는 항목에 응답해 주십시오.</t>
  </si>
  <si>
    <t>1) 친구들과 함께 시간을 보낸다</t>
  </si>
  <si>
    <t>2) 친구들은 속상하고 힘든 일을 나에게 털어놓는다</t>
  </si>
  <si>
    <t>3) 친구들에게 내 이야기를 잘한다</t>
  </si>
  <si>
    <t>4) 친구들에게 내 비밀을 이야기 할 수 있다</t>
  </si>
  <si>
    <t>5) 내가 무슨 일을 할 때 친구들은 나를 도와준다</t>
  </si>
  <si>
    <t>6) 친구들은 나를 좋아하고 잘 따른다</t>
  </si>
  <si>
    <t>7) 친구들은 나에게 관심이 있다</t>
  </si>
  <si>
    <t>8) 친구들과의 관계가 좋다</t>
  </si>
  <si>
    <t>9) 친구들과 의견 충돌이 잦다</t>
  </si>
  <si>
    <t xml:space="preserve">10) 친구와 싸우면 잘 화해하지 않는다 </t>
  </si>
  <si>
    <t>11) 친구가 내 뜻과 다르게 행동하면 화를 내거나 짜증을 낸다</t>
  </si>
  <si>
    <t>12) 나와 다른 아이들과는 친해질 생각이 없다</t>
  </si>
  <si>
    <t>13) 친구들은 나의 어렵고 힘든 점에 대해 관심이 없다</t>
  </si>
  <si>
    <t>문 17) 다음 각 문항에 대하여 자신에게 해당되는 항목에 응답해 주십시오.</t>
  </si>
  <si>
    <t>1) 내가 공부나 다른 문제로 힘들 때 선생님께 찾아가서 제일 먼저 의논하고 싶다</t>
  </si>
  <si>
    <t>2) 선생님은 내가 수업시간에 다른 생각을 하는지 금방 아신다</t>
  </si>
  <si>
    <t>3) 선생님은 수업내용을 내가 알아듣기 쉽게 잘 정리해서 설명해주신다</t>
  </si>
  <si>
    <t>4) 선생님은 내가 앞으로 공부를 잘 할 수 있다고 믿으신다</t>
  </si>
  <si>
    <t>5) 선생님은 내가 수업에 흥미가 있는지를 잘 아신다</t>
  </si>
  <si>
    <t>6) 선생님은 질문에 대답할 때까지 참고 기다려주신다</t>
  </si>
  <si>
    <t>7) 선생님은 내가 책임과 의무를 다하는 학생이라고 생각하신다</t>
  </si>
  <si>
    <t>8) 선생님은 나의 의견을 존중하시고 자유롭게 말하도록 하신다</t>
  </si>
  <si>
    <t>9)선생님은 내가 모르는 것을 질문하면 이해할 때까지 몇 번이라도 다시 설명해주신다</t>
  </si>
  <si>
    <t>10) 선생님은 내가 끈기와 인내심이 강하다고 생각하신다</t>
  </si>
  <si>
    <t>11) 선생님은 내가 공부하면서 부족한 부분이 있으면 개별적으로 보충해주신다</t>
  </si>
  <si>
    <t>12) 선생님은 내가 원할 때마다 항상 나를 위해 시간을 내 주신다</t>
  </si>
  <si>
    <t>13) 선생님은 내가 수업내용을 잘 이해하고 있는지를 금방 눈치 채신다</t>
  </si>
  <si>
    <t>14) 선생님은 내가 머리가 좋은 학생이라고 생각하신다</t>
  </si>
  <si>
    <t xml:space="preserve">문 18) 또래 친구들과 비교해 볼 때 건강 상태가 어떻다고 생각합니까? </t>
  </si>
  <si>
    <t>1. 전혀 건강하지 않다</t>
  </si>
  <si>
    <t>2. 건강하지 못한 편이다</t>
  </si>
  <si>
    <t>3. 건강한 편이다</t>
  </si>
  <si>
    <t>4. 매우 건강하다</t>
  </si>
  <si>
    <t>문 19) 지난 일주일 간 땀이 날 정도로 운동한 시간은 몇 시간 정도입니까?</t>
  </si>
  <si>
    <t>1. 없다</t>
  </si>
  <si>
    <t>2. 1시간</t>
  </si>
  <si>
    <t>3. 2시간</t>
  </si>
  <si>
    <t>4. 3시간</t>
  </si>
  <si>
    <t>5. 4시간 이상</t>
  </si>
  <si>
    <t>문 20) 지난 일주일 간 아침식사를 한 날은 며칠입니까?</t>
  </si>
  <si>
    <t>문 21) 키와 몸무게는 어떻게 됩니까?</t>
  </si>
  <si>
    <t>문 1) 지난 학기(2018년 1학기) 중 하루를 어떻게 보냈는지에 대한 질문입니다. 각 항목별로 응답해 주십시오.</t>
  </si>
  <si>
    <t>문 3) 지난 1년 동안 다음과 같은 체험활동에 참여한 적이 있습니까? 참여한 적이 있다면 총 참여 횟수는 얼마나 되는지, 또한 참여 경험이 얼마나 만족스러웠는지 응답해 주십시오.</t>
  </si>
  <si>
    <t>※청소년활동：자신의 특기나 적성 계발을 위하여 또는 취미·여가생활을 즐기기 위하여 학교 정규 수업시간 이외에 하는 활동을 말함</t>
  </si>
  <si>
    <t>활 동</t>
  </si>
  <si>
    <t>3a)지난 1년간 참여 횟수</t>
  </si>
  <si>
    <t>3b)(참여한 적이 있다면) 만족도</t>
  </si>
  <si>
    <t>만족하지
않는 편이다</t>
  </si>
  <si>
    <t>만족하는
편이다</t>
  </si>
  <si>
    <t>1) 문화/예술 관련 활동(공연 감상 등)</t>
  </si>
  <si>
    <t>2) 과학/정보 관련 활동(경진 대회, 과학 실험 등)</t>
  </si>
  <si>
    <t>3) 모험/개척 관련 활동(탐사·등반, 야영 등)</t>
  </si>
  <si>
    <t>4) 자원봉사활동(일손 돕기, 자선·구호 등)</t>
  </si>
  <si>
    <t>5) 직업/진로 관련 활동(직업 체험, 진로 탐색 등)</t>
  </si>
  <si>
    <t>6) 국제 교류 활동</t>
  </si>
  <si>
    <t>7) 건강/보건 관련 활동(신체단련, 안전·응급처치 등)</t>
  </si>
  <si>
    <t>8) 자기(인성)계발 관련 활동(자기표현, 마음 수련 등)</t>
  </si>
  <si>
    <t>9) 환경 보존 관련 활동(생태·숲 체험, 환경 살리기 등)</t>
  </si>
  <si>
    <t>문 4) 지난 1년 동안 다음과 같은 동아리 활동에 참여한 경험이 있습니까?경험이 있다면 총 참여 횟수가 얼마나 되는지, 또한 그 경험이 얼마나 만족스러웠는지 응답해 주십시오.</t>
  </si>
  <si>
    <t>4a)지난 1년간 참여 횟수</t>
  </si>
  <si>
    <t>4b) (참여한 적이 있다면)만족도</t>
  </si>
  <si>
    <t>1) 교내 공식 동아리(방송반, 컴퓨터반 등 학교에서 인정한 모임)</t>
  </si>
  <si>
    <t>2) 교외 공식 동아리(청소년수련관, 사회복지관 등에서 지원하는 모임)</t>
  </si>
  <si>
    <t>문 5) 특별히 좋아하는 연예인이나 운동선수가 있습니까?</t>
  </si>
  <si>
    <t>1. 있다  ☞ [문5-1]로 이동</t>
  </si>
  <si>
    <t xml:space="preserve">2. 없다  ☞ [문6]으로 이동 </t>
  </si>
  <si>
    <t>문 5-1) ([문5]에서 ‘1. 있다’ 인 경우만 응답) 좋아하는 연예인이나 운동선수와 관련하여 다음과 같은 행동을 얼마나 자주 했는지 응답해 주십시오.</t>
  </si>
  <si>
    <t>항 목</t>
  </si>
  <si>
    <t>1주일에 
여러 번</t>
  </si>
  <si>
    <t>1) 팬미팅(싸인회) 참석하기</t>
  </si>
  <si>
    <t>2) 팬클럽이나 팬카페 활동하기</t>
  </si>
  <si>
    <t>3) 방송국이나 공연장, 영화관(시사회), 경기장, 행사장가기</t>
  </si>
  <si>
    <t>4) 팬레터 쓰기 및 메시지 보내기</t>
  </si>
  <si>
    <t>5) 선물 보내기</t>
  </si>
  <si>
    <t>6) SNS, 블로그, 트위터, 기사 등에 댓글 달기</t>
  </si>
  <si>
    <t>7) 사진과 동영상 감상 및 업로드하기</t>
  </si>
  <si>
    <t>8) 책, CD, DVD, 화보집 구입하기</t>
  </si>
  <si>
    <t>9) 굿즈(응원봉, 캐릭터, 플래카드, 인형 등) 만들기 또는 구입하기</t>
  </si>
  <si>
    <t>문 6) 지난 학기(2018년도 1학기) 전 과목 성적은 다음 중 어디에 해당한다고 생각하십니까?</t>
  </si>
  <si>
    <t>문 7) 지난 학기(2018년도 1학기) 학교성적에 대해 얼마나 만족하십니까?</t>
  </si>
  <si>
    <t>문 8) 지난 학기(2018년도 1학기) 학교생활에 얼마나 만족하십니까?</t>
  </si>
  <si>
    <t>문 9) 다음 각 문항에 대하여 자신에게 해당되는 항목에 응답해 주십시오.</t>
  </si>
  <si>
    <t>1) 실력 차이를 내 힘으로 극복할 수는 없다고 생각한다</t>
  </si>
  <si>
    <t>2) 아무리 공부해도 내가 지금보다 더 잘할 수는 없다고 생각한다</t>
  </si>
  <si>
    <t>3) 내 힘으로 학업 문제를 해결할 수는 없다고 생각한다</t>
  </si>
  <si>
    <t>4) 공부를 잘하기 위하여 내가 할 수 있는 일이 없다고 생각한다</t>
  </si>
  <si>
    <t>5) 공부에 신경 쓰고 싶지 않다</t>
  </si>
  <si>
    <t>6) 공부를 왜 해야 하는지 관심도 없다</t>
  </si>
  <si>
    <t>7) 공부를 열심히 해야 하는 이유를 모르겠다</t>
  </si>
  <si>
    <t>8) 공부하고 싶은 의욕이 생기지 않는다</t>
  </si>
  <si>
    <t>9) 공부하는 것이 즐겁지 않다</t>
  </si>
  <si>
    <t>10) 수업을 듣거나 모둠활동을 하면서 유쾌함을 느끼지 못한다</t>
  </si>
  <si>
    <t>11) 학교에서 생활하면서 행복함을 느끼지 못한다</t>
  </si>
  <si>
    <t>12) 점수가 잘 나온다 해도 기쁘지 않다</t>
  </si>
  <si>
    <t>13) 시험기간이라도 공부에 전념하지 않는다</t>
  </si>
  <si>
    <t>14) 스스로 알아서 공부하지 않는다</t>
  </si>
  <si>
    <t>15) 수업에 적극적으로 참여하지 않는다</t>
  </si>
  <si>
    <t>16) 스스로 알아서 학습계획을 짜본 적이 없다</t>
  </si>
  <si>
    <t>문 11) 앞으로 어느 정도 수준까지 공부할 계획입니까?</t>
  </si>
  <si>
    <t>1. 고등학교 졸업</t>
  </si>
  <si>
    <t>2. 2-3년제 전문대학 졸업</t>
  </si>
  <si>
    <t>3. 4년제 대학교 졸업</t>
  </si>
  <si>
    <t>4. 대학원(석사, 박사) 이상</t>
  </si>
  <si>
    <t>5. 잘 모르겠음</t>
  </si>
  <si>
    <t>문 12) 장래에 자신이 하고자 하는 직업을 결정하였습니까?</t>
  </si>
  <si>
    <t>1. 아직 하고 싶은 직업을 정하지 않았다</t>
  </si>
  <si>
    <t>2. 대강 하고 싶은 직업이 있다</t>
  </si>
  <si>
    <t>3. 구체적으로 정해 놓은 직업이 있다</t>
  </si>
  <si>
    <t>문 13) 진로(진학, 직업 선택 등)와 관련하여 다음 분들과 얼마나 자주 대화(또는 상담)하십니까?</t>
  </si>
  <si>
    <t>문 14) 현재 자신의 생활에 대해 어떻게 생각하는지에 대한 질문입니다. 다음 각 문항에 대하여 자신에게 해당되는 항목에 응답해 주십시오.</t>
  </si>
  <si>
    <t>문 15a) 아래 문항을 읽고 자신을 가장 잘 설명한다고 생각하는 항목에 응답해 주십시오.</t>
  </si>
  <si>
    <t>문 15b) 아래 문항을 읽고 자신을 가장 잘 설명한다고 생각하는 항목에 응답해 주십시오.</t>
  </si>
  <si>
    <t>문 18) 다음 각 문항에 대하여 자신의 생각과 일치하는 항목에 응답해 주십시오.</t>
  </si>
  <si>
    <t>문 19) 본인을 잘 표현하는 단어를 원하는 만큼 자유롭게 선택해 주십시오.</t>
  </si>
  <si>
    <t>단어</t>
  </si>
  <si>
    <t>선택(O)</t>
  </si>
  <si>
    <t>문 20) 다음 각 문항에 대해 평소 본인의 생각과 가장 가깝다고 생각되는 곳에 응답해 주십시오.</t>
  </si>
  <si>
    <t>문 21) 부모님(부모님이 안 계신 경우에는 보호자)과 하루에 얼마나 시간을 함께 보내십니까? 평일과 주말로 구분하여 기입해 주십시오.</t>
  </si>
  <si>
    <t>문 22) 부모님(부모님이 안 계신 경우에는 보호자)을 어떻게 생각하는지에 대한 질문입니다.다음 각 문항에 대하여 자신에게 해당되는 항목에 응답해 주십시오.</t>
  </si>
  <si>
    <t>문 23) 다음 각 문항에 대하여 자신에게 해당되는 항목에 응답해 주십시오.</t>
  </si>
  <si>
    <t>문 24) 다음 각 문항에 대하여 자신에게 해당되는 항목에 응답해 주십시오.</t>
  </si>
  <si>
    <t>문 25) 지난 1년 동안 다음과 같은 행동을 한 경험이 있습니까? 다음 각 문항에 대하여 자신에게 해당되는 항목에 응답해 주십시오.</t>
  </si>
  <si>
    <t>1) 담배 피우기</t>
  </si>
  <si>
    <t>2) 술 마시기(제사나 성찬식 등에서 한 모금 정도 마시는 경우는 제외)</t>
  </si>
  <si>
    <t>3) 무단결석(보호자나 선생님께 알리지 않고 학교에 가지 않은 경우)</t>
  </si>
  <si>
    <t>4) 가출(하룻밤 이상 보호자의 허락을 받지 않고 귀가하지 않은 경우)</t>
  </si>
  <si>
    <t>5) 다른 사람 심하게 놀리거나 조롱하기</t>
  </si>
  <si>
    <t>6) 다른 사람 집단따돌림(왕따)시키기</t>
  </si>
  <si>
    <t>7) 패싸움</t>
  </si>
  <si>
    <t>8) 다른 사람 심하게 때리기</t>
  </si>
  <si>
    <t>9) 다른 사람 협박하기</t>
  </si>
  <si>
    <t>10) 다른 사람 돈이나 물건 뺏기(삥뜯기)</t>
  </si>
  <si>
    <t>11) 다른 사람 돈이나 물건 훔치기</t>
  </si>
  <si>
    <t>12) 성관계</t>
  </si>
  <si>
    <t>13) 성폭행이나 성희롱</t>
  </si>
  <si>
    <t>14) 돈을 걸고 도박하기</t>
  </si>
  <si>
    <t>15) 심한 욕설과 폭언</t>
  </si>
  <si>
    <t>문 26) 지난 1년 동안 스마트폰이나 컴퓨터(인터넷) 상에서 다음과 같은 행동을 한 적이 있습니까? 다음 각 문항에 대하여 자신에게 해당되는 항목에 응답해 주십시오.</t>
  </si>
  <si>
    <t>1) 누군가에게 욕이나 험한 말을 직접 보낸 적이 있다</t>
  </si>
  <si>
    <t>2) 누군가에 대한 욕이나 나쁜 소문을 다른 사람들에게 퍼뜨린 적이 있다</t>
  </si>
  <si>
    <t>3) 상대방이 싫다는데 계속해서 말, 글, 그림 등을 보내 스토킹 한 적이 있다</t>
  </si>
  <si>
    <t>4) 당사자가 원치 않는 사진, 엽사, 이미지, 동영상을 보내거나 몰래 다른 사람들에게 전달한 적이 있다</t>
  </si>
  <si>
    <t>5) 다른 사람 아이디를 도용해 가짜 계정을 만들거나 사이버상에서 그 사람인 것처럼 행동한 적이 있다</t>
  </si>
  <si>
    <t>6) 누군가의 개인정보(이름, 나이, 학교, 전화번호 등)를 인터넷에 올리는 신상털기를 한 적이 있다</t>
  </si>
  <si>
    <t>7) 게임머니, 게임아이템, 사이버머니, 돈을 뺏은 적이 있다</t>
  </si>
  <si>
    <t>8) 와이파이 셔틀이나 핫스팟 셔틀(데이터를 무료로 제공하게 시키는 것)을 시킨 적이 있다</t>
  </si>
  <si>
    <t>9) 상대방이 원하지 않는 성적인 글이나 말, 야한 사진, 동영상 등을 보낸 적이 있다</t>
  </si>
  <si>
    <t>10) 인터넷 대화방에서 누군가를 퇴장하지 못하도록 하거나 싫다는데 반복적으로 초대한 적이 있다</t>
  </si>
  <si>
    <t>11) 일부러 시비를 걸어 상대방이 먼저 욕하게 하거나 성격에 문제있어 보이게 유도한 적이 있다</t>
  </si>
  <si>
    <t>12) 스마트폰 등을 이용해 상대방이 원하지 않는 행동을 시키거나 (담배)심부름을 시킨 적이 있다</t>
  </si>
  <si>
    <t>13) 누군가를 괴롭힐 목적으로 저격글을 올려 여러 사람이 볼 수 있게 한 적이 있다</t>
  </si>
  <si>
    <t>14) 사이버 상에서 누군가를 집중공격을 한 적이 있다</t>
  </si>
  <si>
    <t>15) 대화방에 일부러 상대방을 초대하지 않거나 댓글이나 말을 무시한 적이 있다</t>
  </si>
  <si>
    <t xml:space="preserve">문 27) 또래 친구들과 비교해 볼 때 건강 상태가 어떻다고 생각합니까? </t>
  </si>
  <si>
    <t>문 28) 지난 일주일 간 땀이 날 정도로 운동한 시간은 몇 시간 정도입니까?</t>
  </si>
  <si>
    <t>문 29) 지난 일주일 간 아침식사를 한 날은 며칠입니까?</t>
  </si>
  <si>
    <t>문 30) 키와 몸무게는 어떻게 됩니까?</t>
  </si>
  <si>
    <t>SQ1) 귀하는 ‘이 조사표를 가지고 온 학생’과 어떤 관계이십니까? 아래 해당 번호에 ○표 해 주십시오.</t>
  </si>
  <si>
    <t>SQ2) 학생은 몇 년 몇 월에 태어났습니까? 실제 태어난 생년과 월을 아래에 써 주십시오.</t>
  </si>
  <si>
    <t xml:space="preserve">SQ3) 학생의 성별은 무엇입니까? </t>
  </si>
  <si>
    <t>HQ1) 귀하를 포함하여 귀댁에서 함께 생활하는 가구원은 모두 몇 명입니까?</t>
  </si>
  <si>
    <t>HQ2)현재 귀댁에 실제로 함께 살고 있는 가구원 모두에 대하여 다음 내용을 응답해 주십시오.</t>
  </si>
  <si>
    <t>&lt;가구대표 응답자와의 관계 보기&gt;</t>
  </si>
  <si>
    <t>① 가구대표 ② 가구대표의 배우자 ③ 가구대표의 자녀</t>
  </si>
  <si>
    <t>④ 자녀의 배우자 ⑤ 손자녀/그 배우자 ⑥ 부모/조부모</t>
  </si>
  <si>
    <t>⑦ 형제자매/그 배우자 ⑧ 형제자매의 자녀 ⑨ 기타 친인척</t>
  </si>
  <si>
    <t>⑩ 동거인(친구, 가사도우미 등 비혈연)</t>
  </si>
  <si>
    <t>번호</t>
  </si>
  <si>
    <t>가구대표 응답자와의 관계</t>
  </si>
  <si>
    <t>실제 생년․월(양력)</t>
  </si>
  <si>
    <t>① 남 ② 여</t>
  </si>
  <si>
    <t>① 가구대표</t>
  </si>
  <si>
    <t xml:space="preserve">      년      월</t>
  </si>
  <si>
    <t>문 1) 조사에 참여하는 청소년(자녀 또는 피양육자)의 출생지는 어디입니까?</t>
  </si>
  <si>
    <t>문 2) 조사에 참여하는 청소년(자녀 또는 피양육자)과 함께 살고 있는 가구원의 구성은 어떻게 됩니까?</t>
  </si>
  <si>
    <t>☞ 부  모：자녀 또는 피양육자의 아버지나 어머니</t>
  </si>
  <si>
    <t xml:space="preserve">    조부모：자녀 또는 피양육자의 (외)할머니나 (외)할아버지</t>
  </si>
  <si>
    <t>문 3) 조사에 참여하는 청소년(자녀 또는 피양육자)은 지난 1년간 사교육을 받은 경험이 있습니까?</t>
  </si>
  <si>
    <t>1. 예</t>
  </si>
  <si>
    <t>2. 아니오</t>
  </si>
  <si>
    <t>&lt;문3 ①예 응답자&gt;</t>
  </si>
  <si>
    <t>문3-1) 지난 1년간 사교육을 받은 경험이 있는 경우, 받은 이유를 중요한 순서대로 1순위와 2순위로 응답해 주십시오.</t>
  </si>
  <si>
    <t xml:space="preserve">사교육을 받은 이유 </t>
  </si>
  <si>
    <t xml:space="preserve">&lt;보기 항목&gt; </t>
  </si>
  <si>
    <t>1. 상급 학교 진학을 위해</t>
  </si>
  <si>
    <t>2. 대부분의 학생들이 사교육을 받으므로</t>
  </si>
  <si>
    <t>3. 선행 학습을 하기 위해</t>
  </si>
  <si>
    <t>4. 학교 수업 보충 차원으로</t>
  </si>
  <si>
    <t>5. 학교 성적의 향상을 위해</t>
  </si>
  <si>
    <t>6. 취미 활동이나 자기 개발을 하기 위해</t>
  </si>
  <si>
    <t>7. 하교 후 돌봐 줄 사람이 마땅치 않아서</t>
  </si>
  <si>
    <t xml:space="preserve">8. 기타 </t>
  </si>
  <si>
    <t xml:space="preserve">문3-2) 지난 1년간 사교육을 받은 경험이 있는 경우, 월평균 교육비를 응답해 주십시오. </t>
  </si>
  <si>
    <t>문3-3) 지난 1년간 사교육을 받은 경험이 없는 경우, 받지 않은 이유를 중요한 순서대로 1순위와 2순위로 응답해 주십시오.</t>
  </si>
  <si>
    <t>1. 학교 수업만으로도 충분해서</t>
  </si>
  <si>
    <t>2. 스스로 공부하는 습관을 갖도록 하기 위해서</t>
  </si>
  <si>
    <t>3. 경제적 형편이 어려워서</t>
  </si>
  <si>
    <t>4. 마땅한 과외 교사나 학원을 찾지 못해서</t>
  </si>
  <si>
    <t>5. 사교육을 받아도 성적이 향상되지 않아서</t>
  </si>
  <si>
    <t>6. 사교육을 받을 시간이 부족해서</t>
  </si>
  <si>
    <t>7. 자녀가 원하지 않아서</t>
  </si>
  <si>
    <t>문 4) 다음 중 조사에 참여하는 청소년(자녀 또는 피양육자)에게 다음의 역할을 하는 가구원은 누구라고 생각하십니까?</t>
  </si>
  <si>
    <t>※ 조사 대상 자녀(또는 피양육자)와의 관계를 기준으로 응답해 주십시오.</t>
  </si>
  <si>
    <t>보호자
☞ 아래 &lt;보기 항목&gt; 중 선택</t>
  </si>
  <si>
    <t>자녀(또는 피양육자)의 주양육자
※ 주양육자：자녀양육에 시간과 노력 등을 가장 많이 들이는 사람</t>
  </si>
  <si>
    <t>보호자</t>
  </si>
  <si>
    <t>1. 어머니</t>
  </si>
  <si>
    <t>2. 아버지</t>
  </si>
  <si>
    <t>3. (외)할머니</t>
  </si>
  <si>
    <t>4. (외)할아버지</t>
  </si>
  <si>
    <t>5. 형제자매</t>
  </si>
  <si>
    <t>6. 기타 친인척</t>
  </si>
  <si>
    <t>7. 기타(적어 주세요：             )</t>
  </si>
  <si>
    <t>문 5) 귀하는 조사에 참여하는 청소년(자녀 또는 피양육자)과 하루에 얼마나 시간을 함께 보내십니까? 평일과 주말로 구분하여 기입해 주십시오.</t>
  </si>
  <si>
    <t>5a) 평일(하루 평균)</t>
  </si>
  <si>
    <t>5b) 주말(하루 평균)</t>
  </si>
  <si>
    <t>문 6) 귀하는 조사에 참여하는 청소년(자녀 또는 피양육자)의 지난 학기(2018년도 1학기) 전 과목 성적이 다음 중 어디에 해당한다고 생각하십니까?</t>
  </si>
  <si>
    <t>문 7) 귀하는 조사에 참여하는 청소년(자녀 또는 피양육자)의 지난 학기(2018년도 1학기) 학교성적에 대해 얼마나 만족하십니까?</t>
  </si>
  <si>
    <t>문 8) 귀하는 조사에 참여하는 청소년(자녀 또는 피양육자)의 지난 학기(2018년도 1학기) 학교생활에 대해 얼마나 만족하십니까?</t>
  </si>
  <si>
    <t>문 9) 귀하는 전반적으로 자녀가 어느 정도 수준까지 공부하기를 원하십니까?</t>
  </si>
  <si>
    <t>“지금부터는 귀하 본인에 대한 질문입니다. 귀하 본인의 상황을 기준으로 말씀해 주십시오.”</t>
  </si>
  <si>
    <t>문 10) 귀하는 스마트폰을 사용합니까?</t>
  </si>
  <si>
    <t>문 10-1) ([문10]에서 ①, ② 에 응답한 사람만) 귀하는 스마트폰을 얼마나 자주 사용합니까?</t>
  </si>
  <si>
    <t>문 10-2) ([문10]에서 ①, ② 에 응답한 사람만) 귀하는 스마트폰 이용에 대해 자신이 어떻게 느끼고 있는지 응답해 주십시오.</t>
  </si>
  <si>
    <t>1) 스마트폰의 지나친 사용으로 업무능률이 떨어진다</t>
  </si>
  <si>
    <t>문 11) 현재 귀하의 생활에 대해 어떻게 생각하는지에 대한 질문입니다. 다음 각 문항에 대하여 귀하에게 해당되는 항목에 응답해 주십시오.</t>
  </si>
  <si>
    <t>문 12a) 아래 문항을 읽고 귀하를 가장 잘 설명한다고 생각하는 항목에 응답해 주십시오.</t>
  </si>
  <si>
    <t>문 12b) 아래 문항을 읽고 귀하를 가장 잘 설명한다고 생각하는 항목에 응답해 주십시오.</t>
  </si>
  <si>
    <t>문 13) 다음 각 문항에 대하여 자신에게 해당되는 항목에 응답해 주십시오.</t>
  </si>
  <si>
    <t>문 14) 본인을 잘 표현하는 단어를 원하는 만큼 자유롭게 선택해 주십시오.</t>
  </si>
  <si>
    <t>문 15) 다음 각 문항에 대해 평소 본인의 생각과 가장 가깝다고 생각되는 곳에 응답해 주십시오.</t>
  </si>
  <si>
    <t>문 16) 귀하는 동년배와 비교했을 때, 건강 상태가 어떻다고 생각하십니까?</t>
  </si>
  <si>
    <t>문 17) 귀하는 지난 일주일 간 땀이 날 정도로 운동한 시간은 몇 시간 정도입니까?</t>
  </si>
  <si>
    <t>문 18) 귀하는 지난 일주일 간 아침식사를 한 날은 며칠입니까?</t>
  </si>
  <si>
    <t>문 19) 키와 몸무게는 어떻게 됩니까?</t>
  </si>
  <si>
    <t>문 20) 귀하의 출생지는 어디입니까?</t>
  </si>
  <si>
    <t>문 21) 조사에 참여하는 청소년(자녀 또는 피양육자)의 부모님(부모님이 안 계신 경우 보호자)의 최종 학력은 어떻게 됩니까?(중간에 학교를 그만 둔 경우는 '졸업' 이 아닙니다.)</t>
  </si>
  <si>
    <t>구분</t>
  </si>
  <si>
    <t>2~3년제 
대학 졸업</t>
  </si>
  <si>
    <t>4년제 
대학 졸업</t>
  </si>
  <si>
    <t>대학원 졸업
(석사·박사</t>
  </si>
  <si>
    <t>⑩</t>
  </si>
  <si>
    <t>보호자(부모님이 안 계신 경우)</t>
  </si>
  <si>
    <t>문 22) 조사에 참여하는 청소년(자녀 또는 피양육자)의 부모님(부모님이 안 계신 경우 보호자)은 지난 일주일 동안 수입을 목적으로 1시간 이상 일을 하셨습니까? 
          또는 돈을 받지 않고 가족이 경영하는 사업체나 농장 등에서 18시간 이상 일을 하셨습니까?</t>
  </si>
  <si>
    <t>※부업, 아르바이트 등 수입이 있는 일을 1시간 이상 했거나 일시적이 병, 사고 또는 연(휴)가, 육아, 노사분규, 사업부진, 조업중단 등으로 일시휴직 중이신 분도 ‘1. 예’에 해당됩니다.</t>
  </si>
  <si>
    <t>해당 없음</t>
  </si>
  <si>
    <t>문 22-1)조사에 참여하는 청소년(자녀 또는 피양육자)의 부모님(부모님이 안 계신 경우 보호자)의 직업은 다음중 어디에 해당됩니까?</t>
  </si>
  <si>
    <t>전문가 및 
관련 종사자</t>
  </si>
  <si>
    <t>농립어업 
숙련 종사자</t>
  </si>
  <si>
    <t>단순 노무 
종사자</t>
  </si>
  <si>
    <t>직업 군인</t>
  </si>
  <si>
    <t>⑨</t>
  </si>
  <si>
    <t>⑪</t>
  </si>
  <si>
    <t>문 23) 귀 댁의 월평균 가구소득은 얼마입니까?</t>
  </si>
  <si>
    <t>※ 가구소득은 전 가구원의 근로소득, 사업소득, 자본소득, 이전소득, 비경상소득 등의 합계입니다.</t>
  </si>
  <si>
    <t>1. 소득 없음</t>
  </si>
  <si>
    <t>2. 100만 원 미만</t>
  </si>
  <si>
    <t>3. 100만 원 이상~200만 원 미만</t>
  </si>
  <si>
    <t>4. 200만 원 이상~300만 원 미만</t>
  </si>
  <si>
    <t>5. 300만 원 이상~400만 원 미만</t>
  </si>
  <si>
    <t>6. 400만 원 이상~500만 원 미만</t>
  </si>
  <si>
    <t>7. 500만 원 이상~600만 원 미만</t>
  </si>
  <si>
    <t>8. 600만 원 이상~700만 원 미만</t>
  </si>
  <si>
    <t>9. 700만 원 이상~800만 원 미만</t>
  </si>
  <si>
    <t>10. 800만 원 이상~900만 원 미만</t>
  </si>
  <si>
    <t>11. 900만 원 이상~1,000만 원 미만</t>
  </si>
  <si>
    <t>12. 1,000만 원 이상</t>
  </si>
  <si>
    <t>문 24) 귀 댁의 가정 형편(경제수준)은 다음 중 어디에 해당한다고 생각하십니까?</t>
  </si>
  <si>
    <t>(※가구대표는 귀댁을 대표해서 응답해 주시는 귀하를 뜻합니다. 가구주 여부는 관계 없습니다)</t>
  </si>
  <si>
    <t>변수명</t>
    <phoneticPr fontId="1" type="noConversion"/>
  </si>
  <si>
    <t>변수값</t>
    <phoneticPr fontId="1" type="noConversion"/>
  </si>
  <si>
    <t>하이퍼링크</t>
    <phoneticPr fontId="1" type="noConversion"/>
  </si>
  <si>
    <t>• 보호자 조사문항은 P로 시작</t>
    <phoneticPr fontId="1" type="noConversion"/>
  </si>
  <si>
    <t>제1차조사(2018)</t>
    <phoneticPr fontId="1" type="noConversion"/>
  </si>
  <si>
    <t>전체</t>
    <phoneticPr fontId="1" type="noConversion"/>
  </si>
  <si>
    <t>값설명</t>
    <phoneticPr fontId="1" type="noConversion"/>
  </si>
  <si>
    <t>초4 코호트</t>
    <phoneticPr fontId="1" type="noConversion"/>
  </si>
  <si>
    <t>중1 코호트</t>
    <phoneticPr fontId="1" type="noConversion"/>
  </si>
  <si>
    <t>• ≥0 : 범주가 없는 개방형 숫자 유형의 변수값</t>
    <phoneticPr fontId="1" type="noConversion"/>
  </si>
  <si>
    <t xml:space="preserve">• . : 결측치/응답사항 없음 </t>
    <phoneticPr fontId="1" type="noConversion"/>
  </si>
  <si>
    <t>• 9999 : 무응답</t>
    <phoneticPr fontId="1" type="noConversion"/>
  </si>
  <si>
    <t>w1</t>
    <phoneticPr fontId="1" type="noConversion"/>
  </si>
  <si>
    <t>! 시트명 변경 시 하이퍼링크가 작동하지 않음</t>
    <phoneticPr fontId="1" type="noConversion"/>
  </si>
  <si>
    <t>! 시트명 변경 시 하이퍼링크가 작동하지 않음</t>
    <phoneticPr fontId="1" type="noConversion"/>
  </si>
  <si>
    <t>! 시트명 변경 시 하이퍼링크가 작동하지 않음</t>
    <phoneticPr fontId="1" type="noConversion"/>
  </si>
  <si>
    <t>데이터 세트</t>
    <phoneticPr fontId="1" type="noConversion"/>
  </si>
  <si>
    <t>SCLID</t>
    <phoneticPr fontId="1" type="noConversion"/>
  </si>
  <si>
    <t>시/도(학교 기준)</t>
    <phoneticPr fontId="1" type="noConversion"/>
  </si>
  <si>
    <t>시/도(거주지 기준)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</si>
  <si>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</si>
  <si>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</si>
  <si>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</si>
  <si>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</si>
  <si>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</si>
  <si>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</si>
  <si>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</si>
  <si>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</si>
  <si>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</si>
  <si>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</si>
  <si>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</si>
  <si>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</si>
  <si>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</si>
  <si>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</si>
  <si>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</si>
  <si>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</si>
  <si>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</si>
  <si>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국내 시도</t>
    <phoneticPr fontId="1" type="noConversion"/>
  </si>
  <si>
    <t>국내 시도</t>
    <phoneticPr fontId="1" type="noConversion"/>
  </si>
  <si>
    <t>[자녀의 출생지]-국내 시/도</t>
    <phoneticPr fontId="1" type="noConversion"/>
  </si>
  <si>
    <t>[본인의 출생지]-국내 시/도</t>
    <phoneticPr fontId="1" type="noConversion"/>
  </si>
  <si>
    <t>HID</t>
    <phoneticPr fontId="1" type="noConversion"/>
  </si>
  <si>
    <t>PID</t>
    <phoneticPr fontId="1" type="noConversion"/>
  </si>
  <si>
    <t>가구 ID</t>
    <phoneticPr fontId="1" type="noConversion"/>
  </si>
  <si>
    <t>개인 ID</t>
    <phoneticPr fontId="1" type="noConversion"/>
  </si>
  <si>
    <t>Y</t>
    <phoneticPr fontId="1" type="noConversion"/>
  </si>
  <si>
    <t>Y</t>
    <phoneticPr fontId="1" type="noConversion"/>
  </si>
  <si>
    <t>가구 ID</t>
    <phoneticPr fontId="1" type="noConversion"/>
  </si>
  <si>
    <t>개인 ID</t>
    <phoneticPr fontId="1" type="noConversion"/>
  </si>
  <si>
    <t>값설명</t>
    <phoneticPr fontId="1" type="noConversion"/>
  </si>
  <si>
    <t>코호트 구분</t>
    <phoneticPr fontId="1" type="noConversion"/>
  </si>
  <si>
    <t>학교코드</t>
    <phoneticPr fontId="1" type="noConversion"/>
  </si>
  <si>
    <t>e4</t>
    <phoneticPr fontId="1" type="noConversion"/>
  </si>
  <si>
    <t>m1</t>
    <phoneticPr fontId="1" type="noConversion"/>
  </si>
  <si>
    <t>한국아동·청소년패널조사 2018 코드북 가이드</t>
    <phoneticPr fontId="1" type="noConversion"/>
  </si>
  <si>
    <t>Y</t>
    <phoneticPr fontId="1" type="noConversion"/>
  </si>
  <si>
    <t>Y</t>
    <phoneticPr fontId="1" type="noConversion"/>
  </si>
  <si>
    <t>쌍둥이 여부</t>
    <phoneticPr fontId="1" type="noConversion"/>
  </si>
  <si>
    <t>HID</t>
    <phoneticPr fontId="1" type="noConversion"/>
  </si>
  <si>
    <t>PID</t>
    <phoneticPr fontId="1" type="noConversion"/>
  </si>
  <si>
    <t>대영역</t>
    <phoneticPr fontId="1" type="noConversion"/>
  </si>
  <si>
    <t>중영역</t>
    <phoneticPr fontId="1" type="noConversion"/>
  </si>
  <si>
    <t>소영역</t>
    <phoneticPr fontId="1" type="noConversion"/>
  </si>
  <si>
    <t>하위요인</t>
    <phoneticPr fontId="1" type="noConversion"/>
  </si>
  <si>
    <t>조사항목</t>
    <phoneticPr fontId="1" type="noConversion"/>
  </si>
  <si>
    <t>[개인발달]</t>
  </si>
  <si>
    <t>[생활시간]</t>
  </si>
  <si>
    <t>[하루일과]</t>
  </si>
  <si>
    <t>[수면시간]</t>
  </si>
  <si>
    <t>[수면의 질]</t>
  </si>
  <si>
    <t>[부모님 대화시간]</t>
  </si>
  <si>
    <t>[학습시간]</t>
  </si>
  <si>
    <t>[여가시간]</t>
  </si>
  <si>
    <t>[지적발달]</t>
  </si>
  <si>
    <t>[학업성취]</t>
  </si>
  <si>
    <t>[전 교과 성취도의 주관적 평가]</t>
  </si>
  <si>
    <t>[학업성취 만족도]</t>
  </si>
  <si>
    <t>[학업태도]</t>
  </si>
  <si>
    <t>[학업 열의]</t>
  </si>
  <si>
    <t>[학업 무기력]</t>
  </si>
  <si>
    <t>[진로]</t>
  </si>
  <si>
    <t>[진로계획]</t>
  </si>
  <si>
    <t>[장래희망 교육수준]</t>
  </si>
  <si>
    <t>[장래직업 결정여부]</t>
  </si>
  <si>
    <t>[진로관]</t>
  </si>
  <si>
    <t>[진로 관련 대화 빈도]</t>
  </si>
  <si>
    <t>[사회/정서/역량발달]</t>
  </si>
  <si>
    <t>[만족도]</t>
  </si>
  <si>
    <t>[삶의 만족도]</t>
  </si>
  <si>
    <t>[행복]</t>
  </si>
  <si>
    <t>[행복감]</t>
  </si>
  <si>
    <t>[자아인식]</t>
  </si>
  <si>
    <t>[자아존중감]</t>
  </si>
  <si>
    <t>[정서문제]</t>
  </si>
  <si>
    <t>[주의집중]</t>
  </si>
  <si>
    <t>[공격성]</t>
  </si>
  <si>
    <t>[신체증상]</t>
  </si>
  <si>
    <t>[사회적 위축]</t>
  </si>
  <si>
    <t>[우울]</t>
  </si>
  <si>
    <t>[협동의식]</t>
  </si>
  <si>
    <t>[협동심]</t>
  </si>
  <si>
    <t>[창의성]</t>
  </si>
  <si>
    <t>[창의적 성격]</t>
  </si>
  <si>
    <t>[끈기]</t>
  </si>
  <si>
    <t>[그릿(Grit)]</t>
  </si>
  <si>
    <t>[비행]</t>
  </si>
  <si>
    <t>[비행Ⅰ]</t>
  </si>
  <si>
    <t>[현실비행 경험 유무 및 빈도]</t>
  </si>
  <si>
    <t>[비행Ⅱ]</t>
  </si>
  <si>
    <t>[사이버비행 경험 유무 및 빈도]</t>
  </si>
  <si>
    <t>[신체발달]</t>
  </si>
  <si>
    <t>[건강]</t>
  </si>
  <si>
    <t>[건강상태]</t>
  </si>
  <si>
    <t>[운동시간]</t>
  </si>
  <si>
    <t>[아침식사 횟수]</t>
  </si>
  <si>
    <t>[체격]</t>
  </si>
  <si>
    <t>[키]</t>
  </si>
  <si>
    <t>[몸무게]</t>
  </si>
  <si>
    <t>[발달환경]</t>
  </si>
  <si>
    <t>[매체]</t>
  </si>
  <si>
    <t>[스마트폰]</t>
  </si>
  <si>
    <t>[사용 여부]</t>
  </si>
  <si>
    <t>[사용 목적별 빈도]</t>
  </si>
  <si>
    <t>[의존도]</t>
  </si>
  <si>
    <t>[활동/문화환경]</t>
  </si>
  <si>
    <t>[청소년 활동]</t>
  </si>
  <si>
    <t>[연간 참여 횟수]</t>
  </si>
  <si>
    <t>[참여 만족도]</t>
  </si>
  <si>
    <t>[동아리 활동]</t>
  </si>
  <si>
    <t>[팬덤 활동]</t>
  </si>
  <si>
    <t>[선호 연예인/운동선수 유무]</t>
  </si>
  <si>
    <t>[팬덤 활동 빈도]</t>
  </si>
  <si>
    <t>[학교]</t>
  </si>
  <si>
    <t>[학교생활]</t>
  </si>
  <si>
    <t>[학교생활 만족도]</t>
  </si>
  <si>
    <t>[친구]</t>
  </si>
  <si>
    <t>[친구관계]</t>
  </si>
  <si>
    <t>[교사]</t>
  </si>
  <si>
    <t>[교사관계]</t>
  </si>
  <si>
    <t>[가정]</t>
  </si>
  <si>
    <t>[부모관계]</t>
  </si>
  <si>
    <t>[부모님과 함께 보내는 시간]</t>
  </si>
  <si>
    <t>[양육태도]</t>
  </si>
  <si>
    <t>[따스함]</t>
  </si>
  <si>
    <t>[거부]</t>
  </si>
  <si>
    <t>[자율성 지지]</t>
  </si>
  <si>
    <t>[강요]</t>
  </si>
  <si>
    <t>[구조제공]</t>
  </si>
  <si>
    <t>[비일관성]</t>
  </si>
  <si>
    <t>평일_기상(시)</t>
  </si>
  <si>
    <t>평일_기상(분)</t>
  </si>
  <si>
    <t>평일_취침(시)</t>
  </si>
  <si>
    <t>평일_취침(분)</t>
  </si>
  <si>
    <t>평일_수면의 질</t>
  </si>
  <si>
    <t>주말_기상(시)</t>
  </si>
  <si>
    <t>주말_기상(분)</t>
  </si>
  <si>
    <t>주말_취침(시)</t>
  </si>
  <si>
    <t>주말_취침(분)</t>
  </si>
  <si>
    <t>주말_수면의 질</t>
  </si>
  <si>
    <t>평일_부모님 대화시간</t>
  </si>
  <si>
    <t>주말_부모님 대화시간</t>
  </si>
  <si>
    <t>평일_학원 및 과외 시간</t>
  </si>
  <si>
    <t>주말_학원 및 과외 시간</t>
  </si>
  <si>
    <t>평일_인터넷 및 TV강의 시간</t>
  </si>
  <si>
    <t>주말_인터넷 및 TV강의 시간</t>
  </si>
  <si>
    <t>평일_방과 후 학교</t>
  </si>
  <si>
    <t>주말_방과 후 학교</t>
  </si>
  <si>
    <t>평일_스스로 공부하는 시간</t>
  </si>
  <si>
    <t>주말_스스로 공부하는 시간</t>
  </si>
  <si>
    <t>평일_독서 시간</t>
  </si>
  <si>
    <t>주말_독서 시간</t>
  </si>
  <si>
    <t>평일_운동 및 신체활동 시간</t>
  </si>
  <si>
    <t>주말_운동 및 신체활동 시간</t>
  </si>
  <si>
    <t>평일_스마트폰을 가지고 노는 시간</t>
  </si>
  <si>
    <t>주말_스마트폰을 가지고 노는 시간</t>
  </si>
  <si>
    <t>평일_컴퓨터를 가지고 노는 시간</t>
  </si>
  <si>
    <t>주말_컴퓨터를 가지고 노는 시간</t>
  </si>
  <si>
    <t>평일_TV를 시청하며 노는 시간</t>
  </si>
  <si>
    <t>주말_TV를 시청하며 노는 시간</t>
  </si>
  <si>
    <t>평일_이외에 친구들과 노는 시간</t>
  </si>
  <si>
    <t>주말_이외에 친구들과 노는 시간</t>
  </si>
  <si>
    <t>지난 학기 전 과목 성적 수준</t>
  </si>
  <si>
    <t>지난 학기 학교성적 만족 수준</t>
  </si>
  <si>
    <t>나는 공부를 시작하면 푹 빠진다</t>
  </si>
  <si>
    <t>향후 목표하는 학업 수준</t>
  </si>
  <si>
    <t>장래 희망직업 결정 여부</t>
  </si>
  <si>
    <t>형제ㆍ자매</t>
  </si>
  <si>
    <t>친척ㆍ친지</t>
  </si>
  <si>
    <t>기타 (적을 것)</t>
  </si>
  <si>
    <t>전반적으로 나는 …</t>
  </si>
  <si>
    <t>다른 사람과 비교했을 때 나는 …</t>
  </si>
  <si>
    <t>전반적으로 아주 행복한 사람들이 있다. 나는 …</t>
  </si>
  <si>
    <t>전반적으로 아주 불행한 사람들이 있다. 나는 …</t>
  </si>
  <si>
    <t>그룹활동을 할 때, 친구의 장점이나 능력을 적극적으로 알려준다</t>
  </si>
  <si>
    <t>그룹활동을 할 때, 친구가 어려워하면 기꺼이 돕는다</t>
  </si>
  <si>
    <t>그룹활동을 할 때, 친구들이 의견을 자유롭게 이야기하도록 분위기를 조성한다</t>
  </si>
  <si>
    <t>그룹활동을 할 때, 활용할 수 있는 새로운 방법을 제시한다</t>
  </si>
  <si>
    <t>그룹에서 하고있는 활동이 의미있는 일이라는 것을 친구에게 이야기 한다</t>
  </si>
  <si>
    <t>그룹활동을 할 때, 친구가 다양한 관점에서 생각할 수 있도록 도와준다</t>
  </si>
  <si>
    <t>그룹활동을 할 때, 나의 역할에 최선을 다한다</t>
  </si>
  <si>
    <t>그룹의 리더가 아니더라도 맡은 일보다 많은 일을 하여 그룹활동에 도움이 되고자 한다</t>
  </si>
  <si>
    <t>내가 속한 그룹에서 가치 있는 사람이 되기위해 능력을 최대한 발휘한다</t>
  </si>
  <si>
    <t>그룹에서 발생한 문제와 관련된 지식이나 정보를 친구들과 공유한다</t>
  </si>
  <si>
    <t>그룹의 문제해결을 위한 구체적인 계획이나 내용을 친구들과 공유한다</t>
  </si>
  <si>
    <t>그룹에서 발생한 문제를 친구들과 자주 이야기 한다</t>
  </si>
  <si>
    <t>그룹활동을 할 때, 중요한 사항이나 문제점이 생기면 친구들과 함께 해결한다</t>
  </si>
  <si>
    <t>그룹에서 발생한 문제에 대해 잘잘못을 따지기 보다는 해결하려고 노력한다</t>
  </si>
  <si>
    <t>기지가 있는 (재치있는, 임기응변의)</t>
  </si>
  <si>
    <t>술 마시기</t>
  </si>
  <si>
    <t>무단결석</t>
  </si>
  <si>
    <t>가출</t>
  </si>
  <si>
    <t>다른 사람 집단따돌림(왕따) 경험 여부_시키기</t>
  </si>
  <si>
    <t>건강상태 평가</t>
  </si>
  <si>
    <t>지난 일주일 간 땀이 날 정도로 운동한 시간</t>
  </si>
  <si>
    <t>지난 일주일 간 아침식사를 한 날</t>
  </si>
  <si>
    <t>스마트폰 사용 여부</t>
  </si>
  <si>
    <t>가족과의 통화</t>
  </si>
  <si>
    <t>가족과의 문자 메시지</t>
  </si>
  <si>
    <t>친구와의 통화</t>
  </si>
  <si>
    <t>친구와의 문자 메시지</t>
  </si>
  <si>
    <t>SNS 이용</t>
  </si>
  <si>
    <t>TV 및 동영상 시청</t>
  </si>
  <si>
    <t>정보 검색</t>
  </si>
  <si>
    <t>문서 보기</t>
  </si>
  <si>
    <t>문화예술 활동</t>
  </si>
  <si>
    <t>과학정보 활동</t>
  </si>
  <si>
    <t>모험개척 활동</t>
  </si>
  <si>
    <t>자원봉사 활동</t>
  </si>
  <si>
    <t>직업진로 활동</t>
  </si>
  <si>
    <t>국제교류 활동</t>
  </si>
  <si>
    <t>건강보건 활동</t>
  </si>
  <si>
    <t>자기(인성) 계발 활동</t>
  </si>
  <si>
    <t>환경보존 활동</t>
  </si>
  <si>
    <t>교내 공식 동아리</t>
  </si>
  <si>
    <t>교외 공식 동아리</t>
  </si>
  <si>
    <t>좋아하는 연예인, 운동선수 유무</t>
  </si>
  <si>
    <t>방송국이나 공연장, 영화관, 경기장, 행사장가기</t>
  </si>
  <si>
    <t>굿즈 만들기 또는 구입하기</t>
  </si>
  <si>
    <t>지난 학기 학교생활 만족 수준</t>
  </si>
  <si>
    <t>친구와 싸우면 잘 화해하지 않는다</t>
  </si>
  <si>
    <t>평일_시</t>
  </si>
  <si>
    <t>평일_분</t>
  </si>
  <si>
    <t>주말_시</t>
  </si>
  <si>
    <t>주말_분</t>
  </si>
  <si>
    <t>시/도(학교 기준)</t>
  </si>
  <si>
    <t>시/도(거주지 기준)</t>
  </si>
  <si>
    <t>쌍둥이 여부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</si>
  <si>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</si>
  <si>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</si>
  <si>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</si>
  <si>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</si>
  <si>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</si>
  <si>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[헌신]</t>
    <phoneticPr fontId="1" type="noConversion"/>
  </si>
  <si>
    <t>[헌신]</t>
    <phoneticPr fontId="1" type="noConversion"/>
  </si>
  <si>
    <t>[효능감]</t>
    <phoneticPr fontId="1" type="noConversion"/>
  </si>
  <si>
    <t>[몰두]</t>
    <phoneticPr fontId="1" type="noConversion"/>
  </si>
  <si>
    <t>[활기]</t>
    <phoneticPr fontId="1" type="noConversion"/>
  </si>
  <si>
    <t>[통제신념 결여]</t>
    <phoneticPr fontId="1" type="noConversion"/>
  </si>
  <si>
    <t>[통제신념 결여]</t>
    <phoneticPr fontId="1" type="noConversion"/>
  </si>
  <si>
    <t>[학습동기 결여]</t>
    <phoneticPr fontId="1" type="noConversion"/>
  </si>
  <si>
    <t>[긍정정서 결여]</t>
    <phoneticPr fontId="1" type="noConversion"/>
  </si>
  <si>
    <t>[능동수행 결여]</t>
    <phoneticPr fontId="1" type="noConversion"/>
  </si>
  <si>
    <t>[능동수행 결여]</t>
    <phoneticPr fontId="1" type="noConversion"/>
  </si>
  <si>
    <t>[일상생활 장애]</t>
  </si>
  <si>
    <t>[일상생활 장애]</t>
    <phoneticPr fontId="1" type="noConversion"/>
  </si>
  <si>
    <t>[가상세계 지향성]</t>
    <phoneticPr fontId="1" type="noConversion"/>
  </si>
  <si>
    <t>[금단]</t>
    <phoneticPr fontId="1" type="noConversion"/>
  </si>
  <si>
    <t>[내성]</t>
    <phoneticPr fontId="1" type="noConversion"/>
  </si>
  <si>
    <t>[긍정적 관계]</t>
    <phoneticPr fontId="1" type="noConversion"/>
  </si>
  <si>
    <t>[부정적 관계]</t>
    <phoneticPr fontId="1" type="noConversion"/>
  </si>
  <si>
    <t>[부정적 관계]</t>
    <phoneticPr fontId="1" type="noConversion"/>
  </si>
  <si>
    <t>[신뢰성]</t>
    <phoneticPr fontId="1" type="noConversion"/>
  </si>
  <si>
    <t>[민감성]</t>
    <phoneticPr fontId="1" type="noConversion"/>
  </si>
  <si>
    <t>[수용성]</t>
    <phoneticPr fontId="1" type="noConversion"/>
  </si>
  <si>
    <t>[접근가능성]</t>
    <phoneticPr fontId="1" type="noConversion"/>
  </si>
  <si>
    <t>대영역</t>
    <phoneticPr fontId="1" type="noConversion"/>
  </si>
  <si>
    <t>소영역</t>
    <phoneticPr fontId="1" type="noConversion"/>
  </si>
  <si>
    <t>가구 ID</t>
    <phoneticPr fontId="1" type="noConversion"/>
  </si>
  <si>
    <t>학교코드</t>
    <phoneticPr fontId="1" type="noConversion"/>
  </si>
  <si>
    <t>코호트 구분</t>
    <phoneticPr fontId="1" type="noConversion"/>
  </si>
  <si>
    <t>시/도(거주지 기준)</t>
    <phoneticPr fontId="1" type="noConversion"/>
  </si>
  <si>
    <t>개인 ID</t>
    <phoneticPr fontId="1" type="noConversion"/>
  </si>
  <si>
    <t>시/도(학교 기준)</t>
    <phoneticPr fontId="1" type="noConversion"/>
  </si>
  <si>
    <t>쌍둥이 여부</t>
    <phoneticPr fontId="1" type="noConversion"/>
  </si>
  <si>
    <t>평일_기상(시)</t>
    <phoneticPr fontId="1" type="noConversion"/>
  </si>
  <si>
    <t>아침에 일어나면 수업 들으러 학교에 가고 싶다</t>
    <phoneticPr fontId="1" type="noConversion"/>
  </si>
  <si>
    <t>공부를 하다보면 나도 모르게 집중할 때가 있다</t>
    <phoneticPr fontId="1" type="noConversion"/>
  </si>
  <si>
    <t>중영역</t>
    <phoneticPr fontId="1" type="noConversion"/>
  </si>
  <si>
    <t>[따스함]</t>
    <phoneticPr fontId="1" type="noConversion"/>
  </si>
  <si>
    <t>[아동·청소년 발달 배경]</t>
  </si>
  <si>
    <t>[구성원]</t>
  </si>
  <si>
    <t>[가구 구성원]</t>
  </si>
  <si>
    <t>[구성원 역할]</t>
  </si>
  <si>
    <t>[역할별 구성원]</t>
  </si>
  <si>
    <t>[보호자 관점]</t>
  </si>
  <si>
    <t>[자녀의 학업성취 정도]</t>
  </si>
  <si>
    <t>[자녀의 학교성적 만족도]</t>
  </si>
  <si>
    <t>[자녀의 학교생활 만족도]</t>
  </si>
  <si>
    <t>[자녀의 장래희망 교육수준]</t>
  </si>
  <si>
    <t>[조사대상 관계]</t>
  </si>
  <si>
    <t>[교육]</t>
  </si>
  <si>
    <t>[사교육]</t>
  </si>
  <si>
    <t>[보호자 개인]</t>
  </si>
  <si>
    <t>[사회/정서/역량]</t>
  </si>
  <si>
    <t>[신체]</t>
  </si>
  <si>
    <t>가구원수</t>
  </si>
  <si>
    <t>가구원 상세1 관계</t>
  </si>
  <si>
    <t>가구원 상세1 성별</t>
  </si>
  <si>
    <t>가구원 상세1 생년</t>
  </si>
  <si>
    <t>가구원 상세1 생월</t>
  </si>
  <si>
    <t>가구원 상세2 관계</t>
  </si>
  <si>
    <t>가구원 상세2 성별</t>
  </si>
  <si>
    <t>가구원 상세2 생년</t>
  </si>
  <si>
    <t>가구원 상세2 생월</t>
  </si>
  <si>
    <t>가구원 상세3 관계</t>
  </si>
  <si>
    <t>가구원 상세3 성별</t>
  </si>
  <si>
    <t>가구원 상세3 생년</t>
  </si>
  <si>
    <t>가구원 상세3 생월</t>
  </si>
  <si>
    <t>가구원 상세4 관계</t>
  </si>
  <si>
    <t>가구원 상세4 성별</t>
  </si>
  <si>
    <t>가구원 상세4 생년</t>
  </si>
  <si>
    <t>가구원 상세4 생월</t>
  </si>
  <si>
    <t>가구원 상세5 관계</t>
  </si>
  <si>
    <t>가구원 상세5 성별</t>
  </si>
  <si>
    <t>가구원 상세5 생년</t>
  </si>
  <si>
    <t>가구원 상세5 생월</t>
  </si>
  <si>
    <t>가구원 상세6 관계</t>
  </si>
  <si>
    <t>가구원 상세6 성별</t>
  </si>
  <si>
    <t>가구원 상세6 생년</t>
  </si>
  <si>
    <t>가구원 상세6 생월</t>
  </si>
  <si>
    <t>가구원 상세7 관계</t>
  </si>
  <si>
    <t>가구원 상세7 성별</t>
  </si>
  <si>
    <t>가구원 상세7 생년</t>
  </si>
  <si>
    <t>가구원 상세7 생월</t>
  </si>
  <si>
    <t>가구원 상세8 관계</t>
  </si>
  <si>
    <t>가구원 상세8 성별</t>
  </si>
  <si>
    <t>가구원 상세8 생년</t>
  </si>
  <si>
    <t>가구원 상세8 생월</t>
  </si>
  <si>
    <t>자녀와 함께사는 가구원</t>
  </si>
  <si>
    <t>자녀와 함께사는 가구원 기타</t>
  </si>
  <si>
    <t>자녀의 주양육자</t>
  </si>
  <si>
    <t>자녀의 주양육자 기타</t>
  </si>
  <si>
    <t>자녀의 학교 관련 일정을 주로 관리하는 보호자</t>
  </si>
  <si>
    <t>자녀의 학교 관련 일정을 주로 관리하는 보호자 기타</t>
  </si>
  <si>
    <t>자녀의 사교육 관련 일정을 주로 관리하는 보호자</t>
  </si>
  <si>
    <t>자녀의 사교육 관련 일정을 주로 관리하는 보호자 기타</t>
  </si>
  <si>
    <t>자녀의 교우관계 형성에 주로 관여하는 보호자</t>
  </si>
  <si>
    <t>자녀의 교우관계 형성에 주로 관여하는 보호자 기타</t>
  </si>
  <si>
    <t>사교육여부</t>
  </si>
  <si>
    <t>사교육을 받은 이유 1순위</t>
  </si>
  <si>
    <t>사교육을 받은 이유 2순위</t>
  </si>
  <si>
    <t>사교육을 받은 이유 기타</t>
  </si>
  <si>
    <t>월 평균 사교육비</t>
  </si>
  <si>
    <t>사교육을 받지 않은 이유 1순위</t>
  </si>
  <si>
    <t>사교육을 받지 않은 이유 2순위</t>
  </si>
  <si>
    <t>사교육을 받지 않은 이유 기타</t>
  </si>
  <si>
    <t>-</t>
    <phoneticPr fontId="1" type="noConversion"/>
  </si>
  <si>
    <t>-</t>
    <phoneticPr fontId="1" type="noConversion"/>
  </si>
  <si>
    <t>[집단촉진]</t>
    <phoneticPr fontId="1" type="noConversion"/>
  </si>
  <si>
    <t>[집단촉진]</t>
    <phoneticPr fontId="1" type="noConversion"/>
  </si>
  <si>
    <t>[팔로워십]</t>
    <phoneticPr fontId="1" type="noConversion"/>
  </si>
  <si>
    <t>[갈등문제해결]</t>
    <phoneticPr fontId="1" type="noConversion"/>
  </si>
  <si>
    <t>[자녀의 출생지]</t>
  </si>
  <si>
    <t>[본인의 출생지]</t>
  </si>
  <si>
    <t>[최종학력]</t>
  </si>
  <si>
    <t>[주간노동시간]</t>
  </si>
  <si>
    <t>[직업]</t>
  </si>
  <si>
    <t>[배경변인]</t>
    <phoneticPr fontId="1" type="noConversion"/>
  </si>
  <si>
    <t>[배경변인]</t>
    <phoneticPr fontId="1" type="noConversion"/>
  </si>
  <si>
    <t>-</t>
    <phoneticPr fontId="1" type="noConversion"/>
  </si>
  <si>
    <t>-</t>
    <phoneticPr fontId="1" type="noConversion"/>
  </si>
  <si>
    <t>[배경변인]</t>
    <phoneticPr fontId="1" type="noConversion"/>
  </si>
  <si>
    <t>-</t>
    <phoneticPr fontId="1" type="noConversion"/>
  </si>
  <si>
    <t>[배경변인]</t>
    <phoneticPr fontId="1" type="noConversion"/>
  </si>
  <si>
    <t>-</t>
    <phoneticPr fontId="1" type="noConversion"/>
  </si>
  <si>
    <t>학업 또는 업무 관련</t>
    <phoneticPr fontId="1" type="noConversion"/>
  </si>
  <si>
    <t>평일_시</t>
    <phoneticPr fontId="1" type="noConversion"/>
  </si>
  <si>
    <t>평일_분</t>
    <phoneticPr fontId="1" type="noConversion"/>
  </si>
  <si>
    <t>주말_시</t>
    <phoneticPr fontId="1" type="noConversion"/>
  </si>
  <si>
    <t>주말_분</t>
    <phoneticPr fontId="1" type="noConversion"/>
  </si>
  <si>
    <t>[첫째 형제/자매와 함께 보내는 시간]</t>
    <phoneticPr fontId="1" type="noConversion"/>
  </si>
  <si>
    <t>[둘째 형제/자매와 함께 보내는 시간]</t>
    <phoneticPr fontId="1" type="noConversion"/>
  </si>
  <si>
    <t>[셋째 형제/자매와 함께 보내는 시간]</t>
    <phoneticPr fontId="1" type="noConversion"/>
  </si>
  <si>
    <t>[넷째 형제/자매와 함께 보내는 시간]</t>
    <phoneticPr fontId="1" type="noConversion"/>
  </si>
  <si>
    <t>[다섯째 형제/자매와 함께 보내는 시간]</t>
    <phoneticPr fontId="1" type="noConversion"/>
  </si>
  <si>
    <t>[발달환경]</t>
    <phoneticPr fontId="1" type="noConversion"/>
  </si>
  <si>
    <t>[발달환경]</t>
    <phoneticPr fontId="1" type="noConversion"/>
  </si>
  <si>
    <t>몽정/생리 시작 시기</t>
    <phoneticPr fontId="1" type="noConversion"/>
  </si>
  <si>
    <t>[형제/자매수]</t>
    <phoneticPr fontId="1" type="noConversion"/>
  </si>
  <si>
    <t>[형제자매]</t>
    <phoneticPr fontId="1" type="noConversion"/>
  </si>
  <si>
    <t>[형제자매]</t>
    <phoneticPr fontId="1" type="noConversion"/>
  </si>
  <si>
    <t>[형제자매]</t>
    <phoneticPr fontId="1" type="noConversion"/>
  </si>
  <si>
    <t>[형제자매]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</si>
  <si>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</si>
  <si>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</si>
  <si>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</si>
  <si>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명</t>
    <phoneticPr fontId="1" type="noConversion"/>
  </si>
  <si>
    <t>번째</t>
    <phoneticPr fontId="1" type="noConversion"/>
  </si>
  <si>
    <t>[몽정/생리]</t>
    <phoneticPr fontId="1" type="noConversion"/>
  </si>
  <si>
    <t>[신체]</t>
    <phoneticPr fontId="1" type="noConversion"/>
  </si>
  <si>
    <t>[신체]</t>
    <phoneticPr fontId="1" type="noConversion"/>
  </si>
  <si>
    <t>[신체]</t>
    <phoneticPr fontId="1" type="noConversion"/>
  </si>
  <si>
    <t>-</t>
    <phoneticPr fontId="1" type="noConversion"/>
  </si>
  <si>
    <t>-</t>
    <phoneticPr fontId="1" type="noConversion"/>
  </si>
  <si>
    <t>몽정/생리 시작 시기</t>
    <phoneticPr fontId="1" type="noConversion"/>
  </si>
  <si>
    <t>아직 시작되지 않았다</t>
  </si>
  <si>
    <t>몽정/초경이 시작된 시기는 언제입니까? 해당되는 시기에 응답해 주십시오.</t>
    <phoneticPr fontId="1" type="noConversion"/>
  </si>
  <si>
    <t>초등학교 1-3학년</t>
    <phoneticPr fontId="1" type="noConversion"/>
  </si>
  <si>
    <t>-</t>
    <phoneticPr fontId="1" type="noConversion"/>
  </si>
  <si>
    <t>[개인발달]</t>
    <phoneticPr fontId="1" type="noConversion"/>
  </si>
  <si>
    <t>[신체발달]</t>
    <phoneticPr fontId="1" type="noConversion"/>
  </si>
  <si>
    <t>형제자매는 총 몇 명입니까? 본인을 포함하여 총 몇 명인지 말씀해 주십시오.</t>
    <phoneticPr fontId="1" type="noConversion"/>
  </si>
  <si>
    <t>형제자매는 총 몇 명입니까? 본인을 포함하여 총 몇 명인지 말씀해 주십시오.</t>
    <phoneticPr fontId="1" type="noConversion"/>
  </si>
  <si>
    <t>명</t>
    <phoneticPr fontId="1" type="noConversion"/>
  </si>
  <si>
    <t>형제자매 순서에서 본인일 경우 본인을 선택해 주십시오.</t>
    <phoneticPr fontId="1" type="noConversion"/>
  </si>
  <si>
    <t>시간</t>
    <phoneticPr fontId="1" type="noConversion"/>
  </si>
  <si>
    <t>분</t>
    <phoneticPr fontId="1" type="noConversion"/>
  </si>
  <si>
    <t>시간</t>
    <phoneticPr fontId="1" type="noConversion"/>
  </si>
  <si>
    <t>분</t>
    <phoneticPr fontId="1" type="noConversion"/>
  </si>
  <si>
    <t>분</t>
    <phoneticPr fontId="1" type="noConversion"/>
  </si>
  <si>
    <t>분</t>
    <phoneticPr fontId="1" type="noConversion"/>
  </si>
  <si>
    <t>시간</t>
    <phoneticPr fontId="1" type="noConversion"/>
  </si>
  <si>
    <t>시간</t>
    <phoneticPr fontId="1" type="noConversion"/>
  </si>
  <si>
    <t>-</t>
    <phoneticPr fontId="1" type="noConversion"/>
  </si>
  <si>
    <t>명</t>
    <phoneticPr fontId="1" type="noConversion"/>
  </si>
  <si>
    <t>귀하는 형제자매와 하루에 얼마나 시간을 함께 보내십니까? 평일과 주말로 구분하여 기입해 주십시오.</t>
    <phoneticPr fontId="1" type="noConversion"/>
  </si>
  <si>
    <t>첫째 형제자매</t>
    <phoneticPr fontId="1" type="noConversion"/>
  </si>
  <si>
    <t>둘째 형제자매</t>
    <phoneticPr fontId="1" type="noConversion"/>
  </si>
  <si>
    <t>셋째 형제자매</t>
    <phoneticPr fontId="1" type="noConversion"/>
  </si>
  <si>
    <t>넷째 형제자매</t>
    <phoneticPr fontId="1" type="noConversion"/>
  </si>
  <si>
    <t>다섯째 형제자매</t>
    <phoneticPr fontId="1" type="noConversion"/>
  </si>
  <si>
    <t>학업 또는 업무 관련</t>
    <phoneticPr fontId="1" type="noConversion"/>
  </si>
  <si>
    <t>아버지</t>
    <phoneticPr fontId="1" type="noConversion"/>
  </si>
  <si>
    <t>어머니</t>
    <phoneticPr fontId="1" type="noConversion"/>
  </si>
  <si>
    <t>형제자매</t>
    <phoneticPr fontId="1" type="noConversion"/>
  </si>
  <si>
    <t>할아버지</t>
    <phoneticPr fontId="1" type="noConversion"/>
  </si>
  <si>
    <t>할머니</t>
    <phoneticPr fontId="1" type="noConversion"/>
  </si>
  <si>
    <t>아버지의 형제자매 및 배우자(삼촌, 숙모, 고모 등)</t>
    <phoneticPr fontId="1" type="noConversion"/>
  </si>
  <si>
    <t>어머니의 형제자매 및 배우자(외삼촌, 외숙모, 이모 등)</t>
    <phoneticPr fontId="1" type="noConversion"/>
  </si>
  <si>
    <t>사촌(아버지/어머니 형제자매의 자녀)</t>
    <phoneticPr fontId="1" type="noConversion"/>
  </si>
  <si>
    <t>동거인(친구, 가사도우미 등 비혈연)</t>
    <phoneticPr fontId="1" type="noConversion"/>
  </si>
  <si>
    <t>기타(관계:                    )</t>
    <phoneticPr fontId="1" type="noConversion"/>
  </si>
  <si>
    <t>자녀가 조사에 참여하는 청소년에 해당하는 경우 원패널을 선택해 주십시오.</t>
    <phoneticPr fontId="1" type="noConversion"/>
  </si>
  <si>
    <t>번째(형제자매 중 원패널의 순서)</t>
    <phoneticPr fontId="1" type="noConversion"/>
  </si>
  <si>
    <t>귀하는 자녀와 얼마나 시간을 함께 보내십니까? 각 자녀별로 평일과 주말로 구분하여 기입해 주십시오.</t>
    <phoneticPr fontId="1" type="noConversion"/>
  </si>
  <si>
    <t>둘째 자녀</t>
    <phoneticPr fontId="1" type="noConversion"/>
  </si>
  <si>
    <t>셋째 자녀</t>
    <phoneticPr fontId="1" type="noConversion"/>
  </si>
  <si>
    <t>넷째 자녀</t>
    <phoneticPr fontId="1" type="noConversion"/>
  </si>
  <si>
    <t>다섯째 자녀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</si>
  <si>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</si>
  <si>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</si>
  <si>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</si>
  <si>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[자녀]</t>
    <phoneticPr fontId="1" type="noConversion"/>
  </si>
  <si>
    <t>[자녀]</t>
    <phoneticPr fontId="1" type="noConversion"/>
  </si>
  <si>
    <t>[자녀 수]</t>
    <phoneticPr fontId="1" type="noConversion"/>
  </si>
  <si>
    <t>명</t>
    <phoneticPr fontId="1" type="noConversion"/>
  </si>
  <si>
    <t>번째</t>
    <phoneticPr fontId="1" type="noConversion"/>
  </si>
  <si>
    <t>[자녀와 함께 보내는 시간-둘째 자녀]</t>
    <phoneticPr fontId="1" type="noConversion"/>
  </si>
  <si>
    <t>[자녀와 함께 보내는 시간-셋째 자녀]</t>
    <phoneticPr fontId="1" type="noConversion"/>
  </si>
  <si>
    <t>[자녀와 함께 보내는 시간-넷째 자녀]</t>
    <phoneticPr fontId="1" type="noConversion"/>
  </si>
  <si>
    <t>[자녀와 함께 보내는 시간-다섯째 자녀]</t>
    <phoneticPr fontId="1" type="noConversion"/>
  </si>
  <si>
    <t>-</t>
    <phoneticPr fontId="1" type="noConversion"/>
  </si>
  <si>
    <t>학업 또는 업무 관련</t>
    <phoneticPr fontId="1" type="noConversion"/>
  </si>
  <si>
    <t>12) 학업 또는 업무 관련</t>
  </si>
  <si>
    <t>첫째 형제자매</t>
  </si>
  <si>
    <t>□ 본인</t>
  </si>
  <si>
    <t>둘째 형제자매</t>
  </si>
  <si>
    <t>셋째 형제자매</t>
  </si>
  <si>
    <t>15-1a) 평일(하루 평균)</t>
  </si>
  <si>
    <t>15-1b) 주말(하루 평균)</t>
  </si>
  <si>
    <t>문 16) 부모님(부모님이 안 계신 경우에는 보호자)을 어떻게 생각하는지에 대한 질문입니다.다음 각 문항에 대하여 자신에게 해당되는 항목에 응답해 주십시오.</t>
    <phoneticPr fontId="1" type="noConversion"/>
  </si>
  <si>
    <t>문 17) 다음 각 문항에 대하여 자신에게 해당되는 항목에 응답해 주십시오.</t>
    <phoneticPr fontId="1" type="noConversion"/>
  </si>
  <si>
    <t>문 18) 다음 각 문항에 대하여 자신에게 해당되는 항목에 응답해 주십시오.</t>
    <phoneticPr fontId="1" type="noConversion"/>
  </si>
  <si>
    <t xml:space="preserve">문 19) 또래 친구들과 비교해 볼 때 건강 상태가 어떻다고 생각합니까? </t>
    <phoneticPr fontId="1" type="noConversion"/>
  </si>
  <si>
    <t>문 20) 지난 일주일 간 땀이 날 정도로 운동한 시간은 몇 시간 정도입니까?</t>
    <phoneticPr fontId="1" type="noConversion"/>
  </si>
  <si>
    <t>문 21) 지난 일주일 간 아침식사를 한 날은 며칠입니까?</t>
    <phoneticPr fontId="1" type="noConversion"/>
  </si>
  <si>
    <t>문 22) 키와 몸무게는 어떻게 됩니까?</t>
    <phoneticPr fontId="1" type="noConversion"/>
  </si>
  <si>
    <t>문 23) 부모님(부모님이 안 계신 경우에는 보호자)을 어떻게 생각하는지에 대한 질문입니다.다음 각 문항에 대하여 자신에게 해당되는 항목에 응답해 주십시오.</t>
    <phoneticPr fontId="1" type="noConversion"/>
  </si>
  <si>
    <t>문 24) 다음 각 문항에 대하여 자신에게 해당되는 항목에 응답해 주십시오.</t>
    <phoneticPr fontId="1" type="noConversion"/>
  </si>
  <si>
    <t>문 25) 다음 각 문항에 대하여 자신에게 해당되는 항목에 응답해 주십시오.</t>
    <phoneticPr fontId="1" type="noConversion"/>
  </si>
  <si>
    <t>문 26) 지난 1년 동안 다음과 같은 행동을 한 경험이 있습니까? 다음 각 문항에 대하여 자신에게 해당되는 항목에 응답해 주십시오.</t>
    <phoneticPr fontId="1" type="noConversion"/>
  </si>
  <si>
    <t>문 27) 지난 1년 동안 스마트폰이나 컴퓨터(인터넷) 상에서 다음과 같은 행동을 한 적이 있습니까? 다음 각 문항에 대하여 자신에게 해당되는 항목에 응답해 주십시오.</t>
    <phoneticPr fontId="1" type="noConversion"/>
  </si>
  <si>
    <t xml:space="preserve">문 28) 또래 친구들과 비교해 볼 때 건강 상태가 어떻다고 생각합니까? </t>
    <phoneticPr fontId="1" type="noConversion"/>
  </si>
  <si>
    <t>문 29) 지난 일주일 간 땀이 날 정도로 운동한 시간은 몇 시간 정도입니까?</t>
    <phoneticPr fontId="1" type="noConversion"/>
  </si>
  <si>
    <t>문 30) 지난 일주일 간 아침식사를 한 날은 며칠입니까?</t>
    <phoneticPr fontId="1" type="noConversion"/>
  </si>
  <si>
    <t>문 31) 키와 몸무게는 어떻게 됩니까?</t>
    <phoneticPr fontId="1" type="noConversion"/>
  </si>
  <si>
    <t xml:space="preserve">SQ3) 조사에 참여하는 청소년(자녀 또는 피양육자)의 성별은 무엇입니까? </t>
    <phoneticPr fontId="1" type="noConversion"/>
  </si>
  <si>
    <t>HQ1) 조사에 참여하는 청소년(자녀 또는 피양육자)를 포함하여 귀댁에서 함께 생활하는 가구원은 모두 몇 명입니까?</t>
    <phoneticPr fontId="1" type="noConversion"/>
  </si>
  <si>
    <t>HQ2)현재 귀댁에 실제로 함께 살고 있는 가구원 모두에 대하여 조사에 참여하는 청소년(자녀 또는 피양육자, 원패널)과의 관계를 기준으로 다음 내용을 응답해 주십시오.</t>
    <phoneticPr fontId="1" type="noConversion"/>
  </si>
  <si>
    <t>HQ2-1) 이 분은 조사에 참여하는 청소년과 어떤 관계이십니까?</t>
    <phoneticPr fontId="1" type="noConversion"/>
  </si>
  <si>
    <t>HQ2-2) 이 분의 성별은 어떻게 됩니까?</t>
    <phoneticPr fontId="1" type="noConversion"/>
  </si>
  <si>
    <t>HQ2-3) 이 분의 생년월은 어떻게 됩니까?</t>
    <phoneticPr fontId="1" type="noConversion"/>
  </si>
  <si>
    <t>&lt;조사에 참여하는 청소년(자녀 또는 피양육자, 원패널)과의 관계 보기&gt;</t>
    <phoneticPr fontId="1" type="noConversion"/>
  </si>
  <si>
    <t>⑥ 아버지의 형제자매 및 배우자(삼촌, 숙모, 고모 등)</t>
  </si>
  <si>
    <t>⑦ 어머니의 형제자매 및 배우자(외삼촌, 외숙모, 이모 등)</t>
  </si>
  <si>
    <t>⑧ 사촌(아버지/어머니 형제자매의 자녀)</t>
  </si>
  <si>
    <t>⑨ 동거인(친구, 가사도우미 등 비혈연)</t>
  </si>
  <si>
    <t>⑩ 기타(관계:             )</t>
    <phoneticPr fontId="1" type="noConversion"/>
  </si>
  <si>
    <t xml:space="preserve">① 아버지   ②   어머니   ③ 형제자매   ④ 할아버지   ⑤ 할머니 </t>
    <phoneticPr fontId="1" type="noConversion"/>
  </si>
  <si>
    <t>조사에 참여하는 청소년
(자녀 또는 피양육자, 원패널)과의 관계</t>
    <phoneticPr fontId="1" type="noConversion"/>
  </si>
  <si>
    <t>문 5)귀하의 자녀는 총 몇 명입니까?</t>
    <phoneticPr fontId="1" type="noConversion"/>
  </si>
  <si>
    <t>문 5-1)귀하는 자녀와 얼마나 시간을 함께 보내십니까? 각 자녀별로 평일과 주말로 구분하여 기입해 주십시오. 자녀가 조사에 참여하는 청소년(자녀 또는 피양육자, 원패널)에 해당하는 경우 원패널을 선택해 주십시오.</t>
    <phoneticPr fontId="1" type="noConversion"/>
  </si>
  <si>
    <t>※함께 보내는 시간에는 식사, 학습활동, 여가활동, 대화시간 등이 모두 포함됩니다. 단, 수면 시간은 제외됩니다. 평균적으로 함께 보내는 시간을 계산해서 기입해 주십시오.</t>
    <phoneticPr fontId="1" type="noConversion"/>
  </si>
  <si>
    <t>첫째 자녀</t>
    <phoneticPr fontId="1" type="noConversion"/>
  </si>
  <si>
    <t>둘째 자녀</t>
    <phoneticPr fontId="1" type="noConversion"/>
  </si>
  <si>
    <t>셋째 자녀</t>
    <phoneticPr fontId="1" type="noConversion"/>
  </si>
  <si>
    <t>5-1a) 평일(하루 평균)</t>
    <phoneticPr fontId="1" type="noConversion"/>
  </si>
  <si>
    <t>5-1b) 주말(하루 평균)</t>
    <phoneticPr fontId="1" type="noConversion"/>
  </si>
  <si>
    <t>□ 원패널</t>
    <phoneticPr fontId="1" type="noConversion"/>
  </si>
  <si>
    <t>□ 원패널</t>
    <phoneticPr fontId="1" type="noConversion"/>
  </si>
  <si>
    <t>22-1a) 평일(하루 평균)</t>
    <phoneticPr fontId="1" type="noConversion"/>
  </si>
  <si>
    <t>22-1b) 주말(하루 평균)</t>
    <phoneticPr fontId="1" type="noConversion"/>
  </si>
  <si>
    <t>문 6) 귀하는 조사에 참여하는 청소년(자녀 또는 피양육자)의 지난 학기(2019년도 1학기) 전 과목 성적이 다음 중 어디에 해당한다고 생각하십니까?</t>
    <phoneticPr fontId="1" type="noConversion"/>
  </si>
  <si>
    <t>문 7) 귀하는 조사에 참여하는 청소년(자녀 또는 피양육자)의 지난 학기(2019년도 1학기) 학교성적에 대해 얼마나 만족하십니까?</t>
    <phoneticPr fontId="1" type="noConversion"/>
  </si>
  <si>
    <t>문 8) 귀하는 조사에 참여하는 청소년(자녀 또는 피양육자)의 지난 학기(2019년도 1학기) 학교생활에 대해 얼마나 만족하십니까?</t>
    <phoneticPr fontId="1" type="noConversion"/>
  </si>
  <si>
    <t>문 1) 지난 학기(2019년 1학기) 중 하루를 어떻게 보냈는지에 대한 질문입니다. 각 항목별로 응답해 주십시오.</t>
    <phoneticPr fontId="1" type="noConversion"/>
  </si>
  <si>
    <t>문 6) 지난 학기(2019년도 1학기) 전 과목 성적은 다음 중 어디에 해당한다고 생각하십니까?</t>
    <phoneticPr fontId="1" type="noConversion"/>
  </si>
  <si>
    <t>문 7) 지난 학기(2019년도 1학기) 학교성적에 대해 얼마나 만족하십니까?</t>
    <phoneticPr fontId="1" type="noConversion"/>
  </si>
  <si>
    <t>문 8) 지난 학기(2019년도 1학기) 학교생활에 얼마나 만족하십니까?</t>
    <phoneticPr fontId="1" type="noConversion"/>
  </si>
  <si>
    <t>문 3) 지난 학기(2019년도 1학기) 전 과목 성적은 다음 중 어디에 해당한다고 생각하십니까?</t>
    <phoneticPr fontId="1" type="noConversion"/>
  </si>
  <si>
    <t>문 5) 지난 학기(2019년도 1학기) 학교생활에 얼마나 만족하십니까?</t>
    <phoneticPr fontId="1" type="noConversion"/>
  </si>
  <si>
    <t>w2</t>
    <phoneticPr fontId="1" type="noConversion"/>
  </si>
  <si>
    <t>Y</t>
    <phoneticPr fontId="1" type="noConversion"/>
  </si>
  <si>
    <t>Y</t>
    <phoneticPr fontId="1" type="noConversion"/>
  </si>
  <si>
    <t>w2</t>
    <phoneticPr fontId="1" type="noConversion"/>
  </si>
  <si>
    <t>넷째 형제자매</t>
    <phoneticPr fontId="1" type="noConversion"/>
  </si>
  <si>
    <t>다섯째 형제자매</t>
    <phoneticPr fontId="1" type="noConversion"/>
  </si>
  <si>
    <r>
      <rPr>
        <u/>
        <sz val="11"/>
        <color theme="1"/>
        <rFont val="KoPub돋움체 Light"/>
        <family val="3"/>
        <charset val="129"/>
      </rPr>
      <t xml:space="preserve">        </t>
    </r>
    <r>
      <rPr>
        <sz val="11"/>
        <color theme="1"/>
        <rFont val="KoPub돋움체 Light"/>
        <family val="3"/>
        <charset val="129"/>
      </rPr>
      <t>년</t>
    </r>
  </si>
  <si>
    <r>
      <rPr>
        <u/>
        <sz val="11"/>
        <color theme="1"/>
        <rFont val="KoPub돋움체 Light"/>
        <family val="3"/>
        <charset val="129"/>
      </rPr>
      <t xml:space="preserve">        </t>
    </r>
    <r>
      <rPr>
        <sz val="11"/>
        <color theme="1"/>
        <rFont val="KoPub돋움체 Light"/>
        <family val="3"/>
        <charset val="129"/>
      </rPr>
      <t>월</t>
    </r>
  </si>
  <si>
    <r>
      <t xml:space="preserve"> </t>
    </r>
    <r>
      <rPr>
        <u/>
        <sz val="11"/>
        <color rgb="FF000000"/>
        <rFont val="KoPub돋움체 Light"/>
        <family val="3"/>
        <charset val="129"/>
      </rPr>
      <t xml:space="preserve">        </t>
    </r>
    <r>
      <rPr>
        <sz val="11"/>
        <color rgb="FF000000"/>
        <rFont val="KoPub돋움체 Light"/>
        <family val="3"/>
        <charset val="129"/>
      </rPr>
      <t>시</t>
    </r>
  </si>
  <si>
    <r>
      <t xml:space="preserve"> </t>
    </r>
    <r>
      <rPr>
        <u/>
        <sz val="11"/>
        <color rgb="FF000000"/>
        <rFont val="KoPub돋움체 Light"/>
        <family val="3"/>
        <charset val="129"/>
      </rPr>
      <t xml:space="preserve">        </t>
    </r>
    <r>
      <rPr>
        <sz val="11"/>
        <color rgb="FF000000"/>
        <rFont val="KoPub돋움체 Light"/>
        <family val="3"/>
        <charset val="129"/>
      </rPr>
      <t>분</t>
    </r>
  </si>
  <si>
    <r>
      <t xml:space="preserve">1. </t>
    </r>
    <r>
      <rPr>
        <sz val="11"/>
        <color rgb="FF000000"/>
        <rFont val="KoPub돋움체 Light"/>
        <family val="3"/>
        <charset val="129"/>
      </rPr>
      <t>예. 나의 스마트폰이 있음</t>
    </r>
  </si>
  <si>
    <r>
      <t xml:space="preserve">2. </t>
    </r>
    <r>
      <rPr>
        <sz val="11"/>
        <color rgb="FF000000"/>
        <rFont val="KoPub돋움체 Light"/>
        <family val="3"/>
        <charset val="129"/>
      </rPr>
      <t>예. 나의 스마트폰은 없지만 부모님 등 다른 가족의 것을 이용함</t>
    </r>
  </si>
  <si>
    <r>
      <t xml:space="preserve">3. </t>
    </r>
    <r>
      <rPr>
        <sz val="11"/>
        <color rgb="FF000000"/>
        <rFont val="KoPub돋움체 Light"/>
        <family val="3"/>
        <charset val="129"/>
      </rPr>
      <t xml:space="preserve">아니오. 스마트폰을 사용하지 않음 ☞ </t>
    </r>
    <r>
      <rPr>
        <b/>
        <sz val="11"/>
        <color rgb="FF000000"/>
        <rFont val="KoPub돋움체 Light"/>
        <family val="3"/>
        <charset val="129"/>
      </rPr>
      <t xml:space="preserve">[문3]으로 이동 </t>
    </r>
  </si>
  <si>
    <r>
      <t xml:space="preserve">문 </t>
    </r>
    <r>
      <rPr>
        <sz val="11"/>
        <color rgb="FF000000"/>
        <rFont val="KoPub돋움체 Light"/>
        <family val="3"/>
        <charset val="129"/>
      </rPr>
      <t>2-1) ([문2]에서 ①, ② 에 응답한 사람만) 스마트폰을 얼마나 자주 사용합니까?</t>
    </r>
  </si>
  <si>
    <r>
      <t>12) 기타(적을 것：</t>
    </r>
    <r>
      <rPr>
        <u/>
        <sz val="11"/>
        <color rgb="FF000000"/>
        <rFont val="KoPub돋움체 Light"/>
        <family val="3"/>
        <charset val="129"/>
      </rPr>
      <t xml:space="preserve"> </t>
    </r>
    <r>
      <rPr>
        <sz val="11"/>
        <color rgb="FF000000"/>
        <rFont val="KoPub돋움체 Light"/>
        <family val="3"/>
        <charset val="129"/>
      </rPr>
      <t>)</t>
    </r>
  </si>
  <si>
    <r>
      <t>3) 형제</t>
    </r>
    <r>
      <rPr>
        <sz val="11"/>
        <color rgb="FF000000"/>
        <rFont val="Times New Roman"/>
        <family val="1"/>
      </rPr>
      <t>‧</t>
    </r>
    <r>
      <rPr>
        <sz val="11"/>
        <color rgb="FF000000"/>
        <rFont val="KoPub돋움체 Light"/>
        <family val="3"/>
        <charset val="129"/>
      </rPr>
      <t>자매</t>
    </r>
  </si>
  <si>
    <r>
      <t>4) 친척</t>
    </r>
    <r>
      <rPr>
        <sz val="11"/>
        <color rgb="FF000000"/>
        <rFont val="Times New Roman"/>
        <family val="1"/>
      </rPr>
      <t>‧</t>
    </r>
    <r>
      <rPr>
        <sz val="11"/>
        <color rgb="FF000000"/>
        <rFont val="KoPub돋움체 Light"/>
        <family val="3"/>
        <charset val="129"/>
      </rPr>
      <t>친지</t>
    </r>
  </si>
  <si>
    <r>
      <t>8) 기타 (적을 것：</t>
    </r>
    <r>
      <rPr>
        <u/>
        <sz val="11"/>
        <color rgb="FF000000"/>
        <rFont val="KoPub돋움체 Light"/>
        <family val="3"/>
        <charset val="129"/>
      </rPr>
      <t xml:space="preserve"> </t>
    </r>
    <r>
      <rPr>
        <sz val="11"/>
        <color rgb="FF000000"/>
        <rFont val="KoPub돋움체 Light"/>
        <family val="3"/>
        <charset val="129"/>
      </rPr>
      <t>)</t>
    </r>
  </si>
  <si>
    <r>
      <t xml:space="preserve"> </t>
    </r>
    <r>
      <rPr>
        <u/>
        <sz val="11"/>
        <color theme="1"/>
        <rFont val="KoPub돋움체 Light"/>
        <family val="3"/>
        <charset val="129"/>
      </rPr>
      <t xml:space="preserve">        </t>
    </r>
    <r>
      <rPr>
        <sz val="11"/>
        <color theme="1"/>
        <rFont val="KoPub돋움체 Light"/>
        <family val="3"/>
        <charset val="129"/>
      </rPr>
      <t>시간</t>
    </r>
  </si>
  <si>
    <r>
      <t xml:space="preserve"> </t>
    </r>
    <r>
      <rPr>
        <u/>
        <sz val="11"/>
        <color theme="1"/>
        <rFont val="KoPub돋움체 Light"/>
        <family val="3"/>
        <charset val="129"/>
      </rPr>
      <t xml:space="preserve">        </t>
    </r>
    <r>
      <rPr>
        <sz val="11"/>
        <color theme="1"/>
        <rFont val="KoPub돋움체 Light"/>
        <family val="3"/>
        <charset val="129"/>
      </rPr>
      <t>시간</t>
    </r>
    <r>
      <rPr>
        <u/>
        <sz val="11"/>
        <color theme="1"/>
        <rFont val="KoPub돋움체 Medium"/>
        <family val="1"/>
        <charset val="129"/>
      </rPr>
      <t/>
    </r>
  </si>
  <si>
    <r>
      <t xml:space="preserve"> </t>
    </r>
    <r>
      <rPr>
        <u/>
        <sz val="11"/>
        <color theme="1"/>
        <rFont val="KoPub돋움체 Light"/>
        <family val="3"/>
        <charset val="129"/>
      </rPr>
      <t xml:space="preserve">        </t>
    </r>
    <r>
      <rPr>
        <sz val="11"/>
        <color theme="1"/>
        <rFont val="KoPub돋움체 Light"/>
        <family val="3"/>
        <charset val="129"/>
      </rPr>
      <t>분</t>
    </r>
  </si>
  <si>
    <r>
      <rPr>
        <u/>
        <sz val="11"/>
        <color theme="1"/>
        <rFont val="KoPub돋움체 Light"/>
        <family val="3"/>
        <charset val="129"/>
      </rPr>
      <t xml:space="preserve">           </t>
    </r>
    <r>
      <rPr>
        <sz val="11"/>
        <color theme="1"/>
        <rFont val="KoPub돋움체 Light"/>
        <family val="3"/>
        <charset val="129"/>
      </rPr>
      <t>일</t>
    </r>
  </si>
  <si>
    <r>
      <t>키：</t>
    </r>
    <r>
      <rPr>
        <u/>
        <sz val="11"/>
        <color theme="1"/>
        <rFont val="KoPub돋움체 Light"/>
        <family val="3"/>
        <charset val="129"/>
      </rPr>
      <t xml:space="preserve">       </t>
    </r>
    <r>
      <rPr>
        <sz val="11"/>
        <color theme="1"/>
        <rFont val="KoPub돋움체 Light"/>
        <family val="3"/>
        <charset val="129"/>
      </rPr>
      <t>cm</t>
    </r>
  </si>
  <si>
    <r>
      <t>몸무게：</t>
    </r>
    <r>
      <rPr>
        <u/>
        <sz val="11"/>
        <color theme="1"/>
        <rFont val="KoPub돋움체 Light"/>
        <family val="3"/>
        <charset val="129"/>
      </rPr>
      <t xml:space="preserve">       </t>
    </r>
    <r>
      <rPr>
        <sz val="11"/>
        <color theme="1"/>
        <rFont val="KoPub돋움체 Light"/>
        <family val="3"/>
        <charset val="129"/>
      </rPr>
      <t>kg</t>
    </r>
  </si>
  <si>
    <r>
      <t xml:space="preserve">문 </t>
    </r>
    <r>
      <rPr>
        <sz val="11"/>
        <color rgb="FF000000"/>
        <rFont val="KoPub돋움체 Light"/>
        <family val="3"/>
        <charset val="129"/>
      </rPr>
      <t>4) 지난 학기(2018년도 1학기) 학교성적에 대해 얼마나 만족하십니까?</t>
    </r>
  </si>
  <si>
    <r>
      <t>학생은 몇 년 몇 월에 태어났습니까</t>
    </r>
    <r>
      <rPr>
        <sz val="11"/>
        <color rgb="FF000000"/>
        <rFont val="KoPub돋움체 Light"/>
        <family val="3"/>
        <charset val="129"/>
      </rPr>
      <t>? 실제 태어난 생년과 월을 아래에 써 주십시오.</t>
    </r>
  </si>
  <si>
    <r>
      <t>학생의 성별은 무엇입니까</t>
    </r>
    <r>
      <rPr>
        <sz val="11"/>
        <color rgb="FF000000"/>
        <rFont val="KoPub돋움체 Light"/>
        <family val="3"/>
        <charset val="129"/>
      </rPr>
      <t>?</t>
    </r>
  </si>
  <si>
    <r>
      <t>지난 학기</t>
    </r>
    <r>
      <rPr>
        <sz val="11"/>
        <color rgb="FF000000"/>
        <rFont val="KoPub돋움체 Light"/>
        <family val="3"/>
        <charset val="129"/>
      </rPr>
      <t>(2018년 1학기) 중 하루를 어떻게 보냈는지에 대한 질문입니다. 각 항목별로 응답해 주십시오.</t>
    </r>
  </si>
  <si>
    <r>
      <t>부모님</t>
    </r>
    <r>
      <rPr>
        <sz val="11"/>
        <color rgb="FF000000"/>
        <rFont val="KoPub돋움체 Light"/>
        <family val="3"/>
        <charset val="129"/>
      </rPr>
      <t>(또는 양육자)과 대화시간</t>
    </r>
  </si>
  <si>
    <r>
      <t>형제</t>
    </r>
    <r>
      <rPr>
        <sz val="11"/>
        <color rgb="FF000000"/>
        <rFont val="Times New Roman"/>
        <family val="1"/>
      </rPr>
      <t>‧</t>
    </r>
    <r>
      <rPr>
        <sz val="11"/>
        <color rgb="FF000000"/>
        <rFont val="KoPub돋움체 Light"/>
        <family val="3"/>
        <charset val="129"/>
      </rPr>
      <t>자매</t>
    </r>
  </si>
  <si>
    <r>
      <t>친척</t>
    </r>
    <r>
      <rPr>
        <sz val="11"/>
        <color rgb="FF000000"/>
        <rFont val="Times New Roman"/>
        <family val="1"/>
      </rPr>
      <t>‧</t>
    </r>
    <r>
      <rPr>
        <sz val="11"/>
        <color rgb="FF000000"/>
        <rFont val="KoPub돋움체 Light"/>
        <family val="3"/>
        <charset val="129"/>
      </rPr>
      <t>친지</t>
    </r>
  </si>
  <si>
    <r>
      <t>나는 문제를 해결하다가 어려움이 생겼을 때 크게 좌절하지 않으며</t>
    </r>
    <r>
      <rPr>
        <sz val="9"/>
        <color rgb="FF000000"/>
        <rFont val="KoPub돋움체 Light"/>
        <family val="3"/>
        <charset val="129"/>
      </rPr>
      <t>, 다른 사람들보다 빨리 좌절에서 벗어난다</t>
    </r>
  </si>
  <si>
    <r>
      <t xml:space="preserve">초등학교 </t>
    </r>
    <r>
      <rPr>
        <sz val="11"/>
        <color rgb="FF000000"/>
        <rFont val="KoPub돋움체 Light"/>
        <family val="3"/>
        <charset val="129"/>
      </rPr>
      <t>4학년</t>
    </r>
  </si>
  <si>
    <r>
      <t xml:space="preserve">초등학교 </t>
    </r>
    <r>
      <rPr>
        <sz val="11"/>
        <color rgb="FF000000"/>
        <rFont val="KoPub돋움체 Light"/>
        <family val="3"/>
        <charset val="129"/>
      </rPr>
      <t>5학년</t>
    </r>
  </si>
  <si>
    <r>
      <t xml:space="preserve">초등학교 </t>
    </r>
    <r>
      <rPr>
        <sz val="11"/>
        <color rgb="FF000000"/>
        <rFont val="KoPub돋움체 Light"/>
        <family val="3"/>
        <charset val="129"/>
      </rPr>
      <t>6학년</t>
    </r>
  </si>
  <si>
    <r>
      <t xml:space="preserve">중학교 </t>
    </r>
    <r>
      <rPr>
        <sz val="11"/>
        <color rgb="FF000000"/>
        <rFont val="KoPub돋움체 Light"/>
        <family val="3"/>
        <charset val="129"/>
      </rPr>
      <t>1학년</t>
    </r>
  </si>
  <si>
    <r>
      <t xml:space="preserve">중학교 </t>
    </r>
    <r>
      <rPr>
        <sz val="11"/>
        <color rgb="FF000000"/>
        <rFont val="KoPub돋움체 Light"/>
        <family val="3"/>
        <charset val="129"/>
      </rPr>
      <t>2학년</t>
    </r>
  </si>
  <si>
    <r>
      <t xml:space="preserve">중학교 </t>
    </r>
    <r>
      <rPr>
        <sz val="11"/>
        <color rgb="FF000000"/>
        <rFont val="KoPub돋움체 Light"/>
        <family val="3"/>
        <charset val="129"/>
      </rPr>
      <t>3학년</t>
    </r>
  </si>
  <si>
    <r>
      <t xml:space="preserve">고등학교 </t>
    </r>
    <r>
      <rPr>
        <sz val="11"/>
        <color rgb="FF000000"/>
        <rFont val="KoPub돋움체 Light"/>
        <family val="3"/>
        <charset val="129"/>
      </rPr>
      <t xml:space="preserve">1학년 </t>
    </r>
  </si>
  <si>
    <r>
      <t xml:space="preserve">고등학교 </t>
    </r>
    <r>
      <rPr>
        <sz val="11"/>
        <color rgb="FF000000"/>
        <rFont val="KoPub돋움체 Light"/>
        <family val="3"/>
        <charset val="129"/>
      </rPr>
      <t>2학년 이후</t>
    </r>
  </si>
  <si>
    <r>
      <t>지난 1년 동안</t>
    </r>
    <r>
      <rPr>
        <sz val="11"/>
        <color rgb="FF000000"/>
        <rFont val="KoPub돋움체 Light"/>
        <family val="3"/>
        <charset val="129"/>
      </rPr>
      <t xml:space="preserve"> 다음과 같은 체험활동에 참여한 적이 있습니까? 참여한 적이 있다면 총 참여 횟수는 얼마나 되는지, 또한 참여 경험이 얼마나 만족스러웠는지 응답해 주십시오.</t>
    </r>
  </si>
  <si>
    <r>
      <t>귀하의 자녀는 총 몇 명입니까</t>
    </r>
    <r>
      <rPr>
        <sz val="10"/>
        <color rgb="FF000000"/>
        <rFont val="KoPub돋움체 Light"/>
        <family val="3"/>
        <charset val="129"/>
      </rPr>
      <t>?</t>
    </r>
  </si>
  <si>
    <r>
      <t>2~3</t>
    </r>
    <r>
      <rPr>
        <sz val="11"/>
        <color rgb="FF000000"/>
        <rFont val="KoPub돋움체 Light"/>
        <family val="3"/>
        <charset val="129"/>
      </rPr>
      <t>년제 대학 졸업</t>
    </r>
  </si>
  <si>
    <r>
      <t>4</t>
    </r>
    <r>
      <rPr>
        <sz val="11"/>
        <color rgb="FF000000"/>
        <rFont val="KoPub돋움체 Light"/>
        <family val="3"/>
        <charset val="129"/>
      </rPr>
      <t>년제 대학 졸업</t>
    </r>
  </si>
  <si>
    <r>
      <t xml:space="preserve">대학원 졸업 </t>
    </r>
    <r>
      <rPr>
        <sz val="11"/>
        <color rgb="FF000000"/>
        <rFont val="KoPub돋움체 Light"/>
        <family val="3"/>
        <charset val="129"/>
      </rPr>
      <t>(석사·박사)</t>
    </r>
  </si>
  <si>
    <r>
      <t xml:space="preserve">1. </t>
    </r>
    <r>
      <rPr>
        <sz val="11"/>
        <color rgb="FF000000"/>
        <rFont val="KoPub돋움체 Light"/>
        <family val="3"/>
        <charset val="129"/>
      </rPr>
      <t>어머니</t>
    </r>
  </si>
  <si>
    <r>
      <t xml:space="preserve">2. </t>
    </r>
    <r>
      <rPr>
        <sz val="11"/>
        <color rgb="FF000000"/>
        <rFont val="KoPub돋움체 Light"/>
        <family val="3"/>
        <charset val="129"/>
      </rPr>
      <t>아버지</t>
    </r>
  </si>
  <si>
    <r>
      <t>3. (</t>
    </r>
    <r>
      <rPr>
        <sz val="11"/>
        <color rgb="FF000000"/>
        <rFont val="KoPub돋움체 Light"/>
        <family val="3"/>
        <charset val="129"/>
      </rPr>
      <t>외)할머니</t>
    </r>
  </si>
  <si>
    <r>
      <t>4. (</t>
    </r>
    <r>
      <rPr>
        <sz val="11"/>
        <color rgb="FF000000"/>
        <rFont val="KoPub돋움체 Light"/>
        <family val="3"/>
        <charset val="129"/>
      </rPr>
      <t>외)할아버지</t>
    </r>
  </si>
  <si>
    <r>
      <t xml:space="preserve">5. </t>
    </r>
    <r>
      <rPr>
        <sz val="11"/>
        <color rgb="FF000000"/>
        <rFont val="KoPub돋움체 Light"/>
        <family val="3"/>
        <charset val="129"/>
      </rPr>
      <t xml:space="preserve">형제/자매 </t>
    </r>
  </si>
  <si>
    <r>
      <t xml:space="preserve">6. </t>
    </r>
    <r>
      <rPr>
        <sz val="11"/>
        <color rgb="FF000000"/>
        <rFont val="KoPub돋움체 Light"/>
        <family val="3"/>
        <charset val="129"/>
      </rPr>
      <t>친인척</t>
    </r>
  </si>
  <si>
    <r>
      <t xml:space="preserve">7. </t>
    </r>
    <r>
      <rPr>
        <sz val="11"/>
        <color rgb="FF000000"/>
        <rFont val="KoPub돋움체 Light"/>
        <family val="3"/>
        <charset val="129"/>
      </rPr>
      <t>비혈연</t>
    </r>
  </si>
  <si>
    <r>
      <t xml:space="preserve">1. 국내( </t>
    </r>
    <r>
      <rPr>
        <u/>
        <sz val="11"/>
        <color theme="1"/>
        <rFont val="KoPub돋움체 Light"/>
        <family val="3"/>
        <charset val="129"/>
      </rPr>
      <t xml:space="preserve">         </t>
    </r>
    <r>
      <rPr>
        <sz val="11"/>
        <color theme="1"/>
        <rFont val="KoPub돋움체 Light"/>
        <family val="3"/>
        <charset val="129"/>
      </rPr>
      <t>시/도)</t>
    </r>
  </si>
  <si>
    <r>
      <t>2. 해외(국가명：</t>
    </r>
    <r>
      <rPr>
        <u/>
        <sz val="11"/>
        <color theme="1"/>
        <rFont val="KoPub돋움체 Light"/>
        <family val="3"/>
        <charset val="129"/>
      </rPr>
      <t xml:space="preserve">          </t>
    </r>
    <r>
      <rPr>
        <sz val="11"/>
        <color theme="1"/>
        <rFont val="KoPub돋움체 Light"/>
        <family val="3"/>
        <charset val="129"/>
      </rPr>
      <t>)</t>
    </r>
  </si>
  <si>
    <r>
      <t xml:space="preserve">1. </t>
    </r>
    <r>
      <rPr>
        <sz val="11"/>
        <color rgb="FF000000"/>
        <rFont val="KoPub돋움체 Light"/>
        <family val="3"/>
        <charset val="129"/>
      </rPr>
      <t>부모 모두(아버지, 어머니) + 자녀</t>
    </r>
  </si>
  <si>
    <r>
      <t>4. (</t>
    </r>
    <r>
      <rPr>
        <sz val="11"/>
        <color rgb="FF000000"/>
        <rFont val="KoPub돋움체 Light"/>
        <family val="3"/>
        <charset val="129"/>
      </rPr>
      <t>한)조부모(할머니, 할아버지) + 부모 모두 + 자녀</t>
    </r>
  </si>
  <si>
    <r>
      <t xml:space="preserve">2. </t>
    </r>
    <r>
      <rPr>
        <sz val="11"/>
        <color rgb="FF000000"/>
        <rFont val="KoPub돋움체 Light"/>
        <family val="3"/>
        <charset val="129"/>
      </rPr>
      <t>한 부모(아버지 또는 어머니) + 자녀</t>
    </r>
  </si>
  <si>
    <r>
      <t>5. (</t>
    </r>
    <r>
      <rPr>
        <sz val="11"/>
        <color rgb="FF000000"/>
        <rFont val="KoPub돋움체 Light"/>
        <family val="3"/>
        <charset val="129"/>
      </rPr>
      <t>한)조부모(할머니, 할아버지) + 한 부모 + 자녀</t>
    </r>
  </si>
  <si>
    <r>
      <t>3. (</t>
    </r>
    <r>
      <rPr>
        <sz val="11"/>
        <color rgb="FF000000"/>
        <rFont val="KoPub돋움체 Light"/>
        <family val="3"/>
        <charset val="129"/>
      </rPr>
      <t>한)조부모(할머니, 할아버지) + 자녀</t>
    </r>
  </si>
  <si>
    <r>
      <t xml:space="preserve">6. </t>
    </r>
    <r>
      <rPr>
        <sz val="11"/>
        <color rgb="FF000000"/>
        <rFont val="KoPub돋움체 Light"/>
        <family val="3"/>
        <charset val="129"/>
      </rPr>
      <t>기타(적을 것：            )</t>
    </r>
  </si>
  <si>
    <r>
      <rPr>
        <u/>
        <sz val="11"/>
        <color theme="1"/>
        <rFont val="KoPub돋움체 Light"/>
        <family val="3"/>
        <charset val="129"/>
      </rPr>
      <t xml:space="preserve">            </t>
    </r>
    <r>
      <rPr>
        <sz val="11"/>
        <color theme="1"/>
        <rFont val="KoPub돋움체 Light"/>
        <family val="3"/>
        <charset val="129"/>
      </rPr>
      <t>만원</t>
    </r>
  </si>
  <si>
    <r>
      <t xml:space="preserve">3. </t>
    </r>
    <r>
      <rPr>
        <sz val="11"/>
        <color rgb="FF000000"/>
        <rFont val="KoPub돋움체 Light"/>
        <family val="3"/>
        <charset val="129"/>
      </rPr>
      <t xml:space="preserve">아니오. 스마트폰을 사용하지 않음 ☞ </t>
    </r>
    <r>
      <rPr>
        <b/>
        <sz val="11"/>
        <color rgb="FF000000"/>
        <rFont val="KoPub돋움체 Light"/>
        <family val="3"/>
        <charset val="129"/>
      </rPr>
      <t xml:space="preserve">[문11]로 이동 </t>
    </r>
    <phoneticPr fontId="1" type="noConversion"/>
  </si>
  <si>
    <r>
      <t>기타 (적을 것：</t>
    </r>
    <r>
      <rPr>
        <u/>
        <sz val="11"/>
        <color rgb="FF000000"/>
        <rFont val="KoPub돋움체 Light"/>
        <family val="3"/>
        <charset val="129"/>
      </rPr>
      <t xml:space="preserve">          </t>
    </r>
    <r>
      <rPr>
        <sz val="11"/>
        <color rgb="FF000000"/>
        <rFont val="KoPub돋움체 Light"/>
        <family val="3"/>
        <charset val="129"/>
      </rPr>
      <t>)</t>
    </r>
  </si>
  <si>
    <r>
      <t xml:space="preserve">문 </t>
    </r>
    <r>
      <rPr>
        <sz val="11"/>
        <color rgb="FF000000"/>
        <rFont val="KoPub돋움체 Light"/>
        <family val="3"/>
        <charset val="129"/>
      </rPr>
      <t>4) 지난 학기(2019년도 1학기) 학교성적에 대해 얼마나 만족하십니까?</t>
    </r>
    <phoneticPr fontId="1" type="noConversion"/>
  </si>
  <si>
    <r>
      <t xml:space="preserve">문 </t>
    </r>
    <r>
      <rPr>
        <sz val="11"/>
        <color rgb="FF000000"/>
        <rFont val="KoPub돋움체 Light"/>
        <family val="3"/>
        <charset val="129"/>
      </rPr>
      <t>15)형제자매는 총 몇 명입니까? 본인을 포함하여 총 몇 명인지 말씀해 주십시오.</t>
    </r>
  </si>
  <si>
    <r>
      <t xml:space="preserve">총 </t>
    </r>
    <r>
      <rPr>
        <u/>
        <sz val="11"/>
        <color theme="1"/>
        <rFont val="KoPub돋움체 Light"/>
        <family val="3"/>
        <charset val="129"/>
      </rPr>
      <t xml:space="preserve">         </t>
    </r>
    <r>
      <rPr>
        <sz val="11"/>
        <color theme="1"/>
        <rFont val="KoPub돋움체 Light"/>
        <family val="3"/>
        <charset val="129"/>
      </rPr>
      <t xml:space="preserve">명 </t>
    </r>
    <phoneticPr fontId="1" type="noConversion"/>
  </si>
  <si>
    <r>
      <t xml:space="preserve">문 </t>
    </r>
    <r>
      <rPr>
        <sz val="11"/>
        <color rgb="FF000000"/>
        <rFont val="KoPub돋움체 Light"/>
        <family val="3"/>
        <charset val="129"/>
      </rPr>
      <t>15-1)귀하는 형제자매와 하루에 얼마나 시간을 함께 보내십니까? 평일과 주말로 구분하여 기입해 주십시오. 형제자매 순서에서 본인일 경우 본인을 선택해 주십시오.</t>
    </r>
  </si>
  <si>
    <r>
      <t>※함께 보내는 시간에는 식사</t>
    </r>
    <r>
      <rPr>
        <sz val="11"/>
        <color rgb="FF000000"/>
        <rFont val="KoPub돋움체 Light"/>
        <family val="3"/>
        <charset val="129"/>
      </rPr>
      <t>, 학습활동, 여가활동, 대화시간 등이 모두 포함됩니다. 단, 수면 시간은 제외됩니다. 평균적으로 함께 보내는 시간을 계산해서 기입해 주십시오.</t>
    </r>
  </si>
  <si>
    <r>
      <t>문 22</t>
    </r>
    <r>
      <rPr>
        <sz val="11"/>
        <color rgb="FF000000"/>
        <rFont val="KoPub돋움체 Light"/>
        <family val="3"/>
        <charset val="129"/>
      </rPr>
      <t>)형제자매는 총 몇 명입니까? 본인을 포함하여 총 몇 명인지 말씀해 주십시오.</t>
    </r>
    <phoneticPr fontId="1" type="noConversion"/>
  </si>
  <si>
    <r>
      <t>문 22</t>
    </r>
    <r>
      <rPr>
        <sz val="11"/>
        <color rgb="FF000000"/>
        <rFont val="KoPub돋움체 Light"/>
        <family val="3"/>
        <charset val="129"/>
      </rPr>
      <t>-1)귀하는 형제자매와 하루에 얼마나 시간을 함께 보내십니까? 평일과 주말로 구분하여 기입해 주십시오. 형제자매 순서에서 본인일 경우 본인을 선택해 주십시오.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</si>
  <si>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시간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</si>
  <si>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</si>
  <si>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시간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</si>
  <si>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</si>
  <si>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시간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</si>
  <si>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분</t>
    </r>
    <phoneticPr fontId="1" type="noConversion"/>
  </si>
  <si>
    <r>
      <t xml:space="preserve">문 </t>
    </r>
    <r>
      <rPr>
        <sz val="11"/>
        <color rgb="FF000000"/>
        <rFont val="KoPub돋움체 Light"/>
        <family val="3"/>
        <charset val="129"/>
      </rPr>
      <t>32) 몽정/초경이 시작된 시기는 언제입니까? 해당되는 시기에 응답해 주십시오.</t>
    </r>
    <phoneticPr fontId="1" type="noConversion"/>
  </si>
  <si>
    <r>
      <t xml:space="preserve">1. </t>
    </r>
    <r>
      <rPr>
        <sz val="11"/>
        <color rgb="FF000000"/>
        <rFont val="KoPub돋움체 Light"/>
        <family val="3"/>
        <charset val="129"/>
      </rPr>
      <t>아직 시작되지 않았다</t>
    </r>
  </si>
  <si>
    <r>
      <t xml:space="preserve">2. </t>
    </r>
    <r>
      <rPr>
        <sz val="11"/>
        <color rgb="FF000000"/>
        <rFont val="KoPub돋움체 Light"/>
        <family val="3"/>
        <charset val="129"/>
      </rPr>
      <t>초등학교 1-3학년</t>
    </r>
  </si>
  <si>
    <r>
      <t xml:space="preserve">3. </t>
    </r>
    <r>
      <rPr>
        <sz val="11"/>
        <color rgb="FF000000"/>
        <rFont val="KoPub돋움체 Light"/>
        <family val="3"/>
        <charset val="129"/>
      </rPr>
      <t>초등학교 4학년</t>
    </r>
  </si>
  <si>
    <r>
      <t xml:space="preserve">4. </t>
    </r>
    <r>
      <rPr>
        <sz val="11"/>
        <color rgb="FF000000"/>
        <rFont val="KoPub돋움체 Light"/>
        <family val="3"/>
        <charset val="129"/>
      </rPr>
      <t>초등학교 5학년</t>
    </r>
  </si>
  <si>
    <r>
      <t xml:space="preserve">5. </t>
    </r>
    <r>
      <rPr>
        <sz val="11"/>
        <color rgb="FF000000"/>
        <rFont val="KoPub돋움체 Light"/>
        <family val="3"/>
        <charset val="129"/>
      </rPr>
      <t>초등학교 6학년</t>
    </r>
  </si>
  <si>
    <r>
      <t xml:space="preserve">6. </t>
    </r>
    <r>
      <rPr>
        <sz val="11"/>
        <color rgb="FF000000"/>
        <rFont val="KoPub돋움체 Light"/>
        <family val="3"/>
        <charset val="129"/>
      </rPr>
      <t>중학교 1학년</t>
    </r>
  </si>
  <si>
    <r>
      <t xml:space="preserve">7. </t>
    </r>
    <r>
      <rPr>
        <sz val="11"/>
        <color rgb="FF000000"/>
        <rFont val="KoPub돋움체 Light"/>
        <family val="3"/>
        <charset val="129"/>
      </rPr>
      <t>중학교 2학년</t>
    </r>
  </si>
  <si>
    <r>
      <t xml:space="preserve">8. </t>
    </r>
    <r>
      <rPr>
        <sz val="11"/>
        <color rgb="FF000000"/>
        <rFont val="KoPub돋움체 Light"/>
        <family val="3"/>
        <charset val="129"/>
      </rPr>
      <t>중학교 3학년</t>
    </r>
  </si>
  <si>
    <r>
      <t xml:space="preserve">9. </t>
    </r>
    <r>
      <rPr>
        <sz val="11"/>
        <color rgb="FF000000"/>
        <rFont val="KoPub돋움체 Light"/>
        <family val="3"/>
        <charset val="129"/>
      </rPr>
      <t>고등학교 1학년</t>
    </r>
  </si>
  <si>
    <r>
      <t xml:space="preserve">10. </t>
    </r>
    <r>
      <rPr>
        <sz val="11"/>
        <color rgb="FF000000"/>
        <rFont val="KoPub돋움체 Light"/>
        <family val="3"/>
        <charset val="129"/>
      </rPr>
      <t>고등학교 2학년 이후</t>
    </r>
  </si>
  <si>
    <r>
      <t xml:space="preserve">SQ1) </t>
    </r>
    <r>
      <rPr>
        <sz val="11"/>
        <color rgb="FF000000"/>
        <rFont val="KoPub돋움체 Light"/>
        <family val="3"/>
        <charset val="129"/>
      </rPr>
      <t>귀하는 조사에 참여하는 청소년(자녀 또는 피양육자)과 어떤 관계이십니까? 아래 해당 번호에 ○표 해 주십시오.</t>
    </r>
  </si>
  <si>
    <r>
      <t xml:space="preserve">SQ2) </t>
    </r>
    <r>
      <rPr>
        <sz val="11"/>
        <color rgb="FF000000"/>
        <rFont val="KoPub돋움체 Light"/>
        <family val="3"/>
        <charset val="129"/>
      </rPr>
      <t>조사에 참여하는 청소년(자녀 또는 피양육자)은 몇 년 몇 월에 태어났습니까? 실제 태어난 생년과 월을 아래에 써 주십시오.</t>
    </r>
  </si>
  <si>
    <r>
      <t xml:space="preserve">총 </t>
    </r>
    <r>
      <rPr>
        <u/>
        <sz val="11"/>
        <color theme="1"/>
        <rFont val="KoPub돋움체 Light"/>
        <family val="3"/>
        <charset val="129"/>
      </rPr>
      <t xml:space="preserve">       </t>
    </r>
    <r>
      <rPr>
        <sz val="11"/>
        <color theme="1"/>
        <rFont val="KoPub돋움체 Light"/>
        <family val="3"/>
        <charset val="129"/>
      </rPr>
      <t>명</t>
    </r>
    <phoneticPr fontId="1" type="noConversion"/>
  </si>
  <si>
    <r>
      <t xml:space="preserve">총 </t>
    </r>
    <r>
      <rPr>
        <u/>
        <sz val="11"/>
        <color theme="1"/>
        <rFont val="KoPub돋움체 Light"/>
        <family val="3"/>
        <charset val="129"/>
      </rPr>
      <t xml:space="preserve">         </t>
    </r>
    <r>
      <rPr>
        <sz val="11"/>
        <color theme="1"/>
        <rFont val="KoPub돋움체 Light"/>
        <family val="3"/>
        <charset val="129"/>
      </rPr>
      <t xml:space="preserve">명 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</si>
  <si>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시간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</si>
  <si>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시간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</si>
  <si>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</si>
  <si>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분</t>
    </r>
    <phoneticPr fontId="1" type="noConversion"/>
  </si>
  <si>
    <r>
      <rPr>
        <u/>
        <sz val="11"/>
        <color rgb="FF000000"/>
        <rFont val="KoPub돋움체 Light"/>
        <family val="3"/>
        <charset val="129"/>
      </rPr>
      <t xml:space="preserve">         </t>
    </r>
    <r>
      <rPr>
        <sz val="11"/>
        <color rgb="FF000000"/>
        <rFont val="KoPub돋움체 Light"/>
        <family val="3"/>
        <charset val="129"/>
      </rPr>
      <t>시간</t>
    </r>
    <phoneticPr fontId="1" type="noConversion"/>
  </si>
  <si>
    <r>
      <t xml:space="preserve">3. </t>
    </r>
    <r>
      <rPr>
        <sz val="11"/>
        <color rgb="FF000000"/>
        <rFont val="KoPub돋움체 Light"/>
        <family val="3"/>
        <charset val="129"/>
      </rPr>
      <t xml:space="preserve">아니오. 스마트폰을 사용하지 않음 ☞ </t>
    </r>
    <r>
      <rPr>
        <b/>
        <sz val="11"/>
        <color rgb="FF000000"/>
        <rFont val="KoPub돋움체 Light"/>
        <family val="3"/>
        <charset val="129"/>
      </rPr>
      <t xml:space="preserve">[문11]로 이동 </t>
    </r>
    <phoneticPr fontId="1" type="noConversion"/>
  </si>
  <si>
    <t>w2</t>
    <phoneticPr fontId="1" type="noConversion"/>
  </si>
  <si>
    <t>넷째 자녀</t>
    <phoneticPr fontId="1" type="noConversion"/>
  </si>
  <si>
    <t>다섯째 자녀</t>
    <phoneticPr fontId="1" type="noConversion"/>
  </si>
  <si>
    <t>[형제자매] 원패널과의 관계</t>
    <phoneticPr fontId="1" type="noConversion"/>
  </si>
  <si>
    <t>[형제자매] 형제자매 학년</t>
    <phoneticPr fontId="1" type="noConversion"/>
  </si>
  <si>
    <t>조사 참여 여부_보호자</t>
    <phoneticPr fontId="1" type="noConversion"/>
  </si>
  <si>
    <t>조사 참여 여부_청소년</t>
    <phoneticPr fontId="1" type="noConversion"/>
  </si>
  <si>
    <t>WEIGHTA1</t>
    <phoneticPr fontId="1" type="noConversion"/>
  </si>
  <si>
    <t>WEIGHTA2</t>
    <phoneticPr fontId="1" type="noConversion"/>
  </si>
  <si>
    <t>WEIGHTB1</t>
    <phoneticPr fontId="1" type="noConversion"/>
  </si>
  <si>
    <t>WEIGHTB2</t>
    <phoneticPr fontId="1" type="noConversion"/>
  </si>
  <si>
    <t>-</t>
    <phoneticPr fontId="1" type="noConversion"/>
  </si>
  <si>
    <t>-</t>
    <phoneticPr fontId="1" type="noConversion"/>
  </si>
  <si>
    <t>[자녀 중 원패널의 출생 순서]</t>
    <phoneticPr fontId="1" type="noConversion"/>
  </si>
  <si>
    <t>[전체 형제/자매 중 본인의 출생 순서]</t>
    <phoneticPr fontId="1" type="noConversion"/>
  </si>
  <si>
    <t>[전체 형제/자매 중 본인의 출생 순서]</t>
    <phoneticPr fontId="1" type="noConversion"/>
  </si>
  <si>
    <t>번째(전체 형제자매 중 본인의 출생 순서)</t>
    <phoneticPr fontId="1" type="noConversion"/>
  </si>
  <si>
    <t>번째(전체 형제자매 중 본인의 출생 순서)</t>
    <phoneticPr fontId="1" type="noConversion"/>
  </si>
  <si>
    <t>[자녀와 함께 보내는 시간-첫째 자녀]</t>
    <phoneticPr fontId="1" type="noConversion"/>
  </si>
  <si>
    <t>조사성공</t>
    <phoneticPr fontId="1" type="noConversion"/>
  </si>
  <si>
    <t>조사실패</t>
    <phoneticPr fontId="1" type="noConversion"/>
  </si>
  <si>
    <t>조사성공</t>
    <phoneticPr fontId="1" type="noConversion"/>
  </si>
  <si>
    <t>횡단면_원 가중치</t>
    <phoneticPr fontId="1" type="noConversion"/>
  </si>
  <si>
    <t>횡단면_표준화 가중치</t>
    <phoneticPr fontId="1" type="noConversion"/>
  </si>
  <si>
    <t>종단면_원 가중치</t>
    <phoneticPr fontId="1" type="noConversion"/>
  </si>
  <si>
    <t>종단면_표준화 가중치</t>
    <phoneticPr fontId="1" type="noConversion"/>
  </si>
  <si>
    <t>WEIGHTA1</t>
    <phoneticPr fontId="1" type="noConversion"/>
  </si>
  <si>
    <t>WEIGHTA2</t>
    <phoneticPr fontId="1" type="noConversion"/>
  </si>
  <si>
    <t>WEIGHTB1</t>
    <phoneticPr fontId="1" type="noConversion"/>
  </si>
  <si>
    <t>WEIGHTB2</t>
    <phoneticPr fontId="1" type="noConversion"/>
  </si>
  <si>
    <t>횡단면_원 가중치</t>
    <phoneticPr fontId="1" type="noConversion"/>
  </si>
  <si>
    <t>종단면_원 가중치</t>
    <phoneticPr fontId="1" type="noConversion"/>
  </si>
  <si>
    <t>종단면_표준화 가중치</t>
    <phoneticPr fontId="1" type="noConversion"/>
  </si>
  <si>
    <t>형/오빠</t>
    <phoneticPr fontId="1" type="noConversion"/>
  </si>
  <si>
    <t>누나/언니</t>
    <phoneticPr fontId="1" type="noConversion"/>
  </si>
  <si>
    <t>남동생</t>
    <phoneticPr fontId="1" type="noConversion"/>
  </si>
  <si>
    <t>여동생</t>
    <phoneticPr fontId="1" type="noConversion"/>
  </si>
  <si>
    <t>기타</t>
    <phoneticPr fontId="1" type="noConversion"/>
  </si>
  <si>
    <t>-</t>
    <phoneticPr fontId="1" type="noConversion"/>
  </si>
  <si>
    <t>[형제자매] 원패널과의 관계_기타</t>
    <phoneticPr fontId="1" type="noConversion"/>
  </si>
  <si>
    <t>초1</t>
    <phoneticPr fontId="1" type="noConversion"/>
  </si>
  <si>
    <t>초2</t>
    <phoneticPr fontId="1" type="noConversion"/>
  </si>
  <si>
    <t>초3</t>
    <phoneticPr fontId="1" type="noConversion"/>
  </si>
  <si>
    <t>초4</t>
    <phoneticPr fontId="1" type="noConversion"/>
  </si>
  <si>
    <t>초5</t>
    <phoneticPr fontId="1" type="noConversion"/>
  </si>
  <si>
    <t>초6</t>
    <phoneticPr fontId="1" type="noConversion"/>
  </si>
  <si>
    <t>중1</t>
    <phoneticPr fontId="1" type="noConversion"/>
  </si>
  <si>
    <t>중2</t>
    <phoneticPr fontId="1" type="noConversion"/>
  </si>
  <si>
    <t>중3</t>
    <phoneticPr fontId="1" type="noConversion"/>
  </si>
  <si>
    <t>고1</t>
    <phoneticPr fontId="1" type="noConversion"/>
  </si>
  <si>
    <t>고2</t>
    <phoneticPr fontId="1" type="noConversion"/>
  </si>
  <si>
    <t>고3</t>
    <phoneticPr fontId="1" type="noConversion"/>
  </si>
  <si>
    <t>기타 (구체적으로)</t>
    <phoneticPr fontId="1" type="noConversion"/>
  </si>
  <si>
    <t>[형제자매] 형제자매 학년</t>
    <phoneticPr fontId="1" type="noConversion"/>
  </si>
  <si>
    <t>조사참여 여부(청소년)</t>
    <phoneticPr fontId="1" type="noConversion"/>
  </si>
  <si>
    <t>조사참여 여부(보호자)</t>
    <phoneticPr fontId="1" type="noConversion"/>
  </si>
  <si>
    <t>제2차조사(2019)</t>
    <phoneticPr fontId="1" type="noConversion"/>
  </si>
  <si>
    <t>• [LAYOUT 시트]에서 [변수명] 클릭 시</t>
    <phoneticPr fontId="1" type="noConversion"/>
  </si>
  <si>
    <t>• [LAYOUT 시트]에서 [문항번호] 클릭 시</t>
    <phoneticPr fontId="1" type="noConversion"/>
  </si>
  <si>
    <t>→ [CB 시트]로 이동</t>
    <phoneticPr fontId="1" type="noConversion"/>
  </si>
  <si>
    <t>→ [QN 시트]로 이동</t>
    <phoneticPr fontId="1" type="noConversion"/>
  </si>
  <si>
    <t>• [CB 시트]에서 [변수명] 클릭 시</t>
    <phoneticPr fontId="1" type="noConversion"/>
  </si>
  <si>
    <t>• [QN 시트]에서 [변수명] 클릭 시</t>
    <phoneticPr fontId="1" type="noConversion"/>
  </si>
  <si>
    <t>→ [LAYOUT 시트]로 이동</t>
    <phoneticPr fontId="1" type="noConversion"/>
  </si>
  <si>
    <t>→ [LAYOUT 시트]로 이동</t>
    <phoneticPr fontId="1" type="noConversion"/>
  </si>
  <si>
    <t>초4 코호트</t>
    <phoneticPr fontId="1" type="noConversion"/>
  </si>
  <si>
    <t>보호자</t>
    <phoneticPr fontId="1" type="noConversion"/>
  </si>
  <si>
    <t>형제자매</t>
    <phoneticPr fontId="1" type="noConversion"/>
  </si>
  <si>
    <t>-</t>
    <phoneticPr fontId="1" type="noConversion"/>
  </si>
  <si>
    <t>1set</t>
    <phoneticPr fontId="1" type="noConversion"/>
  </si>
  <si>
    <t>계</t>
    <phoneticPr fontId="1" type="noConversion"/>
  </si>
  <si>
    <t>4set</t>
    <phoneticPr fontId="1" type="noConversion"/>
  </si>
  <si>
    <t>6set</t>
    <phoneticPr fontId="1" type="noConversion"/>
  </si>
  <si>
    <t>유지율(%)</t>
    <phoneticPr fontId="1" type="noConversion"/>
  </si>
  <si>
    <t>원패널 표본유지율</t>
    <phoneticPr fontId="1" type="noConversion"/>
  </si>
  <si>
    <t>현재 귀댁에 실제로 함께 살고 있는 가구원 모두에 대하여 조사에 참여하는 청소년(자녀 또는 피양육자, 원패널)과의 관계를 기준으로 다음 내용을 응답해 주십시오.</t>
    <phoneticPr fontId="1" type="noConversion"/>
  </si>
  <si>
    <t>1번~8번</t>
    <phoneticPr fontId="1" type="noConversion"/>
  </si>
  <si>
    <t>1번~8번</t>
    <phoneticPr fontId="1" type="noConversion"/>
  </si>
  <si>
    <t>e4s</t>
    <phoneticPr fontId="1" type="noConversion"/>
  </si>
  <si>
    <t>m1s</t>
    <phoneticPr fontId="1" type="noConversion"/>
  </si>
  <si>
    <t>초4 코호트 원패널</t>
    <phoneticPr fontId="1" type="noConversion"/>
  </si>
  <si>
    <t>중1 코호트 원패널</t>
    <phoneticPr fontId="1" type="noConversion"/>
  </si>
  <si>
    <t>초4 코호트 원패널</t>
    <phoneticPr fontId="1" type="noConversion"/>
  </si>
  <si>
    <t>중1 코호트 원패널</t>
    <phoneticPr fontId="1" type="noConversion"/>
  </si>
  <si>
    <t>한국아동·청소년패널조사 2018 초등용 변수 레이아웃</t>
    <phoneticPr fontId="1" type="noConversion"/>
  </si>
  <si>
    <t>한국아동·청소년패널조사 2018 중등용 변수 레이아웃</t>
    <phoneticPr fontId="1" type="noConversion"/>
  </si>
  <si>
    <t>한국아동·청소년패널조사 2018 보호자 변수 레이아웃</t>
    <phoneticPr fontId="1" type="noConversion"/>
  </si>
  <si>
    <t>한국아동·청소년패널조사 2018 중등용 코드북</t>
    <phoneticPr fontId="1" type="noConversion"/>
  </si>
  <si>
    <t>한국아동·청소년패널조사 2018 보호자용 코드북</t>
    <phoneticPr fontId="1" type="noConversion"/>
  </si>
  <si>
    <t>한국아동·청소년패널조사 2018 초등용 조사표(제1차)</t>
    <phoneticPr fontId="1" type="noConversion"/>
  </si>
  <si>
    <t>한국아동·청소년패널조사 2018 중등용 조사표(제1차)</t>
    <phoneticPr fontId="1" type="noConversion"/>
  </si>
  <si>
    <t>한국아동·청소년패널조사 2018 보호자용 조사표(제1차)</t>
    <phoneticPr fontId="1" type="noConversion"/>
  </si>
  <si>
    <t>한국아동·청소년패널조사 2018 초등용 조사표(제2차)</t>
    <phoneticPr fontId="1" type="noConversion"/>
  </si>
  <si>
    <t>한국아동·청소년패널조사 2018 중등용 조사표(제2차)</t>
    <phoneticPr fontId="1" type="noConversion"/>
  </si>
  <si>
    <t>한국아동·청소년패널조사 2018 보호자용 조사표(제2차)</t>
    <phoneticPr fontId="1" type="noConversion"/>
  </si>
  <si>
    <t>제1차조사(2018년) 초등용 조사표 조사대상: 초4 코호트 원패널</t>
    <phoneticPr fontId="1" type="noConversion"/>
  </si>
  <si>
    <t>제1차조사(2018년) 중등용 조사표 조사대상: 중1 코호트 원패널</t>
    <phoneticPr fontId="1" type="noConversion"/>
  </si>
  <si>
    <t>제1차조사(2018년) 보호자용 조사표 조사대상: 초4·중1 코호트 원패널의 보호자</t>
    <phoneticPr fontId="1" type="noConversion"/>
  </si>
  <si>
    <t>제2차조사(2019년) 초등용 조사표 조사대상: 초4 코호트 원패널, 원패널의 형제자매 중 초등학생</t>
    <phoneticPr fontId="1" type="noConversion"/>
  </si>
  <si>
    <t>제2차조사(2019년) 중등용 조사표 조사대상: 중1 코호트 원패널, 원패널의 형제자매 중 중·고등학생</t>
    <phoneticPr fontId="1" type="noConversion"/>
  </si>
  <si>
    <t>제2차조사(2019년) 보호자용 조사표 조사대상: 초4·중1 코호트 원패널·원패널의 형제자매의 보호자</t>
    <phoneticPr fontId="1" type="noConversion"/>
  </si>
  <si>
    <t>원패널(명)</t>
    <phoneticPr fontId="1" type="noConversion"/>
  </si>
  <si>
    <t>유효패널(명)</t>
    <phoneticPr fontId="1" type="noConversion"/>
  </si>
  <si>
    <t>• 아동∙청소년 조사문항은 Y로 시작</t>
    <phoneticPr fontId="1" type="noConversion"/>
  </si>
  <si>
    <t>• 각 코호트의 형제자매가 초등학생인 경우 초등용 조사표로 조사</t>
    <phoneticPr fontId="1" type="noConversion"/>
  </si>
  <si>
    <r>
      <t>• 데이터 파일 변수명의 w는 조사차수를 의미함(ex. 제1차년도 조사: YGENDER</t>
    </r>
    <r>
      <rPr>
        <b/>
        <sz val="11"/>
        <rFont val="KoPub돋움체 Light"/>
        <family val="3"/>
        <charset val="129"/>
      </rPr>
      <t>w1</t>
    </r>
    <r>
      <rPr>
        <sz val="11"/>
        <rFont val="KoPub돋움체 Light"/>
        <family val="3"/>
        <charset val="129"/>
      </rPr>
      <t>)</t>
    </r>
    <phoneticPr fontId="1" type="noConversion"/>
  </si>
  <si>
    <t>원패널</t>
    <phoneticPr fontId="1" type="noConversion"/>
  </si>
  <si>
    <t>• 초4 코호트는 초등용 조사표로 조사</t>
    <phoneticPr fontId="1" type="noConversion"/>
  </si>
  <si>
    <t>• 중1 코호트는 중등용 조사표로 조사</t>
    <phoneticPr fontId="1" type="noConversion"/>
  </si>
  <si>
    <t>• 보호자는 원패널과 원패널의 형제자매에 대해 보호자용 조사표로 모두 조사 (단, 보호자 개인특성 문항은 1회만 조사)</t>
    <phoneticPr fontId="1" type="noConversion"/>
  </si>
  <si>
    <r>
      <t>• 각 코호트의 형제자매가 중</t>
    </r>
    <r>
      <rPr>
        <sz val="11"/>
        <rFont val="Segoe UI Historic"/>
        <family val="2"/>
      </rPr>
      <t>·</t>
    </r>
    <r>
      <rPr>
        <sz val="11"/>
        <rFont val="KoPubDotum Light"/>
        <family val="3"/>
        <charset val="129"/>
      </rPr>
      <t>고등학생인 경우 중등용 조사표로 조사</t>
    </r>
    <phoneticPr fontId="1" type="noConversion"/>
  </si>
  <si>
    <t>[자녀와 함께 보내는 시간-원패널]</t>
    <phoneticPr fontId="1" type="noConversion"/>
  </si>
  <si>
    <t>[자녀와 함께 보내는 시간-원패널]</t>
    <phoneticPr fontId="1" type="noConversion"/>
  </si>
  <si>
    <t>[자녀와 함께 보내는 시간-원패널]</t>
    <phoneticPr fontId="1" type="noConversion"/>
  </si>
  <si>
    <t>첫째 자녀</t>
    <phoneticPr fontId="1" type="noConversion"/>
  </si>
  <si>
    <t>원패널</t>
    <phoneticPr fontId="1" type="noConversion"/>
  </si>
  <si>
    <t>조사표 규칙</t>
    <phoneticPr fontId="1" type="noConversion"/>
  </si>
  <si>
    <t>초4 코호트 형제자매</t>
    <phoneticPr fontId="1" type="noConversion"/>
  </si>
  <si>
    <t>중1 코호트 형제자매</t>
    <phoneticPr fontId="1" type="noConversion"/>
  </si>
  <si>
    <t>중1 코호트 형제자매</t>
    <phoneticPr fontId="1" type="noConversion"/>
  </si>
  <si>
    <t>원패널 간 쌍둥이</t>
    <phoneticPr fontId="1" type="noConversion"/>
  </si>
  <si>
    <t>원패널-형제자매 간 쌍둥이</t>
    <phoneticPr fontId="1" type="noConversion"/>
  </si>
  <si>
    <t>형제자매 간 쌍둥이</t>
    <phoneticPr fontId="1" type="noConversion"/>
  </si>
  <si>
    <t>패널 내 쌍둥이 없음</t>
    <phoneticPr fontId="1" type="noConversion"/>
  </si>
  <si>
    <t>패널 내 쌍둥이 없음</t>
    <phoneticPr fontId="1" type="noConversion"/>
  </si>
  <si>
    <t>도시규모(학교기준)</t>
    <phoneticPr fontId="1" type="noConversion"/>
  </si>
  <si>
    <t>대도시</t>
    <phoneticPr fontId="1" type="noConversion"/>
  </si>
  <si>
    <t>중소도시</t>
    <phoneticPr fontId="1" type="noConversion"/>
  </si>
  <si>
    <t>읍면지역</t>
    <phoneticPr fontId="1" type="noConversion"/>
  </si>
  <si>
    <t>도시규모(학교 기준)</t>
    <phoneticPr fontId="1" type="noConversion"/>
  </si>
  <si>
    <t>Y</t>
    <phoneticPr fontId="1" type="noConversion"/>
  </si>
  <si>
    <t>Y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</si>
  <si>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</si>
  <si>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</si>
  <si>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</si>
  <si>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</si>
  <si>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</si>
  <si>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</si>
  <si>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</si>
  <si>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</si>
  <si>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</si>
  <si>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</si>
  <si>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</si>
  <si>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</si>
  <si>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</si>
  <si>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</si>
  <si>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</si>
  <si>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</si>
  <si>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</si>
  <si>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</si>
  <si>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</si>
  <si>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</si>
  <si>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</si>
  <si>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한국아동·청소년패널조사 2018 초등용 코드북</t>
    <phoneticPr fontId="1" type="noConversion"/>
  </si>
  <si>
    <t>! 시트명 변경 시 하이퍼링크가 작동하지 않음</t>
    <phoneticPr fontId="1" type="noConversion"/>
  </si>
  <si>
    <t>%</t>
  </si>
  <si>
    <t>w1</t>
    <phoneticPr fontId="1" type="noConversion"/>
  </si>
  <si>
    <t xml:space="preserve">• 취침시간(시) 변수(YTIM1B01, YTIM1B03)에서 '25=새벽 1시', '26=새벽 2시' … '29=새벽 5시'를 의미함 </t>
    <phoneticPr fontId="1" type="noConversion"/>
  </si>
  <si>
    <r>
      <t>RSE</t>
    </r>
    <r>
      <rPr>
        <b/>
        <sz val="6"/>
        <color theme="1"/>
        <rFont val="KoPub돋움체 Light"/>
        <family val="3"/>
        <charset val="129"/>
      </rPr>
      <t xml:space="preserve">
(상대표준오차)</t>
    </r>
    <phoneticPr fontId="1" type="noConversion"/>
  </si>
  <si>
    <t>창의적 성격 점수</t>
    <phoneticPr fontId="1" type="noConversion"/>
  </si>
  <si>
    <t>-</t>
    <phoneticPr fontId="1" type="noConversion"/>
  </si>
  <si>
    <t>-</t>
    <phoneticPr fontId="1" type="noConversion"/>
  </si>
  <si>
    <t>창의적 성격 점수</t>
    <phoneticPr fontId="1" type="noConversion"/>
  </si>
  <si>
    <t>창의적 성격 점수</t>
    <phoneticPr fontId="1" type="noConversion"/>
  </si>
  <si>
    <t>-12 ~ 18 사이의 값</t>
    <phoneticPr fontId="1" type="noConversion"/>
  </si>
  <si>
    <t>창의적 성격 점수</t>
    <phoneticPr fontId="1" type="noConversion"/>
  </si>
  <si>
    <r>
      <rPr>
        <b/>
        <sz val="11"/>
        <color theme="1"/>
        <rFont val="KoPub돋움체 Light"/>
        <family val="3"/>
        <charset val="129"/>
      </rPr>
      <t>SE</t>
    </r>
    <r>
      <rPr>
        <b/>
        <sz val="9"/>
        <color theme="1"/>
        <rFont val="KoPub돋움체 Light"/>
        <family val="3"/>
        <charset val="129"/>
      </rPr>
      <t xml:space="preserve">
(표준오차)</t>
    </r>
    <phoneticPr fontId="1" type="noConversion"/>
  </si>
  <si>
    <r>
      <rPr>
        <b/>
        <sz val="11"/>
        <color theme="1"/>
        <rFont val="KoPub돋움체 Light"/>
        <family val="3"/>
        <charset val="129"/>
      </rPr>
      <t>SD</t>
    </r>
    <r>
      <rPr>
        <b/>
        <sz val="9"/>
        <color theme="1"/>
        <rFont val="KoPub돋움체 Light"/>
        <family val="3"/>
        <charset val="129"/>
      </rPr>
      <t xml:space="preserve">
(표준편차)</t>
    </r>
    <phoneticPr fontId="1" type="noConversion"/>
  </si>
  <si>
    <r>
      <t xml:space="preserve">M
</t>
    </r>
    <r>
      <rPr>
        <b/>
        <sz val="9"/>
        <color theme="1"/>
        <rFont val="KoPub돋움체 Light"/>
        <family val="3"/>
        <charset val="129"/>
      </rPr>
      <t>(평균)</t>
    </r>
    <phoneticPr fontId="1" type="noConversion"/>
  </si>
  <si>
    <r>
      <t xml:space="preserve">M
</t>
    </r>
    <r>
      <rPr>
        <b/>
        <sz val="9"/>
        <color theme="1"/>
        <rFont val="KoPub돋움체 Light"/>
        <family val="3"/>
        <charset val="129"/>
      </rPr>
      <t>(평균)</t>
    </r>
    <phoneticPr fontId="1" type="noConversion"/>
  </si>
  <si>
    <t>w2</t>
    <phoneticPr fontId="1" type="noConversion"/>
  </si>
  <si>
    <r>
      <rPr>
        <b/>
        <sz val="11"/>
        <color theme="1"/>
        <rFont val="KoPub돋움체 Light"/>
        <family val="3"/>
        <charset val="129"/>
      </rPr>
      <t>SD</t>
    </r>
    <r>
      <rPr>
        <b/>
        <sz val="9"/>
        <color theme="1"/>
        <rFont val="KoPub돋움체 Light"/>
        <family val="3"/>
        <charset val="129"/>
      </rPr>
      <t xml:space="preserve">
(표준편차)</t>
    </r>
    <phoneticPr fontId="1" type="noConversion"/>
  </si>
  <si>
    <r>
      <rPr>
        <b/>
        <sz val="11"/>
        <color theme="1"/>
        <rFont val="KoPub돋움체 Light"/>
        <family val="3"/>
        <charset val="129"/>
      </rPr>
      <t>SE</t>
    </r>
    <r>
      <rPr>
        <b/>
        <sz val="9"/>
        <color theme="1"/>
        <rFont val="KoPub돋움체 Light"/>
        <family val="3"/>
        <charset val="129"/>
      </rPr>
      <t xml:space="preserve">
(표준오차)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</si>
</sst>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"/>
    <numFmt numFmtId="177" formatCode="0.0%"/>
    <numFmt numFmtId="178" formatCode="0.00_);[Red]\(0.00\)"/>
    <numFmt numFmtId="179" formatCode="0.00_ "/>
  </numFmts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"/>
      <name val="KoPub돋움체 Medium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Times New Roman"/>
      <family val="1"/>
    </font>
    <font>
      <sz val="26"/>
      <name val="KoPub돋움체 Bold"/>
      <family val="3"/>
      <charset val="129"/>
    </font>
    <font>
      <sz val="11"/>
      <color rgb="FF0000FF"/>
      <name val="KoPub돋움체 Light"/>
      <family val="3"/>
      <charset val="129"/>
    </font>
    <font>
      <sz val="11"/>
      <color theme="1"/>
      <name val="KoPub돋움체 Light"/>
      <family val="3"/>
      <charset val="129"/>
    </font>
    <font>
      <sz val="10"/>
      <color rgb="FFFF0000"/>
      <name val="KoPub돋움체 Light"/>
      <family val="3"/>
      <charset val="129"/>
    </font>
    <font>
      <u/>
      <sz val="11"/>
      <color theme="1"/>
      <name val="KoPub돋움체 Light"/>
      <family val="3"/>
      <charset val="129"/>
    </font>
    <font>
      <sz val="11"/>
      <color rgb="FF000000"/>
      <name val="KoPub돋움체 Light"/>
      <family val="3"/>
      <charset val="129"/>
    </font>
    <font>
      <u/>
      <sz val="11"/>
      <color rgb="FF000000"/>
      <name val="KoPub돋움체 Light"/>
      <family val="3"/>
      <charset val="129"/>
    </font>
    <font>
      <b/>
      <sz val="11"/>
      <color rgb="FF000000"/>
      <name val="KoPub돋움체 Light"/>
      <family val="3"/>
      <charset val="129"/>
    </font>
    <font>
      <b/>
      <sz val="11"/>
      <color theme="1"/>
      <name val="KoPub돋움체 Light"/>
      <family val="3"/>
      <charset val="129"/>
    </font>
    <font>
      <sz val="11"/>
      <color theme="1"/>
      <name val="KoPub돋움체 Medium"/>
      <family val="3"/>
      <charset val="129"/>
    </font>
    <font>
      <b/>
      <sz val="11"/>
      <color theme="1"/>
      <name val="KoPub돋움체 Medium"/>
      <family val="3"/>
      <charset val="129"/>
    </font>
    <font>
      <sz val="11"/>
      <color rgb="FF0000FF"/>
      <name val="KoPub돋움체 Medium"/>
      <family val="3"/>
      <charset val="129"/>
    </font>
    <font>
      <sz val="11"/>
      <name val="KoPub돋움체 Light"/>
      <family val="3"/>
      <charset val="129"/>
    </font>
    <font>
      <b/>
      <sz val="11"/>
      <name val="KoPub돋움체 Light"/>
      <family val="3"/>
      <charset val="129"/>
    </font>
    <font>
      <sz val="18"/>
      <color theme="1"/>
      <name val="KoPub돋움체 Bold"/>
      <family val="3"/>
      <charset val="129"/>
    </font>
    <font>
      <sz val="20"/>
      <color theme="1"/>
      <name val="KoPub돋움체 Bold"/>
      <family val="3"/>
      <charset val="129"/>
    </font>
    <font>
      <sz val="10"/>
      <color rgb="FFFF0000"/>
      <name val="KoPub돋움체 Medium"/>
      <family val="3"/>
      <charset val="129"/>
    </font>
    <font>
      <sz val="11"/>
      <color rgb="FF0066FF"/>
      <name val="KoPub돋움체 Medium"/>
      <family val="3"/>
      <charset val="129"/>
    </font>
    <font>
      <sz val="11"/>
      <color rgb="FF000000"/>
      <name val="KoPub돋움체 Medium"/>
      <family val="3"/>
      <charset val="129"/>
    </font>
    <font>
      <u/>
      <sz val="11"/>
      <color theme="10"/>
      <name val="KoPub돋움체 Light"/>
      <family val="3"/>
      <charset val="129"/>
    </font>
    <font>
      <sz val="9"/>
      <color rgb="FF000000"/>
      <name val="KoPub돋움체 Light"/>
      <family val="3"/>
      <charset val="129"/>
    </font>
    <font>
      <sz val="10"/>
      <color rgb="FF000000"/>
      <name val="KoPub돋움체 Light"/>
      <family val="3"/>
      <charset val="129"/>
    </font>
    <font>
      <sz val="11"/>
      <name val="KoPub돋움체 Medium"/>
      <family val="3"/>
      <charset val="129"/>
    </font>
    <font>
      <sz val="12"/>
      <name val="KoPub돋움체 Light"/>
      <family val="3"/>
      <charset val="129"/>
    </font>
    <font>
      <sz val="11"/>
      <name val="Segoe UI Historic"/>
      <family val="2"/>
    </font>
    <font>
      <sz val="11"/>
      <name val="KoPubDotum Light"/>
      <family val="3"/>
      <charset val="129"/>
    </font>
    <font>
      <u/>
      <sz val="11"/>
      <name val="KoPub돋움체 Light"/>
      <family val="3"/>
      <charset val="129"/>
    </font>
    <font>
      <b/>
      <sz val="9"/>
      <color theme="1"/>
      <name val="KoPub돋움체 Light"/>
      <family val="3"/>
      <charset val="129"/>
    </font>
    <font>
      <b/>
      <sz val="6"/>
      <color theme="1"/>
      <name val="KoPub돋움체 Light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1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uble">
        <color rgb="FF000000"/>
      </bottom>
      <diagonal/>
    </border>
    <border>
      <left style="dotted">
        <color rgb="FF000000"/>
      </left>
      <right/>
      <top style="thick">
        <color rgb="FF000000"/>
      </top>
      <bottom style="double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 style="thin">
        <color rgb="FF000000"/>
      </bottom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uble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rgb="FF000000"/>
      </top>
      <bottom/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 style="thick">
        <color indexed="64"/>
      </top>
      <bottom/>
      <diagonal/>
    </border>
    <border>
      <left/>
      <right style="dotted">
        <color indexed="64"/>
      </right>
      <top style="thick">
        <color indexed="64"/>
      </top>
      <bottom/>
      <diagonal/>
    </border>
    <border>
      <left/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dotted">
        <color indexed="64"/>
      </right>
      <top style="thick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/>
      <right/>
      <top style="thick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uble">
        <color indexed="64"/>
      </bottom>
      <diagonal/>
    </border>
    <border>
      <left style="dotted">
        <color rgb="FF000000"/>
      </left>
      <right/>
      <top style="thick">
        <color rgb="FF000000"/>
      </top>
      <bottom style="double">
        <color indexed="64"/>
      </bottom>
      <diagonal/>
    </border>
    <border>
      <left/>
      <right style="dotted">
        <color rgb="FF000000"/>
      </right>
      <top style="thick">
        <color rgb="FF000000"/>
      </top>
      <bottom style="double">
        <color indexed="64"/>
      </bottom>
      <diagonal/>
    </border>
    <border>
      <left/>
      <right style="dotted">
        <color rgb="FF000000"/>
      </right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indexed="64"/>
      </bottom>
      <diagonal/>
    </border>
    <border>
      <left style="dotted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dotted">
        <color rgb="FF000000"/>
      </left>
      <right/>
      <top style="thin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indexed="64"/>
      </right>
      <top style="thick">
        <color rgb="FF000000"/>
      </top>
      <bottom style="double">
        <color rgb="FF000000"/>
      </bottom>
      <diagonal/>
    </border>
    <border>
      <left/>
      <right style="hair">
        <color indexed="64"/>
      </right>
      <top style="double">
        <color rgb="FF000000"/>
      </top>
      <bottom style="thin">
        <color rgb="FF000000"/>
      </bottom>
      <diagonal/>
    </border>
    <border>
      <left/>
      <right style="hair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rgb="FF000000"/>
      </left>
      <right/>
      <top style="double">
        <color rgb="FF000000"/>
      </top>
      <bottom/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/>
      <top/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/>
      <diagonal/>
    </border>
    <border>
      <left style="dotted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9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455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0" xfId="0" applyFont="1" applyFill="1">
      <alignment vertical="center"/>
    </xf>
    <xf numFmtId="0" fontId="9" fillId="5" borderId="0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9" fillId="0" borderId="60" xfId="0" applyFont="1" applyBorder="1">
      <alignment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84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98" xfId="0" applyFont="1" applyBorder="1" applyAlignment="1">
      <alignment horizontal="center" vertical="center" wrapText="1"/>
    </xf>
    <xf numFmtId="0" fontId="12" fillId="0" borderId="99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9" fillId="0" borderId="71" xfId="0" applyFont="1" applyBorder="1">
      <alignment vertical="center"/>
    </xf>
    <xf numFmtId="0" fontId="9" fillId="0" borderId="72" xfId="0" applyFont="1" applyBorder="1">
      <alignment vertical="center"/>
    </xf>
    <xf numFmtId="0" fontId="9" fillId="0" borderId="73" xfId="0" applyFont="1" applyBorder="1">
      <alignment vertical="center"/>
    </xf>
    <xf numFmtId="0" fontId="12" fillId="0" borderId="0" xfId="0" applyFont="1" applyBorder="1" applyAlignment="1">
      <alignment horizontal="justify" vertical="center" wrapText="1"/>
    </xf>
    <xf numFmtId="0" fontId="9" fillId="0" borderId="74" xfId="0" applyFont="1" applyBorder="1">
      <alignment vertical="center"/>
    </xf>
    <xf numFmtId="0" fontId="12" fillId="3" borderId="0" xfId="0" applyFont="1" applyFill="1" applyBorder="1" applyAlignment="1">
      <alignment horizontal="center" vertical="center" wrapText="1"/>
    </xf>
    <xf numFmtId="0" fontId="9" fillId="0" borderId="75" xfId="0" applyFont="1" applyBorder="1">
      <alignment vertical="center"/>
    </xf>
    <xf numFmtId="0" fontId="12" fillId="0" borderId="50" xfId="0" applyFont="1" applyBorder="1" applyAlignment="1">
      <alignment horizontal="center" vertical="center" wrapText="1"/>
    </xf>
    <xf numFmtId="0" fontId="12" fillId="3" borderId="50" xfId="0" applyFont="1" applyFill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9" fillId="0" borderId="76" xfId="0" applyFont="1" applyBorder="1">
      <alignment vertical="center"/>
    </xf>
    <xf numFmtId="0" fontId="9" fillId="0" borderId="77" xfId="0" applyFont="1" applyBorder="1">
      <alignment vertical="center"/>
    </xf>
    <xf numFmtId="0" fontId="9" fillId="0" borderId="78" xfId="0" applyFont="1" applyBorder="1">
      <alignment vertical="center"/>
    </xf>
    <xf numFmtId="0" fontId="12" fillId="0" borderId="80" xfId="0" applyFont="1" applyBorder="1" applyAlignment="1">
      <alignment horizontal="center" vertical="center" wrapText="1"/>
    </xf>
    <xf numFmtId="0" fontId="12" fillId="0" borderId="81" xfId="0" applyFont="1" applyBorder="1" applyAlignment="1">
      <alignment horizontal="center" vertical="center" wrapText="1"/>
    </xf>
    <xf numFmtId="0" fontId="12" fillId="0" borderId="102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 wrapText="1"/>
    </xf>
    <xf numFmtId="0" fontId="12" fillId="0" borderId="103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104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9" fillId="5" borderId="0" xfId="0" applyFont="1" applyFill="1" applyBorder="1" applyAlignment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/>
    </xf>
    <xf numFmtId="0" fontId="9" fillId="7" borderId="0" xfId="0" applyFont="1" applyFill="1" applyBorder="1" applyAlignment="1">
      <alignment vertical="center"/>
    </xf>
    <xf numFmtId="0" fontId="9" fillId="7" borderId="0" xfId="0" applyFont="1" applyFill="1" applyBorder="1">
      <alignment vertical="center"/>
    </xf>
    <xf numFmtId="0" fontId="19" fillId="0" borderId="0" xfId="97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3" fontId="19" fillId="0" borderId="0" xfId="97" applyNumberFormat="1" applyFont="1" applyFill="1" applyBorder="1" applyAlignment="1">
      <alignment horizontal="left" vertical="center"/>
    </xf>
    <xf numFmtId="3" fontId="8" fillId="0" borderId="0" xfId="97" applyNumberFormat="1" applyFont="1" applyFill="1" applyBorder="1" applyAlignment="1">
      <alignment horizontal="left" vertical="center"/>
    </xf>
    <xf numFmtId="0" fontId="19" fillId="0" borderId="14" xfId="97" applyFont="1" applyFill="1" applyBorder="1" applyAlignment="1">
      <alignment vertical="center"/>
    </xf>
    <xf numFmtId="0" fontId="19" fillId="0" borderId="15" xfId="97" applyFont="1" applyFill="1" applyBorder="1" applyAlignment="1">
      <alignment vertical="center"/>
    </xf>
    <xf numFmtId="0" fontId="19" fillId="0" borderId="1" xfId="97" applyFont="1" applyFill="1" applyBorder="1" applyAlignment="1">
      <alignment horizontal="center" vertical="center"/>
    </xf>
    <xf numFmtId="0" fontId="19" fillId="0" borderId="7" xfId="97" applyFont="1" applyFill="1" applyBorder="1" applyAlignment="1">
      <alignment horizontal="center" vertical="center"/>
    </xf>
    <xf numFmtId="3" fontId="19" fillId="0" borderId="1" xfId="97" applyNumberFormat="1" applyFont="1" applyFill="1" applyBorder="1" applyAlignment="1">
      <alignment horizontal="center" vertical="center"/>
    </xf>
    <xf numFmtId="3" fontId="19" fillId="0" borderId="7" xfId="97" applyNumberFormat="1" applyFont="1" applyFill="1" applyBorder="1" applyAlignment="1">
      <alignment horizontal="center" vertical="center"/>
    </xf>
    <xf numFmtId="0" fontId="19" fillId="0" borderId="0" xfId="97" applyFont="1" applyFill="1" applyBorder="1" applyAlignment="1">
      <alignment vertical="center"/>
    </xf>
    <xf numFmtId="9" fontId="19" fillId="0" borderId="0" xfId="97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18" xfId="0" applyFont="1" applyBorder="1" applyAlignment="1">
      <alignment horizontal="center" vertical="center"/>
    </xf>
    <xf numFmtId="0" fontId="16" fillId="0" borderId="116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left" vertical="center"/>
    </xf>
    <xf numFmtId="0" fontId="25" fillId="0" borderId="11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6" borderId="0" xfId="0" applyFont="1" applyFill="1" applyBorder="1" applyAlignment="1">
      <alignment horizontal="left" vertical="center" wrapText="1"/>
    </xf>
    <xf numFmtId="0" fontId="12" fillId="0" borderId="66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/>
    </xf>
    <xf numFmtId="0" fontId="12" fillId="0" borderId="61" xfId="0" applyFont="1" applyBorder="1" applyAlignment="1">
      <alignment horizontal="center" vertical="center" wrapText="1"/>
    </xf>
    <xf numFmtId="0" fontId="12" fillId="0" borderId="11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00" xfId="0" applyFont="1" applyBorder="1" applyAlignment="1">
      <alignment horizontal="center" vertical="center" wrapText="1"/>
    </xf>
    <xf numFmtId="0" fontId="12" fillId="0" borderId="10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9" fillId="0" borderId="1" xfId="97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9" fillId="0" borderId="0" xfId="97" applyFont="1" applyFill="1" applyBorder="1" applyAlignment="1">
      <alignment horizontal="center" vertical="center"/>
    </xf>
    <xf numFmtId="3" fontId="19" fillId="0" borderId="0" xfId="97" applyNumberFormat="1" applyFont="1" applyFill="1" applyBorder="1" applyAlignment="1">
      <alignment horizontal="center" vertical="center"/>
    </xf>
    <xf numFmtId="177" fontId="19" fillId="0" borderId="0" xfId="97" applyNumberFormat="1" applyFont="1" applyFill="1" applyBorder="1" applyAlignment="1">
      <alignment horizontal="center" vertical="center"/>
    </xf>
    <xf numFmtId="0" fontId="19" fillId="0" borderId="12" xfId="97" applyFont="1" applyFill="1" applyBorder="1" applyAlignment="1">
      <alignment vertical="center"/>
    </xf>
    <xf numFmtId="0" fontId="19" fillId="0" borderId="5" xfId="97" applyFont="1" applyFill="1" applyBorder="1" applyAlignment="1">
      <alignment vertical="center"/>
    </xf>
    <xf numFmtId="176" fontId="19" fillId="0" borderId="1" xfId="97" applyNumberFormat="1" applyFont="1" applyFill="1" applyBorder="1" applyAlignment="1">
      <alignment horizontal="center" vertical="center"/>
    </xf>
    <xf numFmtId="176" fontId="19" fillId="0" borderId="7" xfId="97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9" fillId="0" borderId="6" xfId="97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center" vertical="center"/>
      <protection hidden="1"/>
    </xf>
    <xf numFmtId="0" fontId="9" fillId="0" borderId="0" xfId="0" applyFo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8" fillId="0" borderId="2" xfId="0" applyFont="1" applyBorder="1" applyAlignment="1" applyProtection="1">
      <alignment horizontal="center" vertical="center" wrapText="1"/>
      <protection hidden="1"/>
    </xf>
    <xf numFmtId="0" fontId="8" fillId="0" borderId="4" xfId="96" applyFont="1" applyBorder="1" applyAlignment="1" applyProtection="1">
      <alignment horizontal="center" vertical="center" wrapText="1"/>
      <protection hidden="1"/>
    </xf>
    <xf numFmtId="0" fontId="8" fillId="0" borderId="1" xfId="96" applyFont="1" applyBorder="1" applyAlignment="1" applyProtection="1">
      <alignment horizontal="center" vertical="center" wrapText="1"/>
      <protection hidden="1"/>
    </xf>
    <xf numFmtId="0" fontId="8" fillId="0" borderId="4" xfId="0" applyFont="1" applyBorder="1" applyAlignment="1" applyProtection="1">
      <alignment horizontal="center" vertical="center" wrapText="1"/>
      <protection hidden="1"/>
    </xf>
    <xf numFmtId="0" fontId="18" fillId="0" borderId="1" xfId="96" applyFont="1" applyBorder="1" applyAlignment="1" applyProtection="1">
      <alignment horizontal="center" vertical="center"/>
      <protection hidden="1"/>
    </xf>
    <xf numFmtId="0" fontId="24" fillId="0" borderId="7" xfId="96" applyFont="1" applyBorder="1" applyAlignment="1" applyProtection="1">
      <alignment horizontal="center" vertical="center"/>
      <protection hidden="1"/>
    </xf>
    <xf numFmtId="0" fontId="18" fillId="0" borderId="2" xfId="96" applyFont="1" applyBorder="1" applyAlignment="1" applyProtection="1">
      <alignment horizontal="center" vertical="center"/>
      <protection hidden="1"/>
    </xf>
    <xf numFmtId="0" fontId="24" fillId="0" borderId="8" xfId="96" applyFont="1" applyBorder="1" applyAlignment="1" applyProtection="1">
      <alignment horizontal="center" vertical="center"/>
      <protection hidden="1"/>
    </xf>
    <xf numFmtId="0" fontId="18" fillId="0" borderId="4" xfId="96" applyFont="1" applyBorder="1" applyAlignment="1" applyProtection="1">
      <alignment horizontal="center" vertical="center"/>
      <protection hidden="1"/>
    </xf>
    <xf numFmtId="0" fontId="24" fillId="0" borderId="10" xfId="96" applyFont="1" applyBorder="1" applyAlignment="1" applyProtection="1">
      <alignment horizontal="center" vertical="center"/>
      <protection hidden="1"/>
    </xf>
    <xf numFmtId="0" fontId="18" fillId="0" borderId="3" xfId="96" applyFont="1" applyBorder="1" applyAlignment="1" applyProtection="1">
      <alignment horizontal="center" vertical="center"/>
      <protection hidden="1"/>
    </xf>
    <xf numFmtId="0" fontId="24" fillId="0" borderId="9" xfId="96" applyFont="1" applyBorder="1" applyAlignment="1" applyProtection="1">
      <alignment horizontal="center" vertical="center"/>
      <protection hidden="1"/>
    </xf>
    <xf numFmtId="0" fontId="18" fillId="0" borderId="8" xfId="96" applyFont="1" applyBorder="1" applyAlignment="1" applyProtection="1">
      <alignment horizontal="center" vertical="center"/>
      <protection hidden="1"/>
    </xf>
    <xf numFmtId="0" fontId="18" fillId="0" borderId="9" xfId="96" applyFont="1" applyBorder="1" applyAlignment="1" applyProtection="1">
      <alignment horizontal="center" vertical="center"/>
      <protection hidden="1"/>
    </xf>
    <xf numFmtId="0" fontId="18" fillId="0" borderId="10" xfId="96" applyFont="1" applyBorder="1" applyAlignment="1" applyProtection="1">
      <alignment horizontal="center" vertical="center"/>
      <protection hidden="1"/>
    </xf>
    <xf numFmtId="0" fontId="18" fillId="0" borderId="116" xfId="96" applyFont="1" applyBorder="1" applyAlignment="1" applyProtection="1">
      <alignment horizontal="center" vertical="center"/>
      <protection hidden="1"/>
    </xf>
    <xf numFmtId="0" fontId="24" fillId="0" borderId="119" xfId="96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6" fillId="0" borderId="9" xfId="0" applyFont="1" applyBorder="1" applyAlignment="1" applyProtection="1">
      <alignment horizontal="center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8" fillId="0" borderId="7" xfId="96" applyFont="1" applyBorder="1" applyAlignment="1" applyProtection="1">
      <alignment horizontal="center" vertical="center"/>
      <protection hidden="1"/>
    </xf>
    <xf numFmtId="0" fontId="18" fillId="0" borderId="119" xfId="96" applyFont="1" applyBorder="1" applyAlignment="1" applyProtection="1">
      <alignment horizontal="center" vertical="center"/>
      <protection hidden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78" fontId="9" fillId="0" borderId="7" xfId="0" applyNumberFormat="1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178" fontId="9" fillId="0" borderId="9" xfId="0" applyNumberFormat="1" applyFont="1" applyBorder="1" applyAlignment="1">
      <alignment horizontal="center" vertical="center"/>
    </xf>
    <xf numFmtId="178" fontId="9" fillId="0" borderId="10" xfId="0" applyNumberFormat="1" applyFont="1" applyBorder="1" applyAlignment="1">
      <alignment horizontal="center" vertical="center"/>
    </xf>
    <xf numFmtId="179" fontId="9" fillId="0" borderId="8" xfId="0" applyNumberFormat="1" applyFont="1" applyBorder="1" applyAlignment="1">
      <alignment horizontal="center" vertical="center"/>
    </xf>
    <xf numFmtId="179" fontId="9" fillId="0" borderId="9" xfId="0" applyNumberFormat="1" applyFont="1" applyBorder="1" applyAlignment="1">
      <alignment horizontal="center" vertical="center"/>
    </xf>
    <xf numFmtId="179" fontId="9" fillId="0" borderId="10" xfId="0" applyNumberFormat="1" applyFont="1" applyBorder="1" applyAlignment="1">
      <alignment horizontal="center" vertical="center"/>
    </xf>
    <xf numFmtId="179" fontId="9" fillId="0" borderId="7" xfId="0" applyNumberFormat="1" applyFont="1" applyBorder="1" applyAlignment="1">
      <alignment horizontal="center" vertical="center"/>
    </xf>
    <xf numFmtId="179" fontId="19" fillId="0" borderId="7" xfId="0" applyNumberFormat="1" applyFont="1" applyBorder="1" applyAlignment="1" applyProtection="1">
      <alignment horizontal="center" vertical="center" wrapText="1"/>
      <protection hidden="1"/>
    </xf>
    <xf numFmtId="179" fontId="19" fillId="0" borderId="8" xfId="0" applyNumberFormat="1" applyFont="1" applyBorder="1" applyAlignment="1" applyProtection="1">
      <alignment horizontal="center" vertical="center" wrapText="1"/>
      <protection hidden="1"/>
    </xf>
    <xf numFmtId="179" fontId="19" fillId="0" borderId="10" xfId="0" applyNumberFormat="1" applyFont="1" applyBorder="1" applyAlignment="1" applyProtection="1">
      <alignment horizontal="center" vertical="center" wrapText="1"/>
      <protection hidden="1"/>
    </xf>
    <xf numFmtId="0" fontId="15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179" fontId="19" fillId="0" borderId="9" xfId="0" applyNumberFormat="1" applyFont="1" applyBorder="1" applyAlignment="1" applyProtection="1">
      <alignment horizontal="center" vertical="center" wrapText="1"/>
      <protection hidden="1"/>
    </xf>
    <xf numFmtId="0" fontId="9" fillId="0" borderId="0" xfId="0" applyFont="1" applyAlignment="1">
      <alignment horizontal="left" vertical="center"/>
    </xf>
    <xf numFmtId="179" fontId="19" fillId="0" borderId="8" xfId="0" applyNumberFormat="1" applyFont="1" applyBorder="1" applyAlignment="1" applyProtection="1">
      <alignment horizontal="center" vertical="center" wrapText="1"/>
      <protection hidden="1"/>
    </xf>
    <xf numFmtId="179" fontId="19" fillId="0" borderId="10" xfId="0" applyNumberFormat="1" applyFont="1" applyBorder="1" applyAlignment="1" applyProtection="1">
      <alignment horizontal="center" vertical="center" wrapText="1"/>
      <protection hidden="1"/>
    </xf>
    <xf numFmtId="0" fontId="15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9" xfId="0" quotePrefix="1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179" fontId="19" fillId="0" borderId="8" xfId="0" applyNumberFormat="1" applyFont="1" applyBorder="1" applyAlignment="1" applyProtection="1">
      <alignment horizontal="center" vertical="center" wrapText="1"/>
      <protection hidden="1"/>
    </xf>
    <xf numFmtId="179" fontId="19" fillId="0" borderId="9" xfId="0" applyNumberFormat="1" applyFont="1" applyBorder="1" applyAlignment="1" applyProtection="1">
      <alignment horizontal="center" vertical="center" wrapText="1"/>
      <protection hidden="1"/>
    </xf>
    <xf numFmtId="179" fontId="19" fillId="0" borderId="10" xfId="0" applyNumberFormat="1" applyFont="1" applyBorder="1" applyAlignment="1" applyProtection="1">
      <alignment horizontal="center" vertical="center" wrapText="1"/>
      <protection hidden="1"/>
    </xf>
    <xf numFmtId="0" fontId="21" fillId="0" borderId="87" xfId="0" applyFont="1" applyFill="1" applyBorder="1" applyAlignment="1">
      <alignment horizontal="center" vertical="center"/>
    </xf>
    <xf numFmtId="0" fontId="21" fillId="0" borderId="88" xfId="0" applyFont="1" applyFill="1" applyBorder="1" applyAlignment="1">
      <alignment horizontal="center" vertical="center"/>
    </xf>
    <xf numFmtId="0" fontId="21" fillId="0" borderId="89" xfId="0" applyFont="1" applyFill="1" applyBorder="1" applyAlignment="1">
      <alignment horizontal="center" vertical="center"/>
    </xf>
    <xf numFmtId="0" fontId="21" fillId="0" borderId="90" xfId="0" applyFont="1" applyFill="1" applyBorder="1" applyAlignment="1">
      <alignment horizontal="center" vertical="center"/>
    </xf>
    <xf numFmtId="0" fontId="21" fillId="0" borderId="91" xfId="0" applyFont="1" applyFill="1" applyBorder="1" applyAlignment="1">
      <alignment horizontal="center" vertical="center"/>
    </xf>
    <xf numFmtId="0" fontId="21" fillId="0" borderId="92" xfId="0" applyFont="1" applyFill="1" applyBorder="1" applyAlignment="1">
      <alignment horizontal="center" vertical="center"/>
    </xf>
    <xf numFmtId="0" fontId="19" fillId="0" borderId="7" xfId="97" applyFont="1" applyFill="1" applyBorder="1" applyAlignment="1">
      <alignment horizontal="center" vertical="center"/>
    </xf>
    <xf numFmtId="0" fontId="19" fillId="0" borderId="14" xfId="97" applyFont="1" applyFill="1" applyBorder="1" applyAlignment="1">
      <alignment horizontal="center" vertical="center"/>
    </xf>
    <xf numFmtId="0" fontId="19" fillId="0" borderId="12" xfId="97" applyFont="1" applyFill="1" applyBorder="1" applyAlignment="1">
      <alignment horizontal="center" vertical="center"/>
    </xf>
    <xf numFmtId="0" fontId="19" fillId="0" borderId="5" xfId="97" applyFont="1" applyFill="1" applyBorder="1" applyAlignment="1">
      <alignment horizontal="center" vertical="center"/>
    </xf>
    <xf numFmtId="0" fontId="19" fillId="0" borderId="13" xfId="97" applyFont="1" applyFill="1" applyBorder="1" applyAlignment="1">
      <alignment horizontal="center" vertical="center"/>
    </xf>
    <xf numFmtId="0" fontId="19" fillId="0" borderId="11" xfId="97" applyFont="1" applyFill="1" applyBorder="1" applyAlignment="1">
      <alignment horizontal="center" vertical="center"/>
    </xf>
    <xf numFmtId="0" fontId="19" fillId="0" borderId="15" xfId="97" applyFont="1" applyFill="1" applyBorder="1" applyAlignment="1">
      <alignment horizontal="center" vertical="center"/>
    </xf>
    <xf numFmtId="0" fontId="19" fillId="0" borderId="1" xfId="97" applyFont="1" applyFill="1" applyBorder="1" applyAlignment="1">
      <alignment horizontal="center" vertical="center"/>
    </xf>
    <xf numFmtId="0" fontId="19" fillId="0" borderId="2" xfId="97" applyFont="1" applyFill="1" applyBorder="1" applyAlignment="1">
      <alignment horizontal="center" vertical="center"/>
    </xf>
    <xf numFmtId="0" fontId="19" fillId="0" borderId="3" xfId="97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20" xfId="0" applyFont="1" applyBorder="1" applyAlignment="1">
      <alignment horizontal="center" vertical="center"/>
    </xf>
    <xf numFmtId="0" fontId="17" fillId="0" borderId="117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1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22" xfId="0" applyFont="1" applyBorder="1" applyAlignment="1">
      <alignment horizontal="center" vertical="center"/>
    </xf>
    <xf numFmtId="0" fontId="17" fillId="0" borderId="129" xfId="0" applyFont="1" applyBorder="1" applyAlignment="1">
      <alignment horizontal="center" vertical="center"/>
    </xf>
    <xf numFmtId="0" fontId="23" fillId="0" borderId="130" xfId="0" applyFont="1" applyBorder="1" applyAlignment="1">
      <alignment horizontal="center" vertical="center"/>
    </xf>
    <xf numFmtId="0" fontId="17" fillId="0" borderId="12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  <protection hidden="1"/>
    </xf>
    <xf numFmtId="0" fontId="8" fillId="0" borderId="4" xfId="0" applyFont="1" applyBorder="1" applyAlignment="1" applyProtection="1">
      <alignment horizontal="center" vertical="center" wrapText="1"/>
      <protection hidden="1"/>
    </xf>
    <xf numFmtId="0" fontId="8" fillId="0" borderId="3" xfId="0" applyFont="1" applyBorder="1" applyAlignment="1" applyProtection="1">
      <alignment horizontal="center" vertical="center" wrapText="1"/>
      <protection hidden="1"/>
    </xf>
    <xf numFmtId="0" fontId="26" fillId="0" borderId="3" xfId="96" applyFont="1" applyBorder="1" applyAlignment="1" applyProtection="1">
      <alignment horizontal="center" vertical="center" wrapText="1"/>
      <protection hidden="1"/>
    </xf>
    <xf numFmtId="0" fontId="26" fillId="0" borderId="4" xfId="96" applyFont="1" applyBorder="1" applyAlignment="1" applyProtection="1">
      <alignment horizontal="center" vertical="center" wrapText="1"/>
      <protection hidden="1"/>
    </xf>
    <xf numFmtId="0" fontId="15" fillId="0" borderId="11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96" applyFont="1" applyBorder="1" applyAlignment="1" applyProtection="1">
      <alignment horizontal="center" vertical="center"/>
      <protection hidden="1"/>
    </xf>
    <xf numFmtId="0" fontId="8" fillId="0" borderId="3" xfId="96" applyFont="1" applyBorder="1" applyAlignment="1" applyProtection="1">
      <alignment horizontal="center" vertical="center"/>
      <protection hidden="1"/>
    </xf>
    <xf numFmtId="0" fontId="8" fillId="0" borderId="4" xfId="96" applyFont="1" applyBorder="1" applyAlignment="1" applyProtection="1">
      <alignment horizontal="center" vertical="center"/>
      <protection hidden="1"/>
    </xf>
    <xf numFmtId="0" fontId="15" fillId="0" borderId="63" xfId="0" applyFont="1" applyBorder="1" applyAlignment="1">
      <alignment horizontal="center" vertical="center" wrapText="1"/>
    </xf>
    <xf numFmtId="0" fontId="15" fillId="0" borderId="1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3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79" fontId="19" fillId="0" borderId="8" xfId="96" applyNumberFormat="1" applyFont="1" applyBorder="1" applyAlignment="1" applyProtection="1">
      <alignment horizontal="center" vertical="center"/>
      <protection hidden="1"/>
    </xf>
    <xf numFmtId="179" fontId="19" fillId="0" borderId="9" xfId="96" applyNumberFormat="1" applyFont="1" applyBorder="1" applyAlignment="1" applyProtection="1">
      <alignment horizontal="center" vertical="center"/>
      <protection hidden="1"/>
    </xf>
    <xf numFmtId="179" fontId="19" fillId="0" borderId="8" xfId="0" applyNumberFormat="1" applyFont="1" applyBorder="1" applyAlignment="1" applyProtection="1">
      <alignment horizontal="center" vertical="center" wrapText="1"/>
      <protection hidden="1"/>
    </xf>
    <xf numFmtId="179" fontId="19" fillId="0" borderId="9" xfId="0" applyNumberFormat="1" applyFont="1" applyBorder="1" applyAlignment="1" applyProtection="1">
      <alignment horizontal="center" vertical="center" wrapText="1"/>
      <protection hidden="1"/>
    </xf>
    <xf numFmtId="179" fontId="19" fillId="0" borderId="10" xfId="0" applyNumberFormat="1" applyFont="1" applyBorder="1" applyAlignment="1" applyProtection="1">
      <alignment horizontal="center" vertical="center" wrapText="1"/>
      <protection hidden="1"/>
    </xf>
    <xf numFmtId="179" fontId="19" fillId="0" borderId="10" xfId="96" applyNumberFormat="1" applyFont="1" applyBorder="1" applyAlignment="1" applyProtection="1">
      <alignment horizontal="center" vertical="center"/>
      <protection hidden="1"/>
    </xf>
    <xf numFmtId="179" fontId="19" fillId="0" borderId="2" xfId="0" applyNumberFormat="1" applyFont="1" applyBorder="1" applyAlignment="1" applyProtection="1">
      <alignment horizontal="center" vertical="center" wrapText="1"/>
      <protection hidden="1"/>
    </xf>
    <xf numFmtId="179" fontId="19" fillId="0" borderId="3" xfId="0" applyNumberFormat="1" applyFont="1" applyBorder="1" applyAlignment="1" applyProtection="1">
      <alignment horizontal="center" vertical="center" wrapText="1"/>
      <protection hidden="1"/>
    </xf>
    <xf numFmtId="179" fontId="19" fillId="0" borderId="4" xfId="0" applyNumberFormat="1" applyFont="1" applyBorder="1" applyAlignment="1" applyProtection="1">
      <alignment horizontal="center" vertical="center" wrapText="1"/>
      <protection hidden="1"/>
    </xf>
    <xf numFmtId="0" fontId="15" fillId="0" borderId="132" xfId="0" applyFont="1" applyBorder="1" applyAlignment="1">
      <alignment horizontal="center" vertical="center"/>
    </xf>
    <xf numFmtId="0" fontId="15" fillId="0" borderId="133" xfId="0" applyFont="1" applyBorder="1" applyAlignment="1">
      <alignment horizontal="center" vertical="center"/>
    </xf>
    <xf numFmtId="0" fontId="10" fillId="0" borderId="121" xfId="0" applyFont="1" applyBorder="1" applyAlignment="1">
      <alignment horizontal="center" vertical="center"/>
    </xf>
    <xf numFmtId="179" fontId="33" fillId="0" borderId="9" xfId="96" applyNumberFormat="1" applyFont="1" applyBorder="1" applyAlignment="1" applyProtection="1">
      <alignment horizontal="center" vertical="center" wrapText="1"/>
      <protection hidden="1"/>
    </xf>
    <xf numFmtId="179" fontId="33" fillId="0" borderId="10" xfId="96" applyNumberFormat="1" applyFont="1" applyBorder="1" applyAlignment="1" applyProtection="1">
      <alignment horizontal="center" vertical="center" wrapText="1"/>
      <protection hidden="1"/>
    </xf>
    <xf numFmtId="0" fontId="12" fillId="0" borderId="1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5" fillId="0" borderId="13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center" vertical="center"/>
      <protection hidden="1"/>
    </xf>
    <xf numFmtId="0" fontId="8" fillId="0" borderId="3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8" fillId="0" borderId="16" xfId="0" applyFont="1" applyBorder="1" applyAlignment="1" applyProtection="1">
      <alignment horizontal="center" vertical="center" wrapText="1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16" xfId="0" applyFont="1" applyBorder="1" applyAlignment="1" applyProtection="1">
      <alignment horizontal="center" vertical="center"/>
      <protection hidden="1"/>
    </xf>
    <xf numFmtId="0" fontId="30" fillId="0" borderId="0" xfId="0" applyFont="1" applyBorder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hidden="1"/>
    </xf>
    <xf numFmtId="0" fontId="7" fillId="0" borderId="87" xfId="0" applyFont="1" applyBorder="1" applyAlignment="1">
      <alignment horizontal="center" vertical="center" wrapText="1"/>
    </xf>
    <xf numFmtId="0" fontId="7" fillId="0" borderId="88" xfId="0" applyFont="1" applyBorder="1" applyAlignment="1">
      <alignment horizontal="center" vertical="center" wrapText="1"/>
    </xf>
    <xf numFmtId="0" fontId="7" fillId="0" borderId="89" xfId="0" applyFont="1" applyBorder="1" applyAlignment="1">
      <alignment horizontal="center" vertical="center" wrapText="1"/>
    </xf>
    <xf numFmtId="0" fontId="7" fillId="0" borderId="90" xfId="0" applyFont="1" applyBorder="1" applyAlignment="1">
      <alignment horizontal="center" vertical="center" wrapText="1"/>
    </xf>
    <xf numFmtId="0" fontId="7" fillId="0" borderId="91" xfId="0" applyFont="1" applyBorder="1" applyAlignment="1">
      <alignment horizontal="center" vertical="center" wrapText="1"/>
    </xf>
    <xf numFmtId="0" fontId="7" fillId="0" borderId="92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left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2" fillId="0" borderId="6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52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86" xfId="0" applyFont="1" applyBorder="1" applyAlignment="1">
      <alignment horizontal="left" vertical="center" wrapText="1"/>
    </xf>
    <xf numFmtId="0" fontId="12" fillId="0" borderId="93" xfId="0" applyFont="1" applyBorder="1" applyAlignment="1">
      <alignment horizontal="left" vertical="center" wrapText="1"/>
    </xf>
    <xf numFmtId="0" fontId="12" fillId="0" borderId="53" xfId="0" applyFont="1" applyBorder="1" applyAlignment="1">
      <alignment horizontal="left" vertical="center" wrapText="1"/>
    </xf>
    <xf numFmtId="0" fontId="12" fillId="0" borderId="54" xfId="0" applyFont="1" applyBorder="1" applyAlignment="1">
      <alignment horizontal="left" vertical="center" wrapText="1"/>
    </xf>
    <xf numFmtId="0" fontId="12" fillId="0" borderId="94" xfId="0" applyFont="1" applyBorder="1" applyAlignment="1">
      <alignment horizontal="center" vertical="center" wrapText="1"/>
    </xf>
    <xf numFmtId="0" fontId="12" fillId="0" borderId="93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86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left" vertical="center" wrapText="1"/>
    </xf>
    <xf numFmtId="0" fontId="12" fillId="0" borderId="55" xfId="0" applyFont="1" applyBorder="1" applyAlignment="1">
      <alignment horizontal="left" vertical="center" wrapText="1"/>
    </xf>
    <xf numFmtId="0" fontId="12" fillId="0" borderId="61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2" fillId="0" borderId="79" xfId="0" applyFont="1" applyBorder="1" applyAlignment="1">
      <alignment horizontal="center" vertical="center" wrapText="1"/>
    </xf>
    <xf numFmtId="0" fontId="12" fillId="0" borderId="82" xfId="0" applyFont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9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2" fillId="0" borderId="83" xfId="0" applyFont="1" applyBorder="1" applyAlignment="1">
      <alignment horizontal="center" vertical="center" wrapText="1"/>
    </xf>
    <xf numFmtId="0" fontId="12" fillId="0" borderId="105" xfId="0" applyFont="1" applyBorder="1" applyAlignment="1">
      <alignment horizontal="center" vertical="center" wrapText="1"/>
    </xf>
    <xf numFmtId="0" fontId="12" fillId="0" borderId="110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107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0" fontId="12" fillId="0" borderId="97" xfId="0" applyFont="1" applyBorder="1" applyAlignment="1">
      <alignment horizontal="center" vertical="center" wrapText="1"/>
    </xf>
    <xf numFmtId="0" fontId="12" fillId="0" borderId="65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0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106" xfId="0" applyFont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2" fillId="6" borderId="6" xfId="0" applyFont="1" applyFill="1" applyBorder="1" applyAlignment="1">
      <alignment horizontal="left"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2" fillId="6" borderId="13" xfId="0" applyFont="1" applyFill="1" applyBorder="1" applyAlignment="1">
      <alignment horizontal="left" vertical="center" wrapText="1"/>
    </xf>
    <xf numFmtId="0" fontId="12" fillId="6" borderId="11" xfId="0" applyFont="1" applyFill="1" applyBorder="1" applyAlignment="1">
      <alignment horizontal="left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111" xfId="0" applyFont="1" applyBorder="1" applyAlignment="1">
      <alignment horizontal="center" vertical="center" wrapText="1"/>
    </xf>
    <xf numFmtId="0" fontId="12" fillId="0" borderId="112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center" wrapText="1"/>
    </xf>
    <xf numFmtId="0" fontId="12" fillId="0" borderId="41" xfId="0" applyFont="1" applyBorder="1" applyAlignment="1">
      <alignment horizontal="left" vertical="center" wrapText="1"/>
    </xf>
    <xf numFmtId="0" fontId="12" fillId="0" borderId="95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2" fillId="0" borderId="69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49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124" xfId="0" applyFont="1" applyBorder="1" applyAlignment="1">
      <alignment horizontal="center" vertical="center" wrapText="1"/>
    </xf>
    <xf numFmtId="0" fontId="12" fillId="0" borderId="125" xfId="0" applyFont="1" applyBorder="1" applyAlignment="1">
      <alignment horizontal="center" vertical="center" wrapText="1"/>
    </xf>
    <xf numFmtId="0" fontId="12" fillId="0" borderId="126" xfId="0" applyFont="1" applyBorder="1" applyAlignment="1">
      <alignment horizontal="center" vertical="center" wrapText="1"/>
    </xf>
    <xf numFmtId="0" fontId="12" fillId="0" borderId="127" xfId="0" applyFont="1" applyBorder="1" applyAlignment="1">
      <alignment horizontal="center" vertical="center" wrapText="1"/>
    </xf>
    <xf numFmtId="0" fontId="12" fillId="0" borderId="123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</cellXfs>
  <cellStyles count="98">
    <cellStyle name="style1548813948026" xfId="2"/>
    <cellStyle name="style1548813948168" xfId="4"/>
    <cellStyle name="style1548813948233" xfId="5"/>
    <cellStyle name="style1548813948296" xfId="3"/>
    <cellStyle name="style1548813948349" xfId="6"/>
    <cellStyle name="style1548813948413" xfId="7"/>
    <cellStyle name="style1548813948472" xfId="9"/>
    <cellStyle name="style1548813948530" xfId="10"/>
    <cellStyle name="style1548813948586" xfId="14"/>
    <cellStyle name="style1548813948643" xfId="15"/>
    <cellStyle name="style1548813948701" xfId="8"/>
    <cellStyle name="style1548813948760" xfId="11"/>
    <cellStyle name="style1548813948815" xfId="12"/>
    <cellStyle name="style1548813948858" xfId="13"/>
    <cellStyle name="style1548813948901" xfId="16"/>
    <cellStyle name="style1548813948993" xfId="17"/>
    <cellStyle name="style1548813949052" xfId="18"/>
    <cellStyle name="style1548813949104" xfId="19"/>
    <cellStyle name="style1548813949161" xfId="20"/>
    <cellStyle name="style1548813949218" xfId="21"/>
    <cellStyle name="style1548813949326" xfId="22"/>
    <cellStyle name="style1548813949373" xfId="25"/>
    <cellStyle name="style1548813949595" xfId="23"/>
    <cellStyle name="style1548813949651" xfId="24"/>
    <cellStyle name="style1548813949711" xfId="26"/>
    <cellStyle name="style1548813949766" xfId="27"/>
    <cellStyle name="style1548813949848" xfId="28"/>
    <cellStyle name="style1548813949893" xfId="29"/>
    <cellStyle name="style1548813950065" xfId="30"/>
    <cellStyle name="style1548813950121" xfId="31"/>
    <cellStyle name="style1548825861227" xfId="40"/>
    <cellStyle name="style1548825861347" xfId="44"/>
    <cellStyle name="style1548825861734" xfId="32"/>
    <cellStyle name="style1548825861787" xfId="33"/>
    <cellStyle name="style1548825861848" xfId="34"/>
    <cellStyle name="style1548825861905" xfId="35"/>
    <cellStyle name="style1548825861962" xfId="36"/>
    <cellStyle name="style1548825862068" xfId="37"/>
    <cellStyle name="style1548825862111" xfId="41"/>
    <cellStyle name="style1548825862309" xfId="45"/>
    <cellStyle name="style1548825862350" xfId="38"/>
    <cellStyle name="style1548825862402" xfId="39"/>
    <cellStyle name="style1548825862458" xfId="42"/>
    <cellStyle name="style1548825862509" xfId="43"/>
    <cellStyle name="style1548825862685" xfId="46"/>
    <cellStyle name="style1548825862740" xfId="47"/>
    <cellStyle name="style1548829737998" xfId="56"/>
    <cellStyle name="style1548829738104" xfId="60"/>
    <cellStyle name="style1548829738493" xfId="48"/>
    <cellStyle name="style1548829738548" xfId="49"/>
    <cellStyle name="style1548829738601" xfId="50"/>
    <cellStyle name="style1548829738655" xfId="51"/>
    <cellStyle name="style1548829738719" xfId="52"/>
    <cellStyle name="style1548829738825" xfId="53"/>
    <cellStyle name="style1548829738864" xfId="57"/>
    <cellStyle name="style1548829738998" xfId="61"/>
    <cellStyle name="style1548829739043" xfId="54"/>
    <cellStyle name="style1548829739100" xfId="55"/>
    <cellStyle name="style1548829739153" xfId="58"/>
    <cellStyle name="style1548829739207" xfId="59"/>
    <cellStyle name="style1548829739337" xfId="62"/>
    <cellStyle name="style1548829739388" xfId="63"/>
    <cellStyle name="style1548834158837" xfId="72"/>
    <cellStyle name="style1548834159036" xfId="76"/>
    <cellStyle name="style1548834159475" xfId="64"/>
    <cellStyle name="style1548834159534" xfId="65"/>
    <cellStyle name="style1548834159591" xfId="66"/>
    <cellStyle name="style1548834159649" xfId="67"/>
    <cellStyle name="style1548834159706" xfId="68"/>
    <cellStyle name="style1548834159828" xfId="69"/>
    <cellStyle name="style1548834159871" xfId="73"/>
    <cellStyle name="style1548834160112" xfId="77"/>
    <cellStyle name="style1548834160157" xfId="70"/>
    <cellStyle name="style1548834160213" xfId="71"/>
    <cellStyle name="style1548834160273" xfId="74"/>
    <cellStyle name="style1548834160327" xfId="75"/>
    <cellStyle name="style1548834160498" xfId="78"/>
    <cellStyle name="style1548834160558" xfId="79"/>
    <cellStyle name="style1548837220970" xfId="88"/>
    <cellStyle name="style1548837221082" xfId="92"/>
    <cellStyle name="style1548837221453" xfId="80"/>
    <cellStyle name="style1548837221514" xfId="81"/>
    <cellStyle name="style1548837221573" xfId="82"/>
    <cellStyle name="style1548837221634" xfId="83"/>
    <cellStyle name="style1548837221701" xfId="84"/>
    <cellStyle name="style1548837221811" xfId="85"/>
    <cellStyle name="style1548837221855" xfId="89"/>
    <cellStyle name="style1548837221983" xfId="93"/>
    <cellStyle name="style1548837222026" xfId="86"/>
    <cellStyle name="style1548837222079" xfId="87"/>
    <cellStyle name="style1548837222130" xfId="90"/>
    <cellStyle name="style1548837222186" xfId="91"/>
    <cellStyle name="style1548837222316" xfId="94"/>
    <cellStyle name="style1548837222369" xfId="95"/>
    <cellStyle name="표준" xfId="0" builtinId="0"/>
    <cellStyle name="표준 2" xfId="1"/>
    <cellStyle name="표준 8 2" xfId="97"/>
    <cellStyle name="하이퍼링크" xfId="96" builtinId="8"/>
  </cellStyles>
  <dxfs count="0"/>
  <tableStyles count="0" defaultTableStyle="TableStyleMedium2" defaultPivotStyle="PivotStyleLight16"/>
  <colors>
    <mruColors>
      <color rgb="FF0000FF"/>
      <color rgb="FF00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tabSelected="1" zoomScale="115" zoomScaleNormal="115" workbookViewId="0">
      <selection activeCell="C2" sqref="C2:P3"/>
    </sheetView>
  </sheetViews>
  <sheetFormatPr defaultColWidth="9" defaultRowHeight="15"/>
  <cols>
    <col min="1" max="1" width="1.875" style="59" customWidth="1"/>
    <col min="2" max="2" width="0.875" style="60" customWidth="1"/>
    <col min="3" max="5" width="3.875" style="59" customWidth="1"/>
    <col min="6" max="13" width="12.5" style="59" customWidth="1"/>
    <col min="14" max="16" width="3.875" style="59" customWidth="1"/>
    <col min="17" max="17" width="0.875" style="59" customWidth="1"/>
    <col min="18" max="16384" width="9" style="59"/>
  </cols>
  <sheetData>
    <row r="1" spans="2:17" ht="5.25" customHeight="1" thickBot="1">
      <c r="B1" s="58"/>
      <c r="C1" s="4"/>
      <c r="P1" s="4"/>
      <c r="Q1" s="4"/>
    </row>
    <row r="2" spans="2:17" ht="14.25" customHeight="1">
      <c r="B2" s="58"/>
      <c r="C2" s="253" t="s">
        <v>1108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5"/>
      <c r="Q2" s="4"/>
    </row>
    <row r="3" spans="2:17" ht="14.25" customHeight="1" thickBot="1">
      <c r="B3" s="58"/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8"/>
      <c r="Q3" s="4"/>
    </row>
    <row r="4" spans="2:17" ht="5.25" customHeight="1">
      <c r="B4" s="58"/>
      <c r="C4" s="4"/>
      <c r="P4" s="4"/>
      <c r="Q4" s="4"/>
    </row>
    <row r="5" spans="2:17" ht="14.25" customHeight="1"/>
    <row r="6" spans="2:17" ht="5.25" customHeight="1"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</row>
    <row r="7" spans="2:17" ht="14.25" customHeight="1">
      <c r="B7" s="61"/>
      <c r="C7" s="175" t="s">
        <v>1070</v>
      </c>
      <c r="D7" s="175"/>
      <c r="E7" s="175"/>
      <c r="Q7" s="62"/>
    </row>
    <row r="8" spans="2:17" ht="14.25" customHeight="1">
      <c r="B8" s="61"/>
      <c r="E8" s="171"/>
      <c r="F8" s="172"/>
      <c r="G8" s="267" t="s">
        <v>1742</v>
      </c>
      <c r="H8" s="259" t="s">
        <v>1737</v>
      </c>
      <c r="I8" s="260"/>
      <c r="J8" s="265"/>
      <c r="K8" s="259" t="s">
        <v>1062</v>
      </c>
      <c r="L8" s="260"/>
      <c r="M8" s="260"/>
      <c r="Q8" s="62"/>
    </row>
    <row r="9" spans="2:17" ht="14.25" customHeight="1">
      <c r="B9" s="61"/>
      <c r="E9" s="74"/>
      <c r="F9" s="192"/>
      <c r="G9" s="268"/>
      <c r="H9" s="155" t="s">
        <v>1778</v>
      </c>
      <c r="I9" s="155" t="s">
        <v>1738</v>
      </c>
      <c r="J9" s="155" t="s">
        <v>1739</v>
      </c>
      <c r="K9" s="155" t="s">
        <v>1778</v>
      </c>
      <c r="L9" s="155" t="s">
        <v>1738</v>
      </c>
      <c r="M9" s="71" t="s">
        <v>1739</v>
      </c>
      <c r="Q9" s="62"/>
    </row>
    <row r="10" spans="2:17" ht="14.25" customHeight="1">
      <c r="B10" s="61"/>
      <c r="E10" s="265" t="s">
        <v>1058</v>
      </c>
      <c r="F10" s="266"/>
      <c r="G10" s="155" t="s">
        <v>1743</v>
      </c>
      <c r="H10" s="155" t="s">
        <v>1741</v>
      </c>
      <c r="I10" s="155" t="s">
        <v>1741</v>
      </c>
      <c r="J10" s="72" t="s">
        <v>1740</v>
      </c>
      <c r="K10" s="155" t="s">
        <v>1741</v>
      </c>
      <c r="L10" s="155" t="s">
        <v>1741</v>
      </c>
      <c r="M10" s="73" t="s">
        <v>1</v>
      </c>
      <c r="Q10" s="62"/>
    </row>
    <row r="11" spans="2:17" ht="14.25" customHeight="1">
      <c r="B11" s="61"/>
      <c r="E11" s="265" t="s">
        <v>1728</v>
      </c>
      <c r="F11" s="266"/>
      <c r="G11" s="155" t="s">
        <v>1744</v>
      </c>
      <c r="H11" s="155" t="s">
        <v>1741</v>
      </c>
      <c r="I11" s="155" t="s">
        <v>1741</v>
      </c>
      <c r="J11" s="155" t="s">
        <v>1741</v>
      </c>
      <c r="K11" s="155" t="s">
        <v>1741</v>
      </c>
      <c r="L11" s="155" t="s">
        <v>1741</v>
      </c>
      <c r="M11" s="73" t="s">
        <v>1741</v>
      </c>
      <c r="Q11" s="62"/>
    </row>
    <row r="12" spans="2:17" ht="14.25" customHeight="1">
      <c r="B12" s="61"/>
      <c r="E12" s="63"/>
      <c r="Q12" s="62"/>
    </row>
    <row r="13" spans="2:17" ht="5.25" customHeight="1">
      <c r="B13" s="6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</row>
    <row r="14" spans="2:17" ht="14.25" customHeight="1"/>
    <row r="15" spans="2:17" ht="5.25" customHeight="1">
      <c r="B15" s="61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</row>
    <row r="16" spans="2:17" ht="14.25" customHeight="1">
      <c r="B16" s="61"/>
      <c r="C16" s="175" t="s">
        <v>1788</v>
      </c>
      <c r="D16" s="175"/>
      <c r="E16" s="175"/>
      <c r="Q16" s="62"/>
    </row>
    <row r="17" spans="2:17" ht="14.25" customHeight="1">
      <c r="B17" s="61"/>
      <c r="C17" s="175"/>
      <c r="D17" s="175"/>
      <c r="E17" s="63" t="s">
        <v>1779</v>
      </c>
      <c r="Q17" s="62"/>
    </row>
    <row r="18" spans="2:17" ht="14.25" customHeight="1">
      <c r="B18" s="61"/>
      <c r="C18" s="175"/>
      <c r="D18" s="175"/>
      <c r="E18" s="63" t="s">
        <v>1780</v>
      </c>
      <c r="Q18" s="62"/>
    </row>
    <row r="19" spans="2:17" ht="14.25" customHeight="1">
      <c r="B19" s="61"/>
      <c r="E19" s="63" t="s">
        <v>1781</v>
      </c>
      <c r="Q19" s="62"/>
    </row>
    <row r="20" spans="2:17" ht="14.25" customHeight="1">
      <c r="B20" s="61"/>
      <c r="E20" s="63" t="s">
        <v>1776</v>
      </c>
      <c r="Q20" s="62"/>
    </row>
    <row r="21" spans="2:17" ht="14.25" customHeight="1">
      <c r="B21" s="61"/>
      <c r="E21" s="63" t="s">
        <v>1782</v>
      </c>
      <c r="Q21" s="62"/>
    </row>
    <row r="22" spans="2:17" ht="14.25" customHeight="1">
      <c r="B22" s="61"/>
      <c r="E22" s="63"/>
      <c r="Q22" s="62"/>
    </row>
    <row r="23" spans="2:17" ht="5.25" customHeight="1">
      <c r="B23" s="61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</row>
    <row r="24" spans="2:17" ht="14.25" customHeight="1"/>
    <row r="25" spans="2:17" ht="5.25" customHeight="1">
      <c r="B25" s="6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</row>
    <row r="26" spans="2:17" ht="14.25" customHeight="1">
      <c r="B26" s="61"/>
      <c r="C26" s="175" t="s">
        <v>1054</v>
      </c>
      <c r="D26" s="175"/>
      <c r="E26" s="175"/>
      <c r="Q26" s="62"/>
    </row>
    <row r="27" spans="2:17" ht="14.25" customHeight="1">
      <c r="B27" s="61"/>
      <c r="E27" s="63" t="s">
        <v>1775</v>
      </c>
      <c r="Q27" s="62"/>
    </row>
    <row r="28" spans="2:17" ht="14.25" customHeight="1">
      <c r="B28" s="61"/>
      <c r="E28" s="63" t="s">
        <v>1057</v>
      </c>
      <c r="Q28" s="62"/>
    </row>
    <row r="29" spans="2:17" ht="14.25" customHeight="1">
      <c r="B29" s="61"/>
      <c r="E29" s="63" t="s">
        <v>1777</v>
      </c>
      <c r="Q29" s="62"/>
    </row>
    <row r="30" spans="2:17" ht="14.25" customHeight="1">
      <c r="B30" s="61"/>
      <c r="Q30" s="62"/>
    </row>
    <row r="31" spans="2:17" ht="5.25" customHeight="1"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3" spans="2:17" ht="5.25" customHeight="1"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</row>
    <row r="34" spans="2:17" ht="14.25" customHeight="1">
      <c r="B34" s="61"/>
      <c r="C34" s="175" t="s">
        <v>1055</v>
      </c>
      <c r="D34" s="175"/>
      <c r="E34" s="175"/>
      <c r="Q34" s="62"/>
    </row>
    <row r="35" spans="2:17" ht="14.25" customHeight="1">
      <c r="B35" s="61"/>
      <c r="E35" s="63" t="s">
        <v>1063</v>
      </c>
      <c r="F35" s="64"/>
      <c r="G35" s="64"/>
      <c r="Q35" s="62"/>
    </row>
    <row r="36" spans="2:17" ht="14.25" customHeight="1">
      <c r="B36" s="61"/>
      <c r="E36" s="63" t="s">
        <v>1064</v>
      </c>
      <c r="F36" s="64"/>
      <c r="G36" s="64"/>
      <c r="Q36" s="62"/>
    </row>
    <row r="37" spans="2:17" ht="14.25" customHeight="1">
      <c r="B37" s="61"/>
      <c r="E37" s="63" t="s">
        <v>1065</v>
      </c>
      <c r="F37" s="64"/>
      <c r="G37" s="64"/>
      <c r="Q37" s="62"/>
    </row>
    <row r="38" spans="2:17" ht="14.25" customHeight="1">
      <c r="B38" s="61"/>
      <c r="E38" s="63" t="s">
        <v>1829</v>
      </c>
      <c r="F38" s="64"/>
      <c r="G38" s="64"/>
      <c r="Q38" s="62"/>
    </row>
    <row r="39" spans="2:17" ht="14.25" customHeight="1">
      <c r="B39" s="61"/>
      <c r="Q39" s="62"/>
    </row>
    <row r="40" spans="2:17" ht="5.25" customHeight="1"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</row>
    <row r="41" spans="2:17" ht="14.25" customHeight="1"/>
    <row r="42" spans="2:17" ht="5.25" customHeight="1"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</row>
    <row r="43" spans="2:17" ht="15" customHeight="1">
      <c r="B43" s="61"/>
      <c r="C43" s="175" t="s">
        <v>1056</v>
      </c>
      <c r="D43" s="175"/>
      <c r="E43" s="175"/>
      <c r="Q43" s="62"/>
    </row>
    <row r="44" spans="2:17" ht="14.25" customHeight="1">
      <c r="B44" s="61"/>
      <c r="C44" s="65"/>
      <c r="D44" s="65"/>
      <c r="E44" s="63" t="s">
        <v>1729</v>
      </c>
      <c r="F44" s="64"/>
      <c r="G44" s="64"/>
      <c r="H44" s="64"/>
      <c r="I44" s="66" t="s">
        <v>1731</v>
      </c>
      <c r="K44" s="67"/>
      <c r="L44" s="67"/>
      <c r="M44" s="67"/>
      <c r="Q44" s="62"/>
    </row>
    <row r="45" spans="2:17" ht="14.25" customHeight="1">
      <c r="B45" s="61"/>
      <c r="C45" s="65"/>
      <c r="D45" s="65"/>
      <c r="E45" s="63" t="s">
        <v>1730</v>
      </c>
      <c r="F45" s="64"/>
      <c r="G45" s="64"/>
      <c r="H45" s="64"/>
      <c r="I45" s="66" t="s">
        <v>1732</v>
      </c>
      <c r="K45" s="67"/>
      <c r="L45" s="67"/>
      <c r="M45" s="67"/>
      <c r="Q45" s="62"/>
    </row>
    <row r="46" spans="2:17" ht="14.25" customHeight="1">
      <c r="B46" s="61"/>
      <c r="C46" s="65"/>
      <c r="D46" s="65"/>
      <c r="E46" s="63" t="s">
        <v>1733</v>
      </c>
      <c r="F46" s="64"/>
      <c r="G46" s="64"/>
      <c r="H46" s="64"/>
      <c r="I46" s="66" t="s">
        <v>1735</v>
      </c>
      <c r="K46" s="67"/>
      <c r="L46" s="67"/>
      <c r="M46" s="67"/>
      <c r="Q46" s="62"/>
    </row>
    <row r="47" spans="2:17" ht="14.25" customHeight="1">
      <c r="B47" s="61"/>
      <c r="C47" s="65"/>
      <c r="D47" s="65"/>
      <c r="E47" s="63" t="s">
        <v>1734</v>
      </c>
      <c r="F47" s="64"/>
      <c r="G47" s="64"/>
      <c r="H47" s="64"/>
      <c r="I47" s="66" t="s">
        <v>1736</v>
      </c>
      <c r="K47" s="67"/>
      <c r="L47" s="67"/>
      <c r="M47" s="67"/>
      <c r="Q47" s="62"/>
    </row>
    <row r="48" spans="2:17" ht="14.25" customHeight="1">
      <c r="B48" s="61"/>
      <c r="C48" s="65"/>
      <c r="D48" s="65"/>
      <c r="E48" s="63" t="s">
        <v>22</v>
      </c>
      <c r="F48" s="64"/>
      <c r="G48" s="64"/>
      <c r="H48" s="64"/>
      <c r="I48" s="64"/>
      <c r="J48" s="66"/>
      <c r="K48" s="67"/>
      <c r="L48" s="67"/>
      <c r="M48" s="67"/>
      <c r="Q48" s="62"/>
    </row>
    <row r="49" spans="2:17" ht="14.25" customHeight="1">
      <c r="B49" s="61"/>
      <c r="F49" s="64"/>
      <c r="G49" s="64"/>
      <c r="H49" s="64"/>
      <c r="I49" s="64"/>
      <c r="J49" s="64"/>
      <c r="K49" s="67"/>
      <c r="L49" s="67"/>
      <c r="M49" s="67"/>
      <c r="Q49" s="62"/>
    </row>
    <row r="50" spans="2:17" ht="5.25" customHeight="1"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</row>
    <row r="51" spans="2:17" ht="14.25" customHeight="1"/>
    <row r="52" spans="2:17" ht="5.25" customHeight="1"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</row>
    <row r="53" spans="2:17" ht="15" customHeight="1">
      <c r="B53" s="61"/>
      <c r="C53" s="175" t="s">
        <v>1746</v>
      </c>
      <c r="D53" s="175"/>
      <c r="E53" s="175"/>
      <c r="Q53" s="62"/>
    </row>
    <row r="54" spans="2:17" ht="14.25" customHeight="1">
      <c r="B54" s="61"/>
      <c r="C54" s="65"/>
      <c r="D54" s="65"/>
      <c r="E54" s="68"/>
      <c r="F54" s="68"/>
      <c r="G54" s="69"/>
      <c r="H54" s="70" t="s">
        <v>1059</v>
      </c>
      <c r="I54" s="70" t="s">
        <v>1061</v>
      </c>
      <c r="J54" s="71" t="s">
        <v>1062</v>
      </c>
      <c r="L54" s="168"/>
      <c r="M54" s="168"/>
      <c r="Q54" s="62"/>
    </row>
    <row r="55" spans="2:17" ht="14.25" customHeight="1">
      <c r="B55" s="61"/>
      <c r="C55" s="65"/>
      <c r="D55" s="65"/>
      <c r="E55" s="265" t="s">
        <v>1058</v>
      </c>
      <c r="F55" s="266"/>
      <c r="G55" s="70" t="s">
        <v>1773</v>
      </c>
      <c r="H55" s="72">
        <v>5197</v>
      </c>
      <c r="I55" s="72">
        <v>2607</v>
      </c>
      <c r="J55" s="73">
        <v>2590</v>
      </c>
      <c r="L55" s="168"/>
      <c r="M55" s="169"/>
      <c r="Q55" s="62"/>
    </row>
    <row r="56" spans="2:17" ht="14.25" customHeight="1">
      <c r="B56" s="61"/>
      <c r="C56" s="65"/>
      <c r="D56" s="65"/>
      <c r="E56" s="261" t="s">
        <v>1728</v>
      </c>
      <c r="F56" s="262"/>
      <c r="G56" s="155" t="s">
        <v>1774</v>
      </c>
      <c r="H56" s="72">
        <v>4875</v>
      </c>
      <c r="I56" s="72">
        <v>2437</v>
      </c>
      <c r="J56" s="73">
        <v>2438</v>
      </c>
      <c r="L56" s="168"/>
      <c r="M56" s="170"/>
      <c r="Q56" s="62"/>
    </row>
    <row r="57" spans="2:17" ht="14.25" customHeight="1">
      <c r="B57" s="61"/>
      <c r="C57" s="65"/>
      <c r="D57" s="65"/>
      <c r="E57" s="263"/>
      <c r="F57" s="264"/>
      <c r="G57" s="155" t="s">
        <v>1745</v>
      </c>
      <c r="H57" s="173">
        <v>93.804117760246299</v>
      </c>
      <c r="I57" s="173">
        <v>93.479094744917532</v>
      </c>
      <c r="J57" s="174">
        <v>94.131274131274139</v>
      </c>
      <c r="L57" s="168"/>
      <c r="M57" s="170"/>
      <c r="Q57" s="62"/>
    </row>
    <row r="58" spans="2:17" ht="14.25" customHeight="1">
      <c r="B58" s="61"/>
      <c r="C58" s="65"/>
      <c r="D58" s="65"/>
      <c r="E58" s="74"/>
      <c r="F58" s="74"/>
      <c r="G58" s="74"/>
      <c r="H58" s="66"/>
      <c r="I58" s="66"/>
      <c r="J58" s="75"/>
      <c r="K58" s="67"/>
      <c r="L58" s="67"/>
      <c r="M58" s="67"/>
      <c r="Q58" s="62"/>
    </row>
    <row r="59" spans="2:17" ht="5.25" customHeight="1">
      <c r="B59" s="61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</row>
  </sheetData>
  <mergeCells count="8">
    <mergeCell ref="C2:P3"/>
    <mergeCell ref="K8:M8"/>
    <mergeCell ref="E56:F57"/>
    <mergeCell ref="E10:F10"/>
    <mergeCell ref="E11:F11"/>
    <mergeCell ref="H8:J8"/>
    <mergeCell ref="E55:F55"/>
    <mergeCell ref="G8:G9"/>
  </mergeCells>
  <phoneticPr fontId="1" type="noConversion"/>
  <pageMargins left="0.7" right="0.7" top="0.75" bottom="0.75" header="0.3" footer="0.3"/>
  <pageSetup paperSize="9"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74"/>
  <sheetViews>
    <sheetView showGridLines="0" zoomScale="90" zoomScaleNormal="90" workbookViewId="0">
      <pane ySplit="5" topLeftCell="A6" activePane="bottomLeft" state="frozen"/>
      <selection pane="bottomLeft" activeCell="B1" sqref="B1:J2"/>
    </sheetView>
  </sheetViews>
  <sheetFormatPr defaultColWidth="9" defaultRowHeight="18" customHeight="1"/>
  <cols>
    <col min="1" max="1" width="2.625" style="87" customWidth="1"/>
    <col min="2" max="2" width="10.625" style="87" bestFit="1" customWidth="1"/>
    <col min="3" max="3" width="20.625" style="87" bestFit="1" customWidth="1"/>
    <col min="4" max="4" width="13.625" style="87" customWidth="1"/>
    <col min="5" max="5" width="37.125" style="87" bestFit="1" customWidth="1"/>
    <col min="6" max="6" width="17.625" style="87" bestFit="1" customWidth="1"/>
    <col min="7" max="7" width="102.125" style="110" bestFit="1" customWidth="1"/>
    <col min="8" max="8" width="13.875" style="87" customWidth="1"/>
    <col min="9" max="10" width="13.625" style="87" customWidth="1"/>
    <col min="11" max="16384" width="9" style="87"/>
  </cols>
  <sheetData>
    <row r="1" spans="2:10" s="86" customFormat="1" ht="18" customHeight="1">
      <c r="B1" s="269" t="s">
        <v>1756</v>
      </c>
      <c r="C1" s="269"/>
      <c r="D1" s="269"/>
      <c r="E1" s="269"/>
      <c r="F1" s="269"/>
      <c r="G1" s="269"/>
      <c r="H1" s="269"/>
      <c r="I1" s="269"/>
      <c r="J1" s="269"/>
    </row>
    <row r="2" spans="2:10" s="86" customFormat="1" ht="18" customHeight="1" thickBot="1">
      <c r="B2" s="270"/>
      <c r="C2" s="270"/>
      <c r="D2" s="270"/>
      <c r="E2" s="270"/>
      <c r="F2" s="270"/>
      <c r="G2" s="270"/>
      <c r="H2" s="270"/>
      <c r="I2" s="270"/>
      <c r="J2" s="270"/>
    </row>
    <row r="3" spans="2:10" s="86" customFormat="1" ht="18" customHeight="1" thickBot="1">
      <c r="B3" s="277" t="s">
        <v>1067</v>
      </c>
      <c r="C3" s="277"/>
      <c r="D3" s="277"/>
      <c r="E3" s="277"/>
      <c r="F3" s="277"/>
      <c r="G3" s="277"/>
      <c r="H3" s="277"/>
      <c r="I3" s="277"/>
      <c r="J3" s="277"/>
    </row>
    <row r="4" spans="2:10" ht="18" customHeight="1">
      <c r="B4" s="271" t="s">
        <v>1329</v>
      </c>
      <c r="C4" s="271" t="s">
        <v>1341</v>
      </c>
      <c r="D4" s="271" t="s">
        <v>1330</v>
      </c>
      <c r="E4" s="271" t="s">
        <v>1118</v>
      </c>
      <c r="F4" s="271" t="s">
        <v>1117</v>
      </c>
      <c r="G4" s="273" t="s">
        <v>16</v>
      </c>
      <c r="H4" s="273" t="s">
        <v>17</v>
      </c>
      <c r="I4" s="275" t="s">
        <v>18</v>
      </c>
      <c r="J4" s="276"/>
    </row>
    <row r="5" spans="2:10" ht="18" customHeight="1">
      <c r="B5" s="272"/>
      <c r="C5" s="272"/>
      <c r="D5" s="272"/>
      <c r="E5" s="272"/>
      <c r="F5" s="272"/>
      <c r="G5" s="274"/>
      <c r="H5" s="274"/>
      <c r="I5" s="88" t="s">
        <v>1066</v>
      </c>
      <c r="J5" s="88" t="s">
        <v>1575</v>
      </c>
    </row>
    <row r="6" spans="2:10" ht="18" customHeight="1">
      <c r="B6" s="89" t="s">
        <v>1301</v>
      </c>
      <c r="C6" s="90" t="s">
        <v>1301</v>
      </c>
      <c r="D6" s="90" t="s">
        <v>1301</v>
      </c>
      <c r="E6" s="90" t="s">
        <v>1301</v>
      </c>
      <c r="F6" s="90" t="s">
        <v>1426</v>
      </c>
      <c r="G6" s="91" t="s">
        <v>1331</v>
      </c>
      <c r="H6" s="92" t="s">
        <v>1095</v>
      </c>
      <c r="I6" s="93" t="s">
        <v>13</v>
      </c>
      <c r="J6" s="93" t="s">
        <v>15</v>
      </c>
    </row>
    <row r="7" spans="2:10" ht="18" customHeight="1">
      <c r="B7" s="87" t="s">
        <v>1302</v>
      </c>
      <c r="C7" s="92" t="s">
        <v>1301</v>
      </c>
      <c r="D7" s="92" t="s">
        <v>1301</v>
      </c>
      <c r="E7" s="92" t="s">
        <v>1302</v>
      </c>
      <c r="F7" s="92" t="s">
        <v>1301</v>
      </c>
      <c r="G7" s="91" t="s">
        <v>1335</v>
      </c>
      <c r="H7" s="92" t="s">
        <v>1096</v>
      </c>
      <c r="I7" s="93" t="s">
        <v>1100</v>
      </c>
      <c r="J7" s="93" t="s">
        <v>1576</v>
      </c>
    </row>
    <row r="8" spans="2:10" ht="18" customHeight="1">
      <c r="B8" s="87" t="s">
        <v>1302</v>
      </c>
      <c r="C8" s="92" t="s">
        <v>1302</v>
      </c>
      <c r="D8" s="92" t="s">
        <v>1302</v>
      </c>
      <c r="E8" s="92" t="s">
        <v>1302</v>
      </c>
      <c r="F8" s="92" t="s">
        <v>1302</v>
      </c>
      <c r="G8" s="91" t="s">
        <v>1332</v>
      </c>
      <c r="H8" s="92" t="s">
        <v>1071</v>
      </c>
      <c r="I8" s="93" t="s">
        <v>14</v>
      </c>
      <c r="J8" s="93" t="s">
        <v>15</v>
      </c>
    </row>
    <row r="9" spans="2:10" ht="18" customHeight="1">
      <c r="B9" s="89" t="s">
        <v>1302</v>
      </c>
      <c r="C9" s="90" t="s">
        <v>1301</v>
      </c>
      <c r="D9" s="90" t="s">
        <v>1301</v>
      </c>
      <c r="E9" s="90" t="s">
        <v>1301</v>
      </c>
      <c r="F9" s="90" t="s">
        <v>1302</v>
      </c>
      <c r="G9" s="161" t="s">
        <v>1694</v>
      </c>
      <c r="H9" s="164" t="s">
        <v>1679</v>
      </c>
      <c r="I9" s="98" t="s">
        <v>14</v>
      </c>
      <c r="J9" s="98" t="s">
        <v>1576</v>
      </c>
    </row>
    <row r="10" spans="2:10" ht="18" customHeight="1">
      <c r="B10" s="87" t="s">
        <v>1302</v>
      </c>
      <c r="C10" s="92" t="s">
        <v>1302</v>
      </c>
      <c r="D10" s="92" t="s">
        <v>1302</v>
      </c>
      <c r="E10" s="92" t="s">
        <v>1302</v>
      </c>
      <c r="F10" s="92" t="s">
        <v>1302</v>
      </c>
      <c r="G10" s="162" t="s">
        <v>1695</v>
      </c>
      <c r="H10" s="165" t="s">
        <v>1680</v>
      </c>
      <c r="I10" s="93" t="s">
        <v>14</v>
      </c>
      <c r="J10" s="93" t="s">
        <v>15</v>
      </c>
    </row>
    <row r="11" spans="2:10" ht="18" customHeight="1">
      <c r="B11" s="87" t="s">
        <v>1302</v>
      </c>
      <c r="C11" s="92" t="s">
        <v>1302</v>
      </c>
      <c r="D11" s="92" t="s">
        <v>1302</v>
      </c>
      <c r="E11" s="92" t="s">
        <v>1302</v>
      </c>
      <c r="F11" s="92" t="s">
        <v>1302</v>
      </c>
      <c r="G11" s="162" t="s">
        <v>1696</v>
      </c>
      <c r="H11" s="165" t="s">
        <v>1681</v>
      </c>
      <c r="I11" s="93"/>
      <c r="J11" s="93" t="s">
        <v>15</v>
      </c>
    </row>
    <row r="12" spans="2:10" ht="18" customHeight="1">
      <c r="B12" s="160" t="s">
        <v>1302</v>
      </c>
      <c r="C12" s="100" t="s">
        <v>1302</v>
      </c>
      <c r="D12" s="100" t="s">
        <v>1302</v>
      </c>
      <c r="E12" s="100" t="s">
        <v>1302</v>
      </c>
      <c r="F12" s="100" t="s">
        <v>1302</v>
      </c>
      <c r="G12" s="163" t="s">
        <v>1697</v>
      </c>
      <c r="H12" s="166" t="s">
        <v>1682</v>
      </c>
      <c r="I12" s="95"/>
      <c r="J12" s="95" t="s">
        <v>15</v>
      </c>
    </row>
    <row r="13" spans="2:10" ht="18" customHeight="1">
      <c r="B13" s="89" t="s">
        <v>1302</v>
      </c>
      <c r="C13" s="90" t="s">
        <v>1302</v>
      </c>
      <c r="D13" s="90" t="s">
        <v>1302</v>
      </c>
      <c r="E13" s="90" t="s">
        <v>1302</v>
      </c>
      <c r="F13" s="90" t="s">
        <v>1302</v>
      </c>
      <c r="G13" s="97" t="s">
        <v>1675</v>
      </c>
      <c r="H13" s="204" t="str">
        <f>HYPERLINK("#CB_e4!code초SIBLING","SIBLING")</f>
        <v>SIBLING</v>
      </c>
      <c r="I13" s="215"/>
      <c r="J13" s="215" t="s">
        <v>15</v>
      </c>
    </row>
    <row r="14" spans="2:10" ht="18" customHeight="1">
      <c r="B14" s="87" t="s">
        <v>1302</v>
      </c>
      <c r="C14" s="92" t="s">
        <v>1302</v>
      </c>
      <c r="D14" s="92" t="s">
        <v>1302</v>
      </c>
      <c r="E14" s="92" t="s">
        <v>1302</v>
      </c>
      <c r="F14" s="92" t="s">
        <v>1302</v>
      </c>
      <c r="G14" s="91" t="s">
        <v>1711</v>
      </c>
      <c r="H14" s="208" t="str">
        <f>HYPERLINK("#CB_e4!code초SIBLING_T","SIBLING_T")</f>
        <v>SIBLING_T</v>
      </c>
      <c r="I14" s="216"/>
      <c r="J14" s="216" t="s">
        <v>15</v>
      </c>
    </row>
    <row r="15" spans="2:10" ht="18" customHeight="1">
      <c r="B15" s="160" t="s">
        <v>1302</v>
      </c>
      <c r="C15" s="100" t="s">
        <v>1302</v>
      </c>
      <c r="D15" s="100" t="s">
        <v>1302</v>
      </c>
      <c r="E15" s="100" t="s">
        <v>1302</v>
      </c>
      <c r="F15" s="100" t="s">
        <v>1302</v>
      </c>
      <c r="G15" s="94" t="s">
        <v>1676</v>
      </c>
      <c r="H15" s="206" t="str">
        <f>HYPERLINK("#CB_e4!code초SGRADE","SGRADE")</f>
        <v>SGRADE</v>
      </c>
      <c r="I15" s="217"/>
      <c r="J15" s="217" t="s">
        <v>15</v>
      </c>
    </row>
    <row r="16" spans="2:10" ht="18" customHeight="1">
      <c r="B16" s="89" t="s">
        <v>1302</v>
      </c>
      <c r="C16" s="90" t="s">
        <v>1301</v>
      </c>
      <c r="D16" s="90" t="s">
        <v>1301</v>
      </c>
      <c r="E16" s="90" t="s">
        <v>1302</v>
      </c>
      <c r="F16" s="90" t="s">
        <v>1301</v>
      </c>
      <c r="G16" s="97" t="s">
        <v>1678</v>
      </c>
      <c r="H16" s="204" t="str">
        <f>HYPERLINK("#CB_e4!code초SURVEY1","SURVEY1")</f>
        <v>SURVEY1</v>
      </c>
      <c r="I16" s="215"/>
      <c r="J16" s="215" t="s">
        <v>1576</v>
      </c>
    </row>
    <row r="17" spans="2:10" ht="18" customHeight="1">
      <c r="B17" s="160" t="s">
        <v>1302</v>
      </c>
      <c r="C17" s="100" t="s">
        <v>1301</v>
      </c>
      <c r="D17" s="100" t="s">
        <v>1301</v>
      </c>
      <c r="E17" s="100" t="s">
        <v>1302</v>
      </c>
      <c r="F17" s="100" t="s">
        <v>1301</v>
      </c>
      <c r="G17" s="94" t="s">
        <v>1677</v>
      </c>
      <c r="H17" s="206" t="str">
        <f>HYPERLINK("#CB_e4!code초SURVEY2","SURVEY2")</f>
        <v>SURVEY2</v>
      </c>
      <c r="I17" s="217"/>
      <c r="J17" s="217" t="s">
        <v>1576</v>
      </c>
    </row>
    <row r="18" spans="2:10" ht="18" customHeight="1">
      <c r="B18" s="87" t="s">
        <v>1302</v>
      </c>
      <c r="C18" s="92" t="s">
        <v>1302</v>
      </c>
      <c r="D18" s="92" t="s">
        <v>1302</v>
      </c>
      <c r="E18" s="92" t="s">
        <v>1302</v>
      </c>
      <c r="F18" s="92" t="s">
        <v>1301</v>
      </c>
      <c r="G18" s="94" t="s">
        <v>1333</v>
      </c>
      <c r="H18" s="206" t="str">
        <f>HYPERLINK("#CB_e4!code초COHORT","COHORT")</f>
        <v>COHORT</v>
      </c>
      <c r="I18" s="217" t="s">
        <v>14</v>
      </c>
      <c r="J18" s="217" t="s">
        <v>1576</v>
      </c>
    </row>
    <row r="19" spans="2:10" ht="18" customHeight="1">
      <c r="B19" s="96" t="s">
        <v>1427</v>
      </c>
      <c r="C19" s="90" t="s">
        <v>1301</v>
      </c>
      <c r="D19" s="90" t="s">
        <v>1301</v>
      </c>
      <c r="E19" s="90" t="s">
        <v>1</v>
      </c>
      <c r="F19" s="90" t="s">
        <v>1</v>
      </c>
      <c r="G19" s="97" t="s">
        <v>1336</v>
      </c>
      <c r="H19" s="204" t="str">
        <f>HYPERLINK("#CB_e4!code초ARA1A","ARA1A")</f>
        <v>ARA1A</v>
      </c>
      <c r="I19" s="215" t="s">
        <v>13</v>
      </c>
      <c r="J19" s="215" t="s">
        <v>15</v>
      </c>
    </row>
    <row r="20" spans="2:10" ht="18" customHeight="1">
      <c r="B20" s="101" t="s">
        <v>1427</v>
      </c>
      <c r="C20" s="92" t="s">
        <v>1301</v>
      </c>
      <c r="D20" s="92" t="s">
        <v>1301</v>
      </c>
      <c r="E20" s="92" t="s">
        <v>1</v>
      </c>
      <c r="F20" s="92" t="s">
        <v>1</v>
      </c>
      <c r="G20" s="91" t="s">
        <v>1801</v>
      </c>
      <c r="H20" s="208" t="str">
        <f>HYPERLINK("#CB_e4!code초ARA2A","ARA2A")</f>
        <v>ARA2A</v>
      </c>
      <c r="I20" s="216" t="s">
        <v>1803</v>
      </c>
      <c r="J20" s="216" t="s">
        <v>1802</v>
      </c>
    </row>
    <row r="21" spans="2:10" ht="18" customHeight="1">
      <c r="B21" s="99" t="s">
        <v>1421</v>
      </c>
      <c r="C21" s="100" t="s">
        <v>1301</v>
      </c>
      <c r="D21" s="100" t="s">
        <v>1</v>
      </c>
      <c r="E21" s="100" t="s">
        <v>1428</v>
      </c>
      <c r="F21" s="100" t="s">
        <v>1301</v>
      </c>
      <c r="G21" s="94" t="s">
        <v>1334</v>
      </c>
      <c r="H21" s="206" t="str">
        <f>HYPERLINK("#CB_e4!code초ARA1B","ARA1B")</f>
        <v>ARA1B</v>
      </c>
      <c r="I21" s="217" t="s">
        <v>13</v>
      </c>
      <c r="J21" s="217" t="s">
        <v>1577</v>
      </c>
    </row>
    <row r="22" spans="2:10" ht="18" customHeight="1">
      <c r="B22" s="101" t="s">
        <v>1427</v>
      </c>
      <c r="C22" s="92" t="s">
        <v>1301</v>
      </c>
      <c r="D22" s="92" t="s">
        <v>1301</v>
      </c>
      <c r="E22" s="92" t="s">
        <v>1</v>
      </c>
      <c r="F22" s="92" t="s">
        <v>1302</v>
      </c>
      <c r="G22" s="91" t="s">
        <v>1337</v>
      </c>
      <c r="H22" s="206" t="str">
        <f>HYPERLINK("#CB_e4!code초YTWIN","YTWIN")</f>
        <v>YTWIN</v>
      </c>
      <c r="I22" s="216" t="s">
        <v>1109</v>
      </c>
      <c r="J22" s="216" t="s">
        <v>1576</v>
      </c>
    </row>
    <row r="23" spans="2:10" ht="18" customHeight="1">
      <c r="B23" s="96" t="s">
        <v>1427</v>
      </c>
      <c r="C23" s="90" t="s">
        <v>1301</v>
      </c>
      <c r="D23" s="90" t="s">
        <v>1301</v>
      </c>
      <c r="E23" s="90" t="s">
        <v>1428</v>
      </c>
      <c r="F23" s="90" t="s">
        <v>1301</v>
      </c>
      <c r="G23" s="97" t="s">
        <v>19</v>
      </c>
      <c r="H23" s="204" t="str">
        <f>HYPERLINK("#CB_e4!code초YBRT1A","YBRT1A")</f>
        <v>YBRT1A</v>
      </c>
      <c r="I23" s="205" t="str">
        <f>HYPERLINK("#QN18_e4!q18초YBRT1A","SQ1")</f>
        <v>SQ1</v>
      </c>
      <c r="J23" s="205" t="str">
        <f>HYPERLINK("#QN19_e4!q19초YBRT1A","SQ1")</f>
        <v>SQ1</v>
      </c>
    </row>
    <row r="24" spans="2:10" ht="18" customHeight="1">
      <c r="B24" s="99" t="s">
        <v>1427</v>
      </c>
      <c r="C24" s="100" t="s">
        <v>1302</v>
      </c>
      <c r="D24" s="100" t="s">
        <v>1301</v>
      </c>
      <c r="E24" s="100" t="s">
        <v>1428</v>
      </c>
      <c r="F24" s="100" t="s">
        <v>1301</v>
      </c>
      <c r="G24" s="94" t="s">
        <v>20</v>
      </c>
      <c r="H24" s="206" t="str">
        <f>HYPERLINK("#CB_e4!code초YBRT1B","YBRT1B")</f>
        <v>YBRT1B</v>
      </c>
      <c r="I24" s="207" t="str">
        <f>HYPERLINK("#QN18_e4!q18초YBRT1B","SQ1")</f>
        <v>SQ1</v>
      </c>
      <c r="J24" s="207" t="str">
        <f>HYPERLINK("#QN19_e4!q19초YBRT1B","SQ1")</f>
        <v>SQ1</v>
      </c>
    </row>
    <row r="25" spans="2:10" ht="18" customHeight="1">
      <c r="B25" s="99" t="s">
        <v>1427</v>
      </c>
      <c r="C25" s="100" t="s">
        <v>1301</v>
      </c>
      <c r="D25" s="100" t="s">
        <v>1301</v>
      </c>
      <c r="E25" s="100" t="s">
        <v>1</v>
      </c>
      <c r="F25" s="100" t="s">
        <v>1</v>
      </c>
      <c r="G25" s="94" t="s">
        <v>21</v>
      </c>
      <c r="H25" s="206" t="str">
        <f>HYPERLINK("#CB_e4!code초YGENDER","YGENDER")</f>
        <v>YGENDER</v>
      </c>
      <c r="I25" s="207" t="str">
        <f>HYPERLINK("#QN18_e4!q18초YGENDER","SQ2")</f>
        <v>SQ2</v>
      </c>
      <c r="J25" s="207" t="str">
        <f>HYPERLINK("#QN19_e4!q19초YGENDER","SQ2")</f>
        <v>SQ2</v>
      </c>
    </row>
    <row r="26" spans="2:10" ht="18" customHeight="1">
      <c r="B26" s="96" t="s">
        <v>1119</v>
      </c>
      <c r="C26" s="96" t="s">
        <v>1120</v>
      </c>
      <c r="D26" s="96" t="s">
        <v>1121</v>
      </c>
      <c r="E26" s="96" t="s">
        <v>1122</v>
      </c>
      <c r="F26" s="96" t="s">
        <v>1301</v>
      </c>
      <c r="G26" s="97" t="s">
        <v>1338</v>
      </c>
      <c r="H26" s="204" t="str">
        <f>HYPERLINK("#CB_e4!code초YTIM1A01","YTIM1A01")</f>
        <v>YTIM1A01</v>
      </c>
      <c r="I26" s="205" t="str">
        <f>HYPERLINK("#QN18_e4!q18초YTIM1A01","문1-1-1a")</f>
        <v>문1-1-1a</v>
      </c>
      <c r="J26" s="205" t="str">
        <f>HYPERLINK("#QN19_e4!q19초YTIM1A01","문1-1-1a")</f>
        <v>문1-1-1a</v>
      </c>
    </row>
    <row r="27" spans="2:10" ht="18" customHeight="1">
      <c r="B27" s="101" t="s">
        <v>1119</v>
      </c>
      <c r="C27" s="101" t="s">
        <v>1120</v>
      </c>
      <c r="D27" s="101" t="s">
        <v>1121</v>
      </c>
      <c r="E27" s="101" t="s">
        <v>1122</v>
      </c>
      <c r="F27" s="101" t="s">
        <v>1301</v>
      </c>
      <c r="G27" s="91" t="s">
        <v>1204</v>
      </c>
      <c r="H27" s="208" t="str">
        <f>HYPERLINK("#CB_e4!code초YTIM1A02","YTIM1A02")</f>
        <v>YTIM1A02</v>
      </c>
      <c r="I27" s="209" t="str">
        <f>HYPERLINK("#QN18_e4!q18초YTIM1A02","문1-1-1a")</f>
        <v>문1-1-1a</v>
      </c>
      <c r="J27" s="209" t="str">
        <f>HYPERLINK("#QN19_e4!q19초YTIM1A02","문1-1-1a")</f>
        <v>문1-1-1a</v>
      </c>
    </row>
    <row r="28" spans="2:10" ht="18" customHeight="1">
      <c r="B28" s="101" t="s">
        <v>1119</v>
      </c>
      <c r="C28" s="101" t="s">
        <v>1120</v>
      </c>
      <c r="D28" s="101" t="s">
        <v>1121</v>
      </c>
      <c r="E28" s="101" t="s">
        <v>1122</v>
      </c>
      <c r="F28" s="101" t="s">
        <v>1302</v>
      </c>
      <c r="G28" s="91" t="s">
        <v>1205</v>
      </c>
      <c r="H28" s="208" t="str">
        <f>HYPERLINK("#CB_e4!code초YTIM1B01","YTIM1B01")</f>
        <v>YTIM1B01</v>
      </c>
      <c r="I28" s="209" t="str">
        <f>HYPERLINK("#QN18_e4!q18초YTIM1B01","문1-1-2a")</f>
        <v>문1-1-2a</v>
      </c>
      <c r="J28" s="209" t="str">
        <f>HYPERLINK("#QN19_e4!q19초YTIM1B01","문1-1-2a")</f>
        <v>문1-1-2a</v>
      </c>
    </row>
    <row r="29" spans="2:10" ht="18" customHeight="1">
      <c r="B29" s="101" t="s">
        <v>1119</v>
      </c>
      <c r="C29" s="101" t="s">
        <v>1120</v>
      </c>
      <c r="D29" s="101" t="s">
        <v>1121</v>
      </c>
      <c r="E29" s="101" t="s">
        <v>1122</v>
      </c>
      <c r="F29" s="101" t="s">
        <v>1302</v>
      </c>
      <c r="G29" s="91" t="s">
        <v>1206</v>
      </c>
      <c r="H29" s="208" t="str">
        <f>HYPERLINK("#CB_e4!code초YTIM1B02","YTIM1B02")</f>
        <v>YTIM1B02</v>
      </c>
      <c r="I29" s="209" t="str">
        <f>HYPERLINK("#QN18_e4!q18초YTIM1B02","문1-1-2a")</f>
        <v>문1-1-2a</v>
      </c>
      <c r="J29" s="209" t="str">
        <f>HYPERLINK("#QN19_e4!q19초YTIM1B02","문1-1-2a")</f>
        <v>문1-1-2a</v>
      </c>
    </row>
    <row r="30" spans="2:10" ht="18" customHeight="1">
      <c r="B30" s="99" t="s">
        <v>1119</v>
      </c>
      <c r="C30" s="99" t="s">
        <v>1120</v>
      </c>
      <c r="D30" s="99" t="s">
        <v>1121</v>
      </c>
      <c r="E30" s="99" t="s">
        <v>1123</v>
      </c>
      <c r="F30" s="99" t="s">
        <v>1301</v>
      </c>
      <c r="G30" s="94" t="s">
        <v>1207</v>
      </c>
      <c r="H30" s="206" t="str">
        <f>HYPERLINK("#CB_e4!code초YTIM1C01","YTIM1C01")</f>
        <v>YTIM1C01</v>
      </c>
      <c r="I30" s="207" t="str">
        <f>HYPERLINK("#QN18_e4!q18초YTIM1C01","문1-1-3a")</f>
        <v>문1-1-3a</v>
      </c>
      <c r="J30" s="207" t="str">
        <f>HYPERLINK("#QN19_e4!q19초YTIM1C01","문1-1-3a")</f>
        <v>문1-1-3a</v>
      </c>
    </row>
    <row r="31" spans="2:10" ht="18" customHeight="1">
      <c r="B31" s="101" t="s">
        <v>1119</v>
      </c>
      <c r="C31" s="101" t="s">
        <v>1120</v>
      </c>
      <c r="D31" s="101" t="s">
        <v>1121</v>
      </c>
      <c r="E31" s="101" t="s">
        <v>1122</v>
      </c>
      <c r="F31" s="101" t="s">
        <v>1301</v>
      </c>
      <c r="G31" s="91" t="s">
        <v>1208</v>
      </c>
      <c r="H31" s="208" t="str">
        <f>HYPERLINK("#CB_e4!code초YTIM1A03","YTIM1A03")</f>
        <v>YTIM1A03</v>
      </c>
      <c r="I31" s="205" t="str">
        <f>HYPERLINK("#QN18_e4!q18초YTIM1A03","문1-1-1b")</f>
        <v>문1-1-1b</v>
      </c>
      <c r="J31" s="205" t="str">
        <f>HYPERLINK("#QN19_e4!q19초YTIM1A03","문1-1-1b")</f>
        <v>문1-1-1b</v>
      </c>
    </row>
    <row r="32" spans="2:10" ht="18" customHeight="1">
      <c r="B32" s="101" t="s">
        <v>1119</v>
      </c>
      <c r="C32" s="101" t="s">
        <v>1120</v>
      </c>
      <c r="D32" s="101" t="s">
        <v>1121</v>
      </c>
      <c r="E32" s="101" t="s">
        <v>1122</v>
      </c>
      <c r="F32" s="101" t="s">
        <v>1301</v>
      </c>
      <c r="G32" s="91" t="s">
        <v>1209</v>
      </c>
      <c r="H32" s="208" t="str">
        <f>HYPERLINK("#CB_e4!code초YTIM1A04","YTIM1A04")</f>
        <v>YTIM1A04</v>
      </c>
      <c r="I32" s="209" t="str">
        <f>HYPERLINK("#QN18_e4!q18초YTIM1A04","문1-1-1b")</f>
        <v>문1-1-1b</v>
      </c>
      <c r="J32" s="209" t="str">
        <f>HYPERLINK("#QN19_e4!q19초YTIM1A04","문1-1-1b")</f>
        <v>문1-1-1b</v>
      </c>
    </row>
    <row r="33" spans="2:10" ht="18" customHeight="1">
      <c r="B33" s="101" t="s">
        <v>1119</v>
      </c>
      <c r="C33" s="101" t="s">
        <v>1120</v>
      </c>
      <c r="D33" s="101" t="s">
        <v>1121</v>
      </c>
      <c r="E33" s="101" t="s">
        <v>1122</v>
      </c>
      <c r="F33" s="101" t="s">
        <v>1302</v>
      </c>
      <c r="G33" s="91" t="s">
        <v>1210</v>
      </c>
      <c r="H33" s="208" t="str">
        <f>HYPERLINK("#CB_e4!code초YTIM1B03","YTIM1B03")</f>
        <v>YTIM1B03</v>
      </c>
      <c r="I33" s="209" t="str">
        <f>HYPERLINK("#QN18_e4!q18초YTIM1B03","문1-1-2b")</f>
        <v>문1-1-2b</v>
      </c>
      <c r="J33" s="209" t="str">
        <f>HYPERLINK("#QN19_e4!q19초YTIM1B03","문1-1-2b")</f>
        <v>문1-1-2b</v>
      </c>
    </row>
    <row r="34" spans="2:10" ht="18" customHeight="1">
      <c r="B34" s="101" t="s">
        <v>1119</v>
      </c>
      <c r="C34" s="101" t="s">
        <v>1120</v>
      </c>
      <c r="D34" s="101" t="s">
        <v>1121</v>
      </c>
      <c r="E34" s="101" t="s">
        <v>1122</v>
      </c>
      <c r="F34" s="101" t="s">
        <v>1302</v>
      </c>
      <c r="G34" s="91" t="s">
        <v>1211</v>
      </c>
      <c r="H34" s="208" t="str">
        <f>HYPERLINK("#CB_e4!code초YTIM1B04","YTIM1B04")</f>
        <v>YTIM1B04</v>
      </c>
      <c r="I34" s="209" t="str">
        <f>HYPERLINK("#QN18_e4!q18초YTIM1B04","문1-1-2b")</f>
        <v>문1-1-2b</v>
      </c>
      <c r="J34" s="209" t="str">
        <f>HYPERLINK("#QN19_e4!q19초YTIM1B04","문1-1-2b")</f>
        <v>문1-1-2b</v>
      </c>
    </row>
    <row r="35" spans="2:10" ht="18" customHeight="1">
      <c r="B35" s="99" t="s">
        <v>1119</v>
      </c>
      <c r="C35" s="99" t="s">
        <v>1120</v>
      </c>
      <c r="D35" s="99" t="s">
        <v>1121</v>
      </c>
      <c r="E35" s="99" t="s">
        <v>1123</v>
      </c>
      <c r="F35" s="99" t="s">
        <v>1302</v>
      </c>
      <c r="G35" s="94" t="s">
        <v>1212</v>
      </c>
      <c r="H35" s="206" t="str">
        <f>HYPERLINK("#CB_e4!code초YTIM1C02","YTIM1C02")</f>
        <v>YTIM1C02</v>
      </c>
      <c r="I35" s="207" t="str">
        <f>HYPERLINK("#QN18_e4!q18초YTIM1C02","문1-1-3b")</f>
        <v>문1-1-3b</v>
      </c>
      <c r="J35" s="207" t="str">
        <f>HYPERLINK("#QN19_e4!q19초YTIM1C02","문1-1-3b")</f>
        <v>문1-1-3b</v>
      </c>
    </row>
    <row r="36" spans="2:10" ht="18" customHeight="1">
      <c r="B36" s="96" t="s">
        <v>1119</v>
      </c>
      <c r="C36" s="96" t="s">
        <v>1120</v>
      </c>
      <c r="D36" s="96" t="s">
        <v>1121</v>
      </c>
      <c r="E36" s="96" t="s">
        <v>1124</v>
      </c>
      <c r="F36" s="96" t="s">
        <v>1302</v>
      </c>
      <c r="G36" s="97" t="s">
        <v>1213</v>
      </c>
      <c r="H36" s="204" t="str">
        <f>HYPERLINK("#CB_e4!code초YTIM1D01","YTIM1D01")</f>
        <v>YTIM1D01</v>
      </c>
      <c r="I36" s="205" t="str">
        <f>HYPERLINK("#QN18_e4!q18초YTIM1D01","문1-2")</f>
        <v>문1-2</v>
      </c>
      <c r="J36" s="205" t="str">
        <f>HYPERLINK("#QN19_e4!q19초YTIM1D01","문1-2")</f>
        <v>문1-2</v>
      </c>
    </row>
    <row r="37" spans="2:10" ht="18" customHeight="1">
      <c r="B37" s="99" t="s">
        <v>1119</v>
      </c>
      <c r="C37" s="99" t="s">
        <v>1120</v>
      </c>
      <c r="D37" s="99" t="s">
        <v>1121</v>
      </c>
      <c r="E37" s="99" t="s">
        <v>1124</v>
      </c>
      <c r="F37" s="99" t="s">
        <v>1301</v>
      </c>
      <c r="G37" s="94" t="s">
        <v>1214</v>
      </c>
      <c r="H37" s="206" t="str">
        <f>HYPERLINK("#CB_e4!code초YTIM1D02","YTIM1D02")</f>
        <v>YTIM1D02</v>
      </c>
      <c r="I37" s="207" t="str">
        <f>HYPERLINK("#QN18_e4!q18초YTIM1D02","문1-2")</f>
        <v>문1-2</v>
      </c>
      <c r="J37" s="207" t="str">
        <f>HYPERLINK("#QN19_e4!q19초YTIM1D02","문1-2")</f>
        <v>문1-2</v>
      </c>
    </row>
    <row r="38" spans="2:10" ht="18" customHeight="1">
      <c r="B38" s="96" t="s">
        <v>1119</v>
      </c>
      <c r="C38" s="96" t="s">
        <v>1120</v>
      </c>
      <c r="D38" s="96" t="s">
        <v>1121</v>
      </c>
      <c r="E38" s="96" t="s">
        <v>1125</v>
      </c>
      <c r="F38" s="96" t="s">
        <v>1302</v>
      </c>
      <c r="G38" s="97" t="s">
        <v>1215</v>
      </c>
      <c r="H38" s="204" t="str">
        <f>HYPERLINK("#CB_e4!code초YTIM1E01","YTIM1E01")</f>
        <v>YTIM1E01</v>
      </c>
      <c r="I38" s="205" t="str">
        <f>HYPERLINK("#QN18_e4!q18초YTIM1E01","문1-3")</f>
        <v>문1-3</v>
      </c>
      <c r="J38" s="205" t="str">
        <f>HYPERLINK("#QN19_e4!q19초YTIM1E01","문1-3")</f>
        <v>문1-3</v>
      </c>
    </row>
    <row r="39" spans="2:10" ht="18" customHeight="1">
      <c r="B39" s="101" t="s">
        <v>1119</v>
      </c>
      <c r="C39" s="101" t="s">
        <v>1120</v>
      </c>
      <c r="D39" s="101" t="s">
        <v>1121</v>
      </c>
      <c r="E39" s="101" t="s">
        <v>1125</v>
      </c>
      <c r="F39" s="101" t="s">
        <v>1301</v>
      </c>
      <c r="G39" s="91" t="s">
        <v>1216</v>
      </c>
      <c r="H39" s="208" t="str">
        <f>HYPERLINK("#CB_e4!code초YTIM1E02","YTIM1E02")</f>
        <v>YTIM1E02</v>
      </c>
      <c r="I39" s="209" t="str">
        <f>HYPERLINK("#QN18_e4!q18초YTIM1E02","문1-3")</f>
        <v>문1-3</v>
      </c>
      <c r="J39" s="209" t="str">
        <f>HYPERLINK("#QN19_e4!q19초YTIM1E02","문1-3")</f>
        <v>문1-3</v>
      </c>
    </row>
    <row r="40" spans="2:10" ht="18" customHeight="1">
      <c r="B40" s="101" t="s">
        <v>1119</v>
      </c>
      <c r="C40" s="101" t="s">
        <v>1120</v>
      </c>
      <c r="D40" s="101" t="s">
        <v>1121</v>
      </c>
      <c r="E40" s="101" t="s">
        <v>1125</v>
      </c>
      <c r="F40" s="101" t="s">
        <v>1301</v>
      </c>
      <c r="G40" s="91" t="s">
        <v>1217</v>
      </c>
      <c r="H40" s="208" t="str">
        <f>HYPERLINK("#CB_e4!code초YTIM1F01","YTIM1F01")</f>
        <v>YTIM1F01</v>
      </c>
      <c r="I40" s="209" t="str">
        <f>HYPERLINK("#QN18_e4!q18초YTIM1F01","문1-4")</f>
        <v>문1-4</v>
      </c>
      <c r="J40" s="209" t="str">
        <f>HYPERLINK("#QN19_e4!q19초YTIM1F01","문1-4")</f>
        <v>문1-4</v>
      </c>
    </row>
    <row r="41" spans="2:10" ht="18" customHeight="1">
      <c r="B41" s="101" t="s">
        <v>1119</v>
      </c>
      <c r="C41" s="101" t="s">
        <v>1120</v>
      </c>
      <c r="D41" s="101" t="s">
        <v>1121</v>
      </c>
      <c r="E41" s="101" t="s">
        <v>1125</v>
      </c>
      <c r="F41" s="101" t="s">
        <v>1302</v>
      </c>
      <c r="G41" s="91" t="s">
        <v>1218</v>
      </c>
      <c r="H41" s="208" t="str">
        <f>HYPERLINK("#CB_e4!code초YTIM1F02","YTIM1F02")</f>
        <v>YTIM1F02</v>
      </c>
      <c r="I41" s="209" t="str">
        <f>HYPERLINK("#QN18_e4!q18초YTIM1F02","문1-4")</f>
        <v>문1-4</v>
      </c>
      <c r="J41" s="209" t="str">
        <f>HYPERLINK("#QN19_e4!q19초YTIM1F02","문1-4")</f>
        <v>문1-4</v>
      </c>
    </row>
    <row r="42" spans="2:10" ht="18" customHeight="1">
      <c r="B42" s="101" t="s">
        <v>1119</v>
      </c>
      <c r="C42" s="101" t="s">
        <v>1120</v>
      </c>
      <c r="D42" s="101" t="s">
        <v>1121</v>
      </c>
      <c r="E42" s="101" t="s">
        <v>1125</v>
      </c>
      <c r="F42" s="101" t="s">
        <v>1302</v>
      </c>
      <c r="G42" s="91" t="s">
        <v>1219</v>
      </c>
      <c r="H42" s="208" t="str">
        <f>HYPERLINK("#CB_e4!code초YTIM1G01","YTIM1G01")</f>
        <v>YTIM1G01</v>
      </c>
      <c r="I42" s="209" t="str">
        <f>HYPERLINK("#QN18_e4!q18초YTIM1G01","문1-5")</f>
        <v>문1-5</v>
      </c>
      <c r="J42" s="209" t="str">
        <f>HYPERLINK("#QN19_e4!q19초YTIM1G01","문1-5")</f>
        <v>문1-5</v>
      </c>
    </row>
    <row r="43" spans="2:10" ht="18" customHeight="1">
      <c r="B43" s="101" t="s">
        <v>1119</v>
      </c>
      <c r="C43" s="101" t="s">
        <v>1120</v>
      </c>
      <c r="D43" s="101" t="s">
        <v>1121</v>
      </c>
      <c r="E43" s="101" t="s">
        <v>1125</v>
      </c>
      <c r="F43" s="101" t="s">
        <v>1302</v>
      </c>
      <c r="G43" s="91" t="s">
        <v>1220</v>
      </c>
      <c r="H43" s="208" t="str">
        <f>HYPERLINK("#CB_e4!code초YTIM1G02","YTIM1G02")</f>
        <v>YTIM1G02</v>
      </c>
      <c r="I43" s="209" t="str">
        <f>HYPERLINK("#QN18_e4!q18초YTIM1G02","문1-5")</f>
        <v>문1-5</v>
      </c>
      <c r="J43" s="209" t="str">
        <f>HYPERLINK("#QN19_e4!q19초YTIM1G02","문1-5")</f>
        <v>문1-5</v>
      </c>
    </row>
    <row r="44" spans="2:10" ht="18" customHeight="1">
      <c r="B44" s="101" t="s">
        <v>1119</v>
      </c>
      <c r="C44" s="101" t="s">
        <v>1120</v>
      </c>
      <c r="D44" s="101" t="s">
        <v>1121</v>
      </c>
      <c r="E44" s="101" t="s">
        <v>1125</v>
      </c>
      <c r="F44" s="101" t="s">
        <v>1302</v>
      </c>
      <c r="G44" s="91" t="s">
        <v>1221</v>
      </c>
      <c r="H44" s="208" t="str">
        <f>HYPERLINK("#CB_e4!code초YTIM1H01","YTIM1H01")</f>
        <v>YTIM1H01</v>
      </c>
      <c r="I44" s="209" t="str">
        <f>HYPERLINK("#QN18_e4!q18초YTIM1H01","문1-6")</f>
        <v>문1-6</v>
      </c>
      <c r="J44" s="209" t="str">
        <f>HYPERLINK("#QN19_e4!q19초YTIM1H01","문1-6")</f>
        <v>문1-6</v>
      </c>
    </row>
    <row r="45" spans="2:10" ht="18" customHeight="1">
      <c r="B45" s="99" t="s">
        <v>1119</v>
      </c>
      <c r="C45" s="99" t="s">
        <v>1120</v>
      </c>
      <c r="D45" s="99" t="s">
        <v>1121</v>
      </c>
      <c r="E45" s="99" t="s">
        <v>1125</v>
      </c>
      <c r="F45" s="99" t="s">
        <v>1301</v>
      </c>
      <c r="G45" s="94" t="s">
        <v>1222</v>
      </c>
      <c r="H45" s="206" t="str">
        <f>HYPERLINK("#CB_e4!code초YTIM1H02","YTIM1H02")</f>
        <v>YTIM1H02</v>
      </c>
      <c r="I45" s="207" t="str">
        <f>HYPERLINK("#QN18_e4!q18초YTIM1H02","문1-6")</f>
        <v>문1-6</v>
      </c>
      <c r="J45" s="207" t="str">
        <f>HYPERLINK("#QN19_e4!q19초YTIM1H02","문1-6")</f>
        <v>문1-6</v>
      </c>
    </row>
    <row r="46" spans="2:10" ht="18" customHeight="1">
      <c r="B46" s="96" t="s">
        <v>1119</v>
      </c>
      <c r="C46" s="96" t="s">
        <v>1120</v>
      </c>
      <c r="D46" s="96" t="s">
        <v>1121</v>
      </c>
      <c r="E46" s="96" t="s">
        <v>1126</v>
      </c>
      <c r="F46" s="96" t="s">
        <v>1302</v>
      </c>
      <c r="G46" s="97" t="s">
        <v>1223</v>
      </c>
      <c r="H46" s="204" t="str">
        <f>HYPERLINK("#CB_e4!code초YTIM1I01","YTIM1I01")</f>
        <v>YTIM1I01</v>
      </c>
      <c r="I46" s="205" t="str">
        <f>HYPERLINK("#QN18_e4!q18초YTIM1I01","문1-7")</f>
        <v>문1-7</v>
      </c>
      <c r="J46" s="205" t="str">
        <f>HYPERLINK("#QN19_e4!q19초YTIM1I01","문1-7")</f>
        <v>문1-7</v>
      </c>
    </row>
    <row r="47" spans="2:10" ht="18" customHeight="1">
      <c r="B47" s="101" t="s">
        <v>1119</v>
      </c>
      <c r="C47" s="101" t="s">
        <v>1120</v>
      </c>
      <c r="D47" s="101" t="s">
        <v>1121</v>
      </c>
      <c r="E47" s="101" t="s">
        <v>1126</v>
      </c>
      <c r="F47" s="101" t="s">
        <v>1302</v>
      </c>
      <c r="G47" s="91" t="s">
        <v>1224</v>
      </c>
      <c r="H47" s="208" t="str">
        <f>HYPERLINK("#CB_e4!code초YTIM1I02","YTIM1I02")</f>
        <v>YTIM1I02</v>
      </c>
      <c r="I47" s="209" t="str">
        <f>HYPERLINK("#QN18_e4!q18초YTIM1I02","문1-7")</f>
        <v>문1-7</v>
      </c>
      <c r="J47" s="209" t="str">
        <f>HYPERLINK("#QN19_e4!q19초YTIM1I02","문1-7")</f>
        <v>문1-7</v>
      </c>
    </row>
    <row r="48" spans="2:10" ht="18" customHeight="1">
      <c r="B48" s="101" t="s">
        <v>1119</v>
      </c>
      <c r="C48" s="101" t="s">
        <v>1120</v>
      </c>
      <c r="D48" s="101" t="s">
        <v>1121</v>
      </c>
      <c r="E48" s="101" t="s">
        <v>1126</v>
      </c>
      <c r="F48" s="101" t="s">
        <v>1302</v>
      </c>
      <c r="G48" s="91" t="s">
        <v>1225</v>
      </c>
      <c r="H48" s="208" t="str">
        <f>HYPERLINK("#CB_e4!code초YTIM1J01","YTIM1J01")</f>
        <v>YTIM1J01</v>
      </c>
      <c r="I48" s="209" t="str">
        <f>HYPERLINK("#QN18_e4!q18초YTIM1J01","문1-8")</f>
        <v>문1-8</v>
      </c>
      <c r="J48" s="209" t="str">
        <f>HYPERLINK("#QN19_e4!q19초YTIM1J01","문1-8")</f>
        <v>문1-8</v>
      </c>
    </row>
    <row r="49" spans="2:10" ht="18" customHeight="1">
      <c r="B49" s="101" t="s">
        <v>1119</v>
      </c>
      <c r="C49" s="101" t="s">
        <v>1120</v>
      </c>
      <c r="D49" s="101" t="s">
        <v>1121</v>
      </c>
      <c r="E49" s="101" t="s">
        <v>1126</v>
      </c>
      <c r="F49" s="101" t="s">
        <v>1302</v>
      </c>
      <c r="G49" s="91" t="s">
        <v>1226</v>
      </c>
      <c r="H49" s="208" t="str">
        <f>HYPERLINK("#CB_e4!code초YTIM1J02","YTIM1J02")</f>
        <v>YTIM1J02</v>
      </c>
      <c r="I49" s="209" t="str">
        <f>HYPERLINK("#QN18_e4!q18초YTIM1J02","문1-8")</f>
        <v>문1-8</v>
      </c>
      <c r="J49" s="209" t="str">
        <f>HYPERLINK("#QN19_e4!q19초YTIM1J02","문1-8")</f>
        <v>문1-8</v>
      </c>
    </row>
    <row r="50" spans="2:10" ht="18" customHeight="1">
      <c r="B50" s="101" t="s">
        <v>1119</v>
      </c>
      <c r="C50" s="101" t="s">
        <v>1120</v>
      </c>
      <c r="D50" s="101" t="s">
        <v>1121</v>
      </c>
      <c r="E50" s="101" t="s">
        <v>1126</v>
      </c>
      <c r="F50" s="101" t="s">
        <v>1302</v>
      </c>
      <c r="G50" s="91" t="s">
        <v>1227</v>
      </c>
      <c r="H50" s="208" t="str">
        <f>HYPERLINK("#CB_e4!code초YTIM1K01","YTIM1K01")</f>
        <v>YTIM1K01</v>
      </c>
      <c r="I50" s="209" t="str">
        <f>HYPERLINK("#QN18_e4!q18초YTIM1K01","문1-9")</f>
        <v>문1-9</v>
      </c>
      <c r="J50" s="209" t="str">
        <f>HYPERLINK("#QN19_e4!q19초YTIM1K01","문1-9")</f>
        <v>문1-9</v>
      </c>
    </row>
    <row r="51" spans="2:10" ht="18" customHeight="1">
      <c r="B51" s="101" t="s">
        <v>1119</v>
      </c>
      <c r="C51" s="101" t="s">
        <v>1120</v>
      </c>
      <c r="D51" s="101" t="s">
        <v>1121</v>
      </c>
      <c r="E51" s="101" t="s">
        <v>1126</v>
      </c>
      <c r="F51" s="101" t="s">
        <v>1302</v>
      </c>
      <c r="G51" s="91" t="s">
        <v>1228</v>
      </c>
      <c r="H51" s="208" t="str">
        <f>HYPERLINK("#CB_e4!code초YTIM1K02","YTIM1K02")</f>
        <v>YTIM1K02</v>
      </c>
      <c r="I51" s="209" t="str">
        <f>HYPERLINK("#QN18_e4!q18초YTIM1K02","문1-9")</f>
        <v>문1-9</v>
      </c>
      <c r="J51" s="209" t="str">
        <f>HYPERLINK("#QN19_e4!q19초YTIM1K02","문1-9")</f>
        <v>문1-9</v>
      </c>
    </row>
    <row r="52" spans="2:10" ht="18" customHeight="1">
      <c r="B52" s="101" t="s">
        <v>1119</v>
      </c>
      <c r="C52" s="101" t="s">
        <v>1120</v>
      </c>
      <c r="D52" s="101" t="s">
        <v>1121</v>
      </c>
      <c r="E52" s="101" t="s">
        <v>1126</v>
      </c>
      <c r="F52" s="101" t="s">
        <v>1302</v>
      </c>
      <c r="G52" s="91" t="s">
        <v>1229</v>
      </c>
      <c r="H52" s="208" t="str">
        <f>HYPERLINK("#CB_e4!code초YTIM1L01","YTIM1L01")</f>
        <v>YTIM1L01</v>
      </c>
      <c r="I52" s="209" t="str">
        <f>HYPERLINK("#QN18_e4!q18초YTIM1L01","문1-10")</f>
        <v>문1-10</v>
      </c>
      <c r="J52" s="209" t="str">
        <f>HYPERLINK("#QN19_e4!q19초YTIM1L01","문1-10")</f>
        <v>문1-10</v>
      </c>
    </row>
    <row r="53" spans="2:10" ht="18" customHeight="1">
      <c r="B53" s="101" t="s">
        <v>1119</v>
      </c>
      <c r="C53" s="101" t="s">
        <v>1120</v>
      </c>
      <c r="D53" s="101" t="s">
        <v>1121</v>
      </c>
      <c r="E53" s="101" t="s">
        <v>1126</v>
      </c>
      <c r="F53" s="101" t="s">
        <v>1302</v>
      </c>
      <c r="G53" s="91" t="s">
        <v>1230</v>
      </c>
      <c r="H53" s="208" t="str">
        <f>HYPERLINK("#CB_e4!code초YTIM1L02","YTIM1L02")</f>
        <v>YTIM1L02</v>
      </c>
      <c r="I53" s="209" t="str">
        <f>HYPERLINK("#QN18_e4!q18초YTIM1L02","문1-10")</f>
        <v>문1-10</v>
      </c>
      <c r="J53" s="209" t="str">
        <f>HYPERLINK("#QN19_e4!q19초YTIM1L02","문1-10")</f>
        <v>문1-10</v>
      </c>
    </row>
    <row r="54" spans="2:10" ht="18" customHeight="1">
      <c r="B54" s="101" t="s">
        <v>1119</v>
      </c>
      <c r="C54" s="101" t="s">
        <v>1120</v>
      </c>
      <c r="D54" s="101" t="s">
        <v>1121</v>
      </c>
      <c r="E54" s="101" t="s">
        <v>1126</v>
      </c>
      <c r="F54" s="101" t="s">
        <v>1301</v>
      </c>
      <c r="G54" s="91" t="s">
        <v>1231</v>
      </c>
      <c r="H54" s="208" t="str">
        <f>HYPERLINK("#CB_e4!code초YTIM1M01","YTIM1M01")</f>
        <v>YTIM1M01</v>
      </c>
      <c r="I54" s="209" t="str">
        <f>HYPERLINK("#QN18_e4!q18초YTIM1M01","문1-11")</f>
        <v>문1-11</v>
      </c>
      <c r="J54" s="209" t="str">
        <f>HYPERLINK("#QN19_e4!q19초YTIM1M01","문1-11")</f>
        <v>문1-11</v>
      </c>
    </row>
    <row r="55" spans="2:10" ht="18" customHeight="1">
      <c r="B55" s="101" t="s">
        <v>1119</v>
      </c>
      <c r="C55" s="101" t="s">
        <v>1120</v>
      </c>
      <c r="D55" s="101" t="s">
        <v>1121</v>
      </c>
      <c r="E55" s="101" t="s">
        <v>1126</v>
      </c>
      <c r="F55" s="101" t="s">
        <v>1302</v>
      </c>
      <c r="G55" s="91" t="s">
        <v>1232</v>
      </c>
      <c r="H55" s="208" t="str">
        <f>HYPERLINK("#CB_e4!code초YTIM1M02","YTIM1M02")</f>
        <v>YTIM1M02</v>
      </c>
      <c r="I55" s="209" t="str">
        <f>HYPERLINK("#QN18_e4!q18초YTIM1M02","문1-11")</f>
        <v>문1-11</v>
      </c>
      <c r="J55" s="209" t="str">
        <f>HYPERLINK("#QN19_e4!q19초YTIM1M02","문1-11")</f>
        <v>문1-11</v>
      </c>
    </row>
    <row r="56" spans="2:10" ht="18" customHeight="1">
      <c r="B56" s="101" t="s">
        <v>1119</v>
      </c>
      <c r="C56" s="101" t="s">
        <v>1120</v>
      </c>
      <c r="D56" s="101" t="s">
        <v>1121</v>
      </c>
      <c r="E56" s="101" t="s">
        <v>1126</v>
      </c>
      <c r="F56" s="101" t="s">
        <v>1302</v>
      </c>
      <c r="G56" s="91" t="s">
        <v>1233</v>
      </c>
      <c r="H56" s="208" t="str">
        <f>HYPERLINK("#CB_e4!code초YTIM1N01","YTIM1N01")</f>
        <v>YTIM1N01</v>
      </c>
      <c r="I56" s="209" t="str">
        <f>HYPERLINK("#QN18_e4!q18초YTIM1N01","문1-12")</f>
        <v>문1-12</v>
      </c>
      <c r="J56" s="209" t="str">
        <f>HYPERLINK("#QN19_e4!q19초YTIM1N01","문1-12")</f>
        <v>문1-12</v>
      </c>
    </row>
    <row r="57" spans="2:10" ht="18" customHeight="1">
      <c r="B57" s="101" t="s">
        <v>1119</v>
      </c>
      <c r="C57" s="101" t="s">
        <v>1120</v>
      </c>
      <c r="D57" s="101" t="s">
        <v>1121</v>
      </c>
      <c r="E57" s="101" t="s">
        <v>1126</v>
      </c>
      <c r="F57" s="101" t="s">
        <v>1302</v>
      </c>
      <c r="G57" s="91" t="s">
        <v>1234</v>
      </c>
      <c r="H57" s="208" t="str">
        <f>HYPERLINK("#CB_e4!code초YTIM1N02","YTIM1N02")</f>
        <v>YTIM1N02</v>
      </c>
      <c r="I57" s="209" t="str">
        <f>HYPERLINK("#QN18_e4!q18초YTIM1N02","문1-12")</f>
        <v>문1-12</v>
      </c>
      <c r="J57" s="209" t="str">
        <f>HYPERLINK("#QN19_e4!q19초YTIM1N02","문1-12")</f>
        <v>문1-12</v>
      </c>
    </row>
    <row r="58" spans="2:10" ht="18" customHeight="1">
      <c r="B58" s="96" t="s">
        <v>1119</v>
      </c>
      <c r="C58" s="96" t="s">
        <v>1127</v>
      </c>
      <c r="D58" s="96" t="s">
        <v>1128</v>
      </c>
      <c r="E58" s="96" t="s">
        <v>1129</v>
      </c>
      <c r="F58" s="96" t="s">
        <v>1302</v>
      </c>
      <c r="G58" s="97" t="s">
        <v>1235</v>
      </c>
      <c r="H58" s="204" t="str">
        <f>HYPERLINK("#CB_e4!code초YINT1A00","YINT1A00")</f>
        <v>YINT1A00</v>
      </c>
      <c r="I58" s="205" t="str">
        <f>HYPERLINK("#QN18_e4!q18초YINT1A00","문3")</f>
        <v>문3</v>
      </c>
      <c r="J58" s="205" t="str">
        <f>HYPERLINK("#QN19_e4!q19초YINT1A00","문3")</f>
        <v>문3</v>
      </c>
    </row>
    <row r="59" spans="2:10" ht="18" customHeight="1">
      <c r="B59" s="99" t="s">
        <v>1119</v>
      </c>
      <c r="C59" s="99" t="s">
        <v>1127</v>
      </c>
      <c r="D59" s="99" t="s">
        <v>1128</v>
      </c>
      <c r="E59" s="99" t="s">
        <v>1130</v>
      </c>
      <c r="F59" s="99" t="s">
        <v>1302</v>
      </c>
      <c r="G59" s="94" t="s">
        <v>1236</v>
      </c>
      <c r="H59" s="206" t="str">
        <f>HYPERLINK("#CB_e4!code초YINT1B00","YINT1B00")</f>
        <v>YINT1B00</v>
      </c>
      <c r="I59" s="207" t="str">
        <f>HYPERLINK("#QN18_e4!q18초YINT1B00","문4")</f>
        <v>문4</v>
      </c>
      <c r="J59" s="207" t="str">
        <f>HYPERLINK("#QN19_e4!q19초YINT1B00","문4")</f>
        <v>문4</v>
      </c>
    </row>
    <row r="60" spans="2:10" ht="18" customHeight="1">
      <c r="B60" s="101" t="s">
        <v>1119</v>
      </c>
      <c r="C60" s="101" t="s">
        <v>1127</v>
      </c>
      <c r="D60" s="101" t="s">
        <v>1131</v>
      </c>
      <c r="E60" s="101" t="s">
        <v>1132</v>
      </c>
      <c r="F60" s="101" t="s">
        <v>1306</v>
      </c>
      <c r="G60" s="91" t="s">
        <v>137</v>
      </c>
      <c r="H60" s="208" t="str">
        <f>HYPERLINK("#CB_e4!code초YINT2A01","YINT2A01")</f>
        <v>YINT2A01</v>
      </c>
      <c r="I60" s="209" t="str">
        <f>HYPERLINK("#QN18_e4!q18초YINT2A01","문6-1")</f>
        <v>문6-1</v>
      </c>
      <c r="J60" s="209" t="str">
        <f>HYPERLINK("#QN19_e4!q19초YINT2A01","문6-1")</f>
        <v>문6-1</v>
      </c>
    </row>
    <row r="61" spans="2:10" ht="18" customHeight="1">
      <c r="B61" s="101" t="s">
        <v>1119</v>
      </c>
      <c r="C61" s="101" t="s">
        <v>1127</v>
      </c>
      <c r="D61" s="101" t="s">
        <v>1131</v>
      </c>
      <c r="E61" s="101" t="s">
        <v>1132</v>
      </c>
      <c r="F61" s="101" t="s">
        <v>1307</v>
      </c>
      <c r="G61" s="91" t="s">
        <v>138</v>
      </c>
      <c r="H61" s="208" t="str">
        <f>HYPERLINK("#CB_e4!code초YINT2A02","YINT2A02")</f>
        <v>YINT2A02</v>
      </c>
      <c r="I61" s="209" t="str">
        <f>HYPERLINK("#QN18_e4!q18초YINT2A02","문6-2")</f>
        <v>문6-2</v>
      </c>
      <c r="J61" s="209" t="str">
        <f>HYPERLINK("#QN19_e4!q19초YINT2A02","문6-2")</f>
        <v>문6-2</v>
      </c>
    </row>
    <row r="62" spans="2:10" ht="18" customHeight="1">
      <c r="B62" s="101" t="s">
        <v>1119</v>
      </c>
      <c r="C62" s="101" t="s">
        <v>1127</v>
      </c>
      <c r="D62" s="101" t="s">
        <v>1131</v>
      </c>
      <c r="E62" s="101" t="s">
        <v>1132</v>
      </c>
      <c r="F62" s="101" t="s">
        <v>1307</v>
      </c>
      <c r="G62" s="91" t="s">
        <v>139</v>
      </c>
      <c r="H62" s="208" t="str">
        <f>HYPERLINK("#CB_e4!code초YINT2A03","YINT2A03")</f>
        <v>YINT2A03</v>
      </c>
      <c r="I62" s="209" t="str">
        <f>HYPERLINK("#QN18_e4!q18초YINT2A03","문6-3")</f>
        <v>문6-3</v>
      </c>
      <c r="J62" s="209" t="str">
        <f>HYPERLINK("#QN19_e4!q19초YINT2A03","문6-3")</f>
        <v>문6-3</v>
      </c>
    </row>
    <row r="63" spans="2:10" ht="18" customHeight="1">
      <c r="B63" s="101" t="s">
        <v>1119</v>
      </c>
      <c r="C63" s="101" t="s">
        <v>1127</v>
      </c>
      <c r="D63" s="101" t="s">
        <v>1131</v>
      </c>
      <c r="E63" s="101" t="s">
        <v>1132</v>
      </c>
      <c r="F63" s="101" t="s">
        <v>1307</v>
      </c>
      <c r="G63" s="91" t="s">
        <v>140</v>
      </c>
      <c r="H63" s="208" t="str">
        <f>HYPERLINK("#CB_e4!code초YINT2A04","YINT2A04")</f>
        <v>YINT2A04</v>
      </c>
      <c r="I63" s="209" t="str">
        <f>HYPERLINK("#QN18_e4!q18초YINT2A04","문6-4")</f>
        <v>문6-4</v>
      </c>
      <c r="J63" s="209" t="str">
        <f>HYPERLINK("#QN19_e4!q19초YINT2A04","문6-4")</f>
        <v>문6-4</v>
      </c>
    </row>
    <row r="64" spans="2:10" ht="18" customHeight="1">
      <c r="B64" s="101" t="s">
        <v>1119</v>
      </c>
      <c r="C64" s="101" t="s">
        <v>1127</v>
      </c>
      <c r="D64" s="101" t="s">
        <v>1131</v>
      </c>
      <c r="E64" s="101" t="s">
        <v>1132</v>
      </c>
      <c r="F64" s="101" t="s">
        <v>1310</v>
      </c>
      <c r="G64" s="91" t="s">
        <v>141</v>
      </c>
      <c r="H64" s="208" t="str">
        <f>HYPERLINK("#CB_e4!code초YINT2A05","YINT2A05")</f>
        <v>YINT2A05</v>
      </c>
      <c r="I64" s="209" t="str">
        <f>HYPERLINK("#QN18_e4!q18초YINT2A05","문6-5")</f>
        <v>문6-5</v>
      </c>
      <c r="J64" s="209" t="str">
        <f>HYPERLINK("#QN19_e4!q19초YINT2A05","문6-5")</f>
        <v>문6-5</v>
      </c>
    </row>
    <row r="65" spans="2:10" ht="18" customHeight="1">
      <c r="B65" s="101" t="s">
        <v>1119</v>
      </c>
      <c r="C65" s="101" t="s">
        <v>1127</v>
      </c>
      <c r="D65" s="101" t="s">
        <v>1131</v>
      </c>
      <c r="E65" s="101" t="s">
        <v>1132</v>
      </c>
      <c r="F65" s="101" t="s">
        <v>1310</v>
      </c>
      <c r="G65" s="91" t="s">
        <v>142</v>
      </c>
      <c r="H65" s="208" t="str">
        <f>HYPERLINK("#CB_e4!code초YINT2A06","YINT2A06")</f>
        <v>YINT2A06</v>
      </c>
      <c r="I65" s="209" t="str">
        <f>HYPERLINK("#QN18_e4!q18초YINT2A06","문6-6")</f>
        <v>문6-6</v>
      </c>
      <c r="J65" s="209" t="str">
        <f>HYPERLINK("#QN19_e4!q19초YINT2A06","문6-6")</f>
        <v>문6-6</v>
      </c>
    </row>
    <row r="66" spans="2:10" ht="18" customHeight="1">
      <c r="B66" s="101" t="s">
        <v>1119</v>
      </c>
      <c r="C66" s="101" t="s">
        <v>1127</v>
      </c>
      <c r="D66" s="101" t="s">
        <v>1131</v>
      </c>
      <c r="E66" s="101" t="s">
        <v>1132</v>
      </c>
      <c r="F66" s="101" t="s">
        <v>1310</v>
      </c>
      <c r="G66" s="91" t="s">
        <v>143</v>
      </c>
      <c r="H66" s="208" t="str">
        <f>HYPERLINK("#CB_e4!code초YINT2A07","YINT2A07")</f>
        <v>YINT2A07</v>
      </c>
      <c r="I66" s="209" t="str">
        <f>HYPERLINK("#QN18_e4!q18초YINT2A07","문6-7")</f>
        <v>문6-7</v>
      </c>
      <c r="J66" s="209" t="str">
        <f>HYPERLINK("#QN19_e4!q19초YINT2A07","문6-7")</f>
        <v>문6-7</v>
      </c>
    </row>
    <row r="67" spans="2:10" ht="18" customHeight="1">
      <c r="B67" s="101" t="s">
        <v>1119</v>
      </c>
      <c r="C67" s="101" t="s">
        <v>1127</v>
      </c>
      <c r="D67" s="101" t="s">
        <v>1131</v>
      </c>
      <c r="E67" s="101" t="s">
        <v>1132</v>
      </c>
      <c r="F67" s="101" t="s">
        <v>1310</v>
      </c>
      <c r="G67" s="91" t="s">
        <v>1339</v>
      </c>
      <c r="H67" s="208" t="str">
        <f>HYPERLINK("#CB_e4!code초YINT2A08","YINT2A08")</f>
        <v>YINT2A08</v>
      </c>
      <c r="I67" s="209" t="str">
        <f>HYPERLINK("#QN18_e4!q18초YINT2A08","문6-8")</f>
        <v>문6-8</v>
      </c>
      <c r="J67" s="209" t="str">
        <f>HYPERLINK("#QN19_e4!q19초YINT2A08","문6-8")</f>
        <v>문6-8</v>
      </c>
    </row>
    <row r="68" spans="2:10" ht="18" customHeight="1">
      <c r="B68" s="101" t="s">
        <v>1119</v>
      </c>
      <c r="C68" s="101" t="s">
        <v>1127</v>
      </c>
      <c r="D68" s="101" t="s">
        <v>1131</v>
      </c>
      <c r="E68" s="101" t="s">
        <v>1132</v>
      </c>
      <c r="F68" s="101" t="s">
        <v>1308</v>
      </c>
      <c r="G68" s="91" t="s">
        <v>145</v>
      </c>
      <c r="H68" s="208" t="str">
        <f>HYPERLINK("#CB_e4!code초YINT2A09","YINT2A09")</f>
        <v>YINT2A09</v>
      </c>
      <c r="I68" s="209" t="str">
        <f>HYPERLINK("#QN18_e4!q18초YINT2A09","문6-9")</f>
        <v>문6-9</v>
      </c>
      <c r="J68" s="209" t="str">
        <f>HYPERLINK("#QN19_e4!q19초YINT2A09","문6-9")</f>
        <v>문6-9</v>
      </c>
    </row>
    <row r="69" spans="2:10" ht="18" customHeight="1">
      <c r="B69" s="101" t="s">
        <v>1119</v>
      </c>
      <c r="C69" s="101" t="s">
        <v>1127</v>
      </c>
      <c r="D69" s="101" t="s">
        <v>1131</v>
      </c>
      <c r="E69" s="101" t="s">
        <v>1132</v>
      </c>
      <c r="F69" s="101" t="s">
        <v>1308</v>
      </c>
      <c r="G69" s="91" t="s">
        <v>146</v>
      </c>
      <c r="H69" s="208" t="str">
        <f>HYPERLINK("#CB_e4!code초YINT2A10","YINT2A10")</f>
        <v>YINT2A10</v>
      </c>
      <c r="I69" s="209" t="str">
        <f>HYPERLINK("#QN18_e4!q18초YINT2A10","문6-10")</f>
        <v>문6-10</v>
      </c>
      <c r="J69" s="209" t="str">
        <f>HYPERLINK("#QN19_e4!q19초YINT2A10","문6-10")</f>
        <v>문6-10</v>
      </c>
    </row>
    <row r="70" spans="2:10" ht="18" customHeight="1">
      <c r="B70" s="101" t="s">
        <v>1119</v>
      </c>
      <c r="C70" s="101" t="s">
        <v>1127</v>
      </c>
      <c r="D70" s="101" t="s">
        <v>1131</v>
      </c>
      <c r="E70" s="101" t="s">
        <v>1132</v>
      </c>
      <c r="F70" s="101" t="s">
        <v>1308</v>
      </c>
      <c r="G70" s="91" t="s">
        <v>147</v>
      </c>
      <c r="H70" s="208" t="str">
        <f>HYPERLINK("#CB_e4!code초YINT2A11","YINT2A11")</f>
        <v>YINT2A11</v>
      </c>
      <c r="I70" s="209" t="str">
        <f>HYPERLINK("#QN18_e4!q18초YINT2A11","문6-11")</f>
        <v>문6-11</v>
      </c>
      <c r="J70" s="209" t="str">
        <f>HYPERLINK("#QN19_e4!q19초YINT2A11","문6-11")</f>
        <v>문6-11</v>
      </c>
    </row>
    <row r="71" spans="2:10" ht="18" customHeight="1">
      <c r="B71" s="101" t="s">
        <v>1119</v>
      </c>
      <c r="C71" s="101" t="s">
        <v>1127</v>
      </c>
      <c r="D71" s="101" t="s">
        <v>1131</v>
      </c>
      <c r="E71" s="101" t="s">
        <v>1132</v>
      </c>
      <c r="F71" s="101" t="s">
        <v>1308</v>
      </c>
      <c r="G71" s="91" t="s">
        <v>148</v>
      </c>
      <c r="H71" s="208" t="str">
        <f>HYPERLINK("#CB_e4!code초YINT2A12","YINT2A12")</f>
        <v>YINT2A12</v>
      </c>
      <c r="I71" s="209" t="str">
        <f>HYPERLINK("#QN18_e4!q18초YINT2A12","문6-12")</f>
        <v>문6-12</v>
      </c>
      <c r="J71" s="209" t="str">
        <f>HYPERLINK("#QN19_e4!q19초YINT2A12","문6-12")</f>
        <v>문6-12</v>
      </c>
    </row>
    <row r="72" spans="2:10" ht="18" customHeight="1">
      <c r="B72" s="101" t="s">
        <v>1119</v>
      </c>
      <c r="C72" s="101" t="s">
        <v>1127</v>
      </c>
      <c r="D72" s="101" t="s">
        <v>1131</v>
      </c>
      <c r="E72" s="101" t="s">
        <v>1132</v>
      </c>
      <c r="F72" s="101" t="s">
        <v>1309</v>
      </c>
      <c r="G72" s="91" t="s">
        <v>149</v>
      </c>
      <c r="H72" s="208" t="str">
        <f>HYPERLINK("#CB_e4!code초YINT2A13","YINT2A13")</f>
        <v>YINT2A13</v>
      </c>
      <c r="I72" s="209" t="str">
        <f>HYPERLINK("#QN18_e4!q18초YINT2A13","문6-13")</f>
        <v>문6-13</v>
      </c>
      <c r="J72" s="209" t="str">
        <f>HYPERLINK("#QN19_e4!q19초YINT2A13","문6-13")</f>
        <v>문6-13</v>
      </c>
    </row>
    <row r="73" spans="2:10" ht="18" customHeight="1">
      <c r="B73" s="101" t="s">
        <v>1119</v>
      </c>
      <c r="C73" s="101" t="s">
        <v>1127</v>
      </c>
      <c r="D73" s="101" t="s">
        <v>1131</v>
      </c>
      <c r="E73" s="101" t="s">
        <v>1132</v>
      </c>
      <c r="F73" s="101" t="s">
        <v>1309</v>
      </c>
      <c r="G73" s="91" t="s">
        <v>1237</v>
      </c>
      <c r="H73" s="208" t="str">
        <f>HYPERLINK("#CB_e4!code초YINT2A14","YINT2A14")</f>
        <v>YINT2A14</v>
      </c>
      <c r="I73" s="209" t="str">
        <f>HYPERLINK("#QN18_e4!q18초YINT2A14","문6-14")</f>
        <v>문6-14</v>
      </c>
      <c r="J73" s="209" t="str">
        <f>HYPERLINK("#QN19_e4!q19초YINT2A14","문6-14")</f>
        <v>문6-14</v>
      </c>
    </row>
    <row r="74" spans="2:10" ht="18" customHeight="1">
      <c r="B74" s="101" t="s">
        <v>1119</v>
      </c>
      <c r="C74" s="101" t="s">
        <v>1127</v>
      </c>
      <c r="D74" s="101" t="s">
        <v>1131</v>
      </c>
      <c r="E74" s="101" t="s">
        <v>1132</v>
      </c>
      <c r="F74" s="101" t="s">
        <v>1309</v>
      </c>
      <c r="G74" s="91" t="s">
        <v>1340</v>
      </c>
      <c r="H74" s="208" t="str">
        <f>HYPERLINK("#CB_e4!code초YINT2A15","YINT2A15")</f>
        <v>YINT2A15</v>
      </c>
      <c r="I74" s="209" t="str">
        <f>HYPERLINK("#QN18_e4!q18초YINT2A15","문6-15")</f>
        <v>문6-15</v>
      </c>
      <c r="J74" s="209" t="str">
        <f>HYPERLINK("#QN19_e4!q19초YINT2A15","문6-15")</f>
        <v>문6-15</v>
      </c>
    </row>
    <row r="75" spans="2:10" ht="18" customHeight="1">
      <c r="B75" s="99" t="s">
        <v>1119</v>
      </c>
      <c r="C75" s="99" t="s">
        <v>1127</v>
      </c>
      <c r="D75" s="99" t="s">
        <v>1131</v>
      </c>
      <c r="E75" s="99" t="s">
        <v>1132</v>
      </c>
      <c r="F75" s="99" t="s">
        <v>1309</v>
      </c>
      <c r="G75" s="94" t="s">
        <v>152</v>
      </c>
      <c r="H75" s="206" t="str">
        <f>HYPERLINK("#CB_e4!code초YINT2A16","YINT2A16")</f>
        <v>YINT2A16</v>
      </c>
      <c r="I75" s="207" t="str">
        <f>HYPERLINK("#QN18_e4!q18초YINT2A16","문6-16")</f>
        <v>문6-16</v>
      </c>
      <c r="J75" s="207" t="str">
        <f>HYPERLINK("#QN19_e4!q19초YINT2A16","문6-16")</f>
        <v>문6-16</v>
      </c>
    </row>
    <row r="76" spans="2:10" ht="18" customHeight="1">
      <c r="B76" s="96" t="s">
        <v>1119</v>
      </c>
      <c r="C76" s="96" t="s">
        <v>1134</v>
      </c>
      <c r="D76" s="96" t="s">
        <v>1138</v>
      </c>
      <c r="E76" s="96" t="s">
        <v>1139</v>
      </c>
      <c r="F76" s="96" t="s">
        <v>1301</v>
      </c>
      <c r="G76" s="97" t="s">
        <v>154</v>
      </c>
      <c r="H76" s="204" t="str">
        <f>HYPERLINK("#CB_e4!code초YFUR2A01","YFUR2A01")</f>
        <v>YFUR2A01</v>
      </c>
      <c r="I76" s="205" t="str">
        <f>HYPERLINK("#QN18_e4!q18초YFUR2A01","문7-1")</f>
        <v>문7-1</v>
      </c>
      <c r="J76" s="205" t="str">
        <f>HYPERLINK("#QN19_e4!q19초YFUR2A01","문7-1")</f>
        <v>문7-1</v>
      </c>
    </row>
    <row r="77" spans="2:10" ht="18" customHeight="1">
      <c r="B77" s="101" t="s">
        <v>1119</v>
      </c>
      <c r="C77" s="101" t="s">
        <v>1134</v>
      </c>
      <c r="D77" s="101" t="s">
        <v>1138</v>
      </c>
      <c r="E77" s="101" t="s">
        <v>1139</v>
      </c>
      <c r="F77" s="101" t="s">
        <v>1302</v>
      </c>
      <c r="G77" s="91" t="s">
        <v>159</v>
      </c>
      <c r="H77" s="208" t="str">
        <f>HYPERLINK("#CB_e4!code초YFUR2A02","YFUR2A02")</f>
        <v>YFUR2A02</v>
      </c>
      <c r="I77" s="209" t="str">
        <f>HYPERLINK("#QN18_e4!q18초YFUR2A02","문7-2")</f>
        <v>문7-2</v>
      </c>
      <c r="J77" s="209" t="str">
        <f>HYPERLINK("#QN19_e4!q19초YFUR2A02","문7-2")</f>
        <v>문7-2</v>
      </c>
    </row>
    <row r="78" spans="2:10" ht="18" customHeight="1">
      <c r="B78" s="101" t="s">
        <v>1119</v>
      </c>
      <c r="C78" s="101" t="s">
        <v>1134</v>
      </c>
      <c r="D78" s="101" t="s">
        <v>1138</v>
      </c>
      <c r="E78" s="101" t="s">
        <v>1139</v>
      </c>
      <c r="F78" s="101" t="s">
        <v>1302</v>
      </c>
      <c r="G78" s="91" t="s">
        <v>1240</v>
      </c>
      <c r="H78" s="208" t="str">
        <f>HYPERLINK("#CB_e4!code초YFUR2A03","YFUR2A03")</f>
        <v>YFUR2A03</v>
      </c>
      <c r="I78" s="209" t="str">
        <f>HYPERLINK("#QN18_e4!q18초YFUR2A03","문7-3")</f>
        <v>문7-3</v>
      </c>
      <c r="J78" s="209" t="str">
        <f>HYPERLINK("#QN19_e4!q19초YFUR2A03","문7-3")</f>
        <v>문7-3</v>
      </c>
    </row>
    <row r="79" spans="2:10" ht="18" customHeight="1">
      <c r="B79" s="101" t="s">
        <v>1119</v>
      </c>
      <c r="C79" s="101" t="s">
        <v>1134</v>
      </c>
      <c r="D79" s="101" t="s">
        <v>1138</v>
      </c>
      <c r="E79" s="101" t="s">
        <v>1139</v>
      </c>
      <c r="F79" s="101" t="s">
        <v>1301</v>
      </c>
      <c r="G79" s="91" t="s">
        <v>1241</v>
      </c>
      <c r="H79" s="208" t="str">
        <f>HYPERLINK("#CB_e4!code초YFUR2A04","YFUR2A04")</f>
        <v>YFUR2A04</v>
      </c>
      <c r="I79" s="209" t="str">
        <f>HYPERLINK("#QN18_e4!q18초YFUR2A04","문7-4")</f>
        <v>문7-4</v>
      </c>
      <c r="J79" s="209" t="str">
        <f>HYPERLINK("#QN19_e4!q19초YFUR2A04","문7-4")</f>
        <v>문7-4</v>
      </c>
    </row>
    <row r="80" spans="2:10" ht="18" customHeight="1">
      <c r="B80" s="101" t="s">
        <v>1119</v>
      </c>
      <c r="C80" s="101" t="s">
        <v>1134</v>
      </c>
      <c r="D80" s="101" t="s">
        <v>1138</v>
      </c>
      <c r="E80" s="101" t="s">
        <v>1139</v>
      </c>
      <c r="F80" s="101" t="s">
        <v>1301</v>
      </c>
      <c r="G80" s="91" t="s">
        <v>160</v>
      </c>
      <c r="H80" s="208" t="str">
        <f>HYPERLINK("#CB_e4!code초YFUR2A05","YFUR2A05")</f>
        <v>YFUR2A05</v>
      </c>
      <c r="I80" s="209" t="str">
        <f>HYPERLINK("#QN18_e4!q18초YFUR2A05","문7-5")</f>
        <v>문7-5</v>
      </c>
      <c r="J80" s="209" t="str">
        <f>HYPERLINK("#QN19_e4!q19초YFUR2A05","문7-5")</f>
        <v>문7-5</v>
      </c>
    </row>
    <row r="81" spans="2:10" ht="18" customHeight="1">
      <c r="B81" s="101" t="s">
        <v>1119</v>
      </c>
      <c r="C81" s="101" t="s">
        <v>1134</v>
      </c>
      <c r="D81" s="101" t="s">
        <v>1138</v>
      </c>
      <c r="E81" s="101" t="s">
        <v>1139</v>
      </c>
      <c r="F81" s="101" t="s">
        <v>1302</v>
      </c>
      <c r="G81" s="91" t="s">
        <v>161</v>
      </c>
      <c r="H81" s="208" t="str">
        <f>HYPERLINK("#CB_e4!code초YFUR2A06","YFUR2A06")</f>
        <v>YFUR2A06</v>
      </c>
      <c r="I81" s="209" t="str">
        <f>HYPERLINK("#QN18_e4!q18초YFUR2A06","문7-6")</f>
        <v>문7-6</v>
      </c>
      <c r="J81" s="209" t="str">
        <f>HYPERLINK("#QN19_e4!q19초YFUR2A06","문7-6")</f>
        <v>문7-6</v>
      </c>
    </row>
    <row r="82" spans="2:10" ht="18" customHeight="1">
      <c r="B82" s="101" t="s">
        <v>1119</v>
      </c>
      <c r="C82" s="101" t="s">
        <v>1134</v>
      </c>
      <c r="D82" s="101" t="s">
        <v>1138</v>
      </c>
      <c r="E82" s="101" t="s">
        <v>1139</v>
      </c>
      <c r="F82" s="101" t="s">
        <v>1302</v>
      </c>
      <c r="G82" s="91" t="s">
        <v>162</v>
      </c>
      <c r="H82" s="208" t="str">
        <f>HYPERLINK("#CB_e4!code초YFUR2A07","YFUR2A07")</f>
        <v>YFUR2A07</v>
      </c>
      <c r="I82" s="209" t="str">
        <f>HYPERLINK("#QN18_e4!q18초YFUR2A07","문7-7")</f>
        <v>문7-7</v>
      </c>
      <c r="J82" s="209" t="str">
        <f>HYPERLINK("#QN19_e4!q19초YFUR2A07","문7-7")</f>
        <v>문7-7</v>
      </c>
    </row>
    <row r="83" spans="2:10" ht="18" customHeight="1">
      <c r="B83" s="101" t="s">
        <v>1119</v>
      </c>
      <c r="C83" s="101" t="s">
        <v>1134</v>
      </c>
      <c r="D83" s="101" t="s">
        <v>1138</v>
      </c>
      <c r="E83" s="101" t="s">
        <v>1139</v>
      </c>
      <c r="F83" s="101" t="s">
        <v>1302</v>
      </c>
      <c r="G83" s="91" t="s">
        <v>101</v>
      </c>
      <c r="H83" s="208" t="str">
        <f>HYPERLINK("#CB_e4!code초YFUR2A08","YFUR2A08")</f>
        <v>YFUR2A08</v>
      </c>
      <c r="I83" s="209" t="str">
        <f>HYPERLINK("#QN18_e4!q18초YFUR2A08","문7-8")</f>
        <v>문7-8</v>
      </c>
      <c r="J83" s="209" t="str">
        <f>HYPERLINK("#QN19_e4!q19초YFUR2A08","문7-8")</f>
        <v>문7-8</v>
      </c>
    </row>
    <row r="84" spans="2:10" ht="18" customHeight="1">
      <c r="B84" s="99" t="s">
        <v>1119</v>
      </c>
      <c r="C84" s="99" t="s">
        <v>1134</v>
      </c>
      <c r="D84" s="99" t="s">
        <v>1138</v>
      </c>
      <c r="E84" s="99" t="s">
        <v>1139</v>
      </c>
      <c r="F84" s="99" t="s">
        <v>1302</v>
      </c>
      <c r="G84" s="94" t="s">
        <v>1242</v>
      </c>
      <c r="H84" s="206" t="str">
        <f>HYPERLINK("#CB_e4!code초YFUR2A08_T","YFUR2A08_T")</f>
        <v>YFUR2A08_T</v>
      </c>
      <c r="I84" s="207" t="str">
        <f>HYPERLINK("#QN18_e4!q18초YFUR2A08_T","문7-8_T")</f>
        <v>문7-8_T</v>
      </c>
      <c r="J84" s="207" t="str">
        <f>HYPERLINK("#QN19_e4!q19초YFUR2A08_T","문7-8_T")</f>
        <v>문7-8_T</v>
      </c>
    </row>
    <row r="85" spans="2:10" ht="18" customHeight="1">
      <c r="B85" s="96" t="s">
        <v>1119</v>
      </c>
      <c r="C85" s="96" t="s">
        <v>1140</v>
      </c>
      <c r="D85" s="96" t="s">
        <v>1141</v>
      </c>
      <c r="E85" s="96" t="s">
        <v>1142</v>
      </c>
      <c r="F85" s="96" t="s">
        <v>1301</v>
      </c>
      <c r="G85" s="97" t="s">
        <v>164</v>
      </c>
      <c r="H85" s="204" t="str">
        <f>HYPERLINK("#CB_e4!code초YPSY1A01","YPSY1A01")</f>
        <v>YPSY1A01</v>
      </c>
      <c r="I85" s="205" t="str">
        <f>HYPERLINK("#QN18_e4!q18초YPSY1A01","문8-1")</f>
        <v>문8-1</v>
      </c>
      <c r="J85" s="205" t="str">
        <f>HYPERLINK("#QN19_e4!q19초YPSY1A01","문8-1")</f>
        <v>문8-1</v>
      </c>
    </row>
    <row r="86" spans="2:10" ht="18" customHeight="1">
      <c r="B86" s="101" t="s">
        <v>1119</v>
      </c>
      <c r="C86" s="101" t="s">
        <v>1140</v>
      </c>
      <c r="D86" s="101" t="s">
        <v>1141</v>
      </c>
      <c r="E86" s="101" t="s">
        <v>1142</v>
      </c>
      <c r="F86" s="101" t="s">
        <v>1302</v>
      </c>
      <c r="G86" s="91" t="s">
        <v>165</v>
      </c>
      <c r="H86" s="208" t="str">
        <f>HYPERLINK("#CB_e4!code초YPSY1A02","YPSY1A02")</f>
        <v>YPSY1A02</v>
      </c>
      <c r="I86" s="209" t="str">
        <f>HYPERLINK("#QN18_e4!q18초YPSY1A02","문8-2")</f>
        <v>문8-2</v>
      </c>
      <c r="J86" s="209" t="str">
        <f>HYPERLINK("#QN19_e4!q19초YPSY1A02","문8-2")</f>
        <v>문8-2</v>
      </c>
    </row>
    <row r="87" spans="2:10" ht="18" customHeight="1">
      <c r="B87" s="101" t="s">
        <v>1119</v>
      </c>
      <c r="C87" s="101" t="s">
        <v>1140</v>
      </c>
      <c r="D87" s="101" t="s">
        <v>1141</v>
      </c>
      <c r="E87" s="101" t="s">
        <v>1142</v>
      </c>
      <c r="F87" s="101" t="s">
        <v>1302</v>
      </c>
      <c r="G87" s="91" t="s">
        <v>166</v>
      </c>
      <c r="H87" s="208" t="str">
        <f>HYPERLINK("#CB_e4!code초YPSY1A03","YPSY1A03")</f>
        <v>YPSY1A03</v>
      </c>
      <c r="I87" s="209" t="str">
        <f>HYPERLINK("#QN18_e4!q18초YPSY1A03","문8-3")</f>
        <v>문8-3</v>
      </c>
      <c r="J87" s="209" t="str">
        <f>HYPERLINK("#QN19_e4!q19초YPSY1A03","문8-3")</f>
        <v>문8-3</v>
      </c>
    </row>
    <row r="88" spans="2:10" ht="18" customHeight="1">
      <c r="B88" s="101" t="s">
        <v>1119</v>
      </c>
      <c r="C88" s="101" t="s">
        <v>1140</v>
      </c>
      <c r="D88" s="101" t="s">
        <v>1141</v>
      </c>
      <c r="E88" s="101" t="s">
        <v>1142</v>
      </c>
      <c r="F88" s="101" t="s">
        <v>1301</v>
      </c>
      <c r="G88" s="91" t="s">
        <v>167</v>
      </c>
      <c r="H88" s="208" t="str">
        <f>HYPERLINK("#CB_e4!code초YPSY1A04","YPSY1A04")</f>
        <v>YPSY1A04</v>
      </c>
      <c r="I88" s="209" t="str">
        <f>HYPERLINK("#QN18_e4!q18초YPSY1A04","문8-4")</f>
        <v>문8-4</v>
      </c>
      <c r="J88" s="209" t="str">
        <f>HYPERLINK("#QN19_e4!q19초YPSY1A04","문8-4")</f>
        <v>문8-4</v>
      </c>
    </row>
    <row r="89" spans="2:10" ht="18" customHeight="1">
      <c r="B89" s="99" t="s">
        <v>1119</v>
      </c>
      <c r="C89" s="99" t="s">
        <v>1140</v>
      </c>
      <c r="D89" s="99" t="s">
        <v>1141</v>
      </c>
      <c r="E89" s="99" t="s">
        <v>1142</v>
      </c>
      <c r="F89" s="99" t="s">
        <v>1302</v>
      </c>
      <c r="G89" s="94" t="s">
        <v>168</v>
      </c>
      <c r="H89" s="206" t="str">
        <f>HYPERLINK("#CB_e4!code초YPSY1A05","YPSY1A05")</f>
        <v>YPSY1A05</v>
      </c>
      <c r="I89" s="207" t="str">
        <f>HYPERLINK("#QN18_e4!q18초YPSY1A05","문8-5")</f>
        <v>문8-5</v>
      </c>
      <c r="J89" s="207" t="str">
        <f>HYPERLINK("#QN19_e4!q19초YPSY1A05","문8-5")</f>
        <v>문8-5</v>
      </c>
    </row>
    <row r="90" spans="2:10" ht="18" customHeight="1">
      <c r="B90" s="96" t="s">
        <v>1119</v>
      </c>
      <c r="C90" s="96" t="s">
        <v>1140</v>
      </c>
      <c r="D90" s="96" t="s">
        <v>1143</v>
      </c>
      <c r="E90" s="96" t="s">
        <v>1144</v>
      </c>
      <c r="F90" s="96" t="s">
        <v>1302</v>
      </c>
      <c r="G90" s="97" t="s">
        <v>1243</v>
      </c>
      <c r="H90" s="204" t="str">
        <f>HYPERLINK("#CB_e4!code초YPSY2A01","YPSY2A01")</f>
        <v>YPSY2A01</v>
      </c>
      <c r="I90" s="205" t="str">
        <f>HYPERLINK("#QN18_e4!q18초YPSY2A01","문9a-1")</f>
        <v>문9a-1</v>
      </c>
      <c r="J90" s="205" t="str">
        <f>HYPERLINK("#QN19_e4!q19초YPSY2A01","문9a-1")</f>
        <v>문9a-1</v>
      </c>
    </row>
    <row r="91" spans="2:10" ht="18" customHeight="1">
      <c r="B91" s="101" t="s">
        <v>1119</v>
      </c>
      <c r="C91" s="101" t="s">
        <v>1140</v>
      </c>
      <c r="D91" s="101" t="s">
        <v>1143</v>
      </c>
      <c r="E91" s="101" t="s">
        <v>1144</v>
      </c>
      <c r="F91" s="101" t="s">
        <v>1301</v>
      </c>
      <c r="G91" s="91" t="s">
        <v>1244</v>
      </c>
      <c r="H91" s="208" t="str">
        <f>HYPERLINK("#CB_e4!code초YPSY2A02","YPSY2A02")</f>
        <v>YPSY2A02</v>
      </c>
      <c r="I91" s="209" t="str">
        <f>HYPERLINK("#QN18_e4!q18초YPSY2A02","문9a-2")</f>
        <v>문9a-2</v>
      </c>
      <c r="J91" s="209" t="str">
        <f>HYPERLINK("#QN19_e4!q19초YPSY2A02","문9a-2")</f>
        <v>문9a-2</v>
      </c>
    </row>
    <row r="92" spans="2:10" ht="18" customHeight="1">
      <c r="B92" s="101" t="s">
        <v>1119</v>
      </c>
      <c r="C92" s="101" t="s">
        <v>1140</v>
      </c>
      <c r="D92" s="101" t="s">
        <v>1143</v>
      </c>
      <c r="E92" s="101" t="s">
        <v>1144</v>
      </c>
      <c r="F92" s="101" t="s">
        <v>1301</v>
      </c>
      <c r="G92" s="91" t="s">
        <v>1245</v>
      </c>
      <c r="H92" s="208" t="str">
        <f>HYPERLINK("#CB_e4!code초YPSY2A03","YPSY2A03")</f>
        <v>YPSY2A03</v>
      </c>
      <c r="I92" s="209" t="str">
        <f>HYPERLINK("#QN18_e4!q18초YPSY2A03","문9b-1")</f>
        <v>문9b-1</v>
      </c>
      <c r="J92" s="209" t="str">
        <f>HYPERLINK("#QN19_e4!q19초YPSY2A03","문9b-1")</f>
        <v>문9b-1</v>
      </c>
    </row>
    <row r="93" spans="2:10" ht="18" customHeight="1">
      <c r="B93" s="99" t="s">
        <v>1119</v>
      </c>
      <c r="C93" s="99" t="s">
        <v>1140</v>
      </c>
      <c r="D93" s="99" t="s">
        <v>1143</v>
      </c>
      <c r="E93" s="99" t="s">
        <v>1144</v>
      </c>
      <c r="F93" s="99" t="s">
        <v>1302</v>
      </c>
      <c r="G93" s="94" t="s">
        <v>1246</v>
      </c>
      <c r="H93" s="206" t="str">
        <f>HYPERLINK("#CB_e4!code초YPSY2A04","YPSY2A04")</f>
        <v>YPSY2A04</v>
      </c>
      <c r="I93" s="207" t="str">
        <f>HYPERLINK("#QN18_e4!q18초YPSY2A04","문9b-2")</f>
        <v>문9b-2</v>
      </c>
      <c r="J93" s="207" t="str">
        <f>HYPERLINK("#QN19_e4!q19초YPSY2A04","문9b-2")</f>
        <v>문9b-2</v>
      </c>
    </row>
    <row r="94" spans="2:10" ht="18" customHeight="1">
      <c r="B94" s="96" t="s">
        <v>1119</v>
      </c>
      <c r="C94" s="96" t="s">
        <v>1140</v>
      </c>
      <c r="D94" s="96" t="s">
        <v>1145</v>
      </c>
      <c r="E94" s="96" t="s">
        <v>1146</v>
      </c>
      <c r="F94" s="96" t="s">
        <v>1302</v>
      </c>
      <c r="G94" s="97" t="s">
        <v>178</v>
      </c>
      <c r="H94" s="204" t="str">
        <f>HYPERLINK("#CB_e4!code초YPSY3A01","YPSY3A01")</f>
        <v>YPSY3A01</v>
      </c>
      <c r="I94" s="205" t="str">
        <f>HYPERLINK("#QN18_e4!q18초YPSY3A01","문10-1")</f>
        <v>문10-1</v>
      </c>
      <c r="J94" s="205" t="str">
        <f>HYPERLINK("#QN19_e4!q19초YPSY3A01","문10-1")</f>
        <v>문10-1</v>
      </c>
    </row>
    <row r="95" spans="2:10" ht="18" customHeight="1">
      <c r="B95" s="101" t="s">
        <v>1119</v>
      </c>
      <c r="C95" s="101" t="s">
        <v>1140</v>
      </c>
      <c r="D95" s="101" t="s">
        <v>1145</v>
      </c>
      <c r="E95" s="101" t="s">
        <v>1146</v>
      </c>
      <c r="F95" s="101" t="s">
        <v>1302</v>
      </c>
      <c r="G95" s="91" t="s">
        <v>179</v>
      </c>
      <c r="H95" s="208" t="str">
        <f>HYPERLINK("#CB_e4!code초YPSY3A02","YPSY3A02")</f>
        <v>YPSY3A02</v>
      </c>
      <c r="I95" s="209" t="str">
        <f>HYPERLINK("#QN18_e4!q18초YPSY3A02","문10-2")</f>
        <v>문10-2</v>
      </c>
      <c r="J95" s="209" t="str">
        <f>HYPERLINK("#QN19_e4!q19초YPSY3A02","문10-2")</f>
        <v>문10-2</v>
      </c>
    </row>
    <row r="96" spans="2:10" ht="18" customHeight="1">
      <c r="B96" s="101" t="s">
        <v>1119</v>
      </c>
      <c r="C96" s="101" t="s">
        <v>1140</v>
      </c>
      <c r="D96" s="101" t="s">
        <v>1145</v>
      </c>
      <c r="E96" s="101" t="s">
        <v>1146</v>
      </c>
      <c r="F96" s="101" t="s">
        <v>1302</v>
      </c>
      <c r="G96" s="91" t="s">
        <v>180</v>
      </c>
      <c r="H96" s="208" t="str">
        <f>HYPERLINK("#CB_e4!code초YPSY3A03","YPSY3A03")</f>
        <v>YPSY3A03</v>
      </c>
      <c r="I96" s="209" t="str">
        <f>HYPERLINK("#QN18_e4!q18초YPSY3A03","문10-3")</f>
        <v>문10-3</v>
      </c>
      <c r="J96" s="209" t="str">
        <f>HYPERLINK("#QN19_e4!q19초YPSY3A03","문10-3")</f>
        <v>문10-3</v>
      </c>
    </row>
    <row r="97" spans="2:10" ht="18" customHeight="1">
      <c r="B97" s="101" t="s">
        <v>1119</v>
      </c>
      <c r="C97" s="101" t="s">
        <v>1140</v>
      </c>
      <c r="D97" s="101" t="s">
        <v>1145</v>
      </c>
      <c r="E97" s="101" t="s">
        <v>1146</v>
      </c>
      <c r="F97" s="101" t="s">
        <v>1302</v>
      </c>
      <c r="G97" s="91" t="s">
        <v>181</v>
      </c>
      <c r="H97" s="208" t="str">
        <f>HYPERLINK("#CB_e4!code초YPSY3A04","YPSY3A04")</f>
        <v>YPSY3A04</v>
      </c>
      <c r="I97" s="209" t="str">
        <f>HYPERLINK("#QN18_e4!q18초YPSY3A04","문10-4")</f>
        <v>문10-4</v>
      </c>
      <c r="J97" s="209" t="str">
        <f>HYPERLINK("#QN19_e4!q19초YPSY3A04","문10-4")</f>
        <v>문10-4</v>
      </c>
    </row>
    <row r="98" spans="2:10" ht="18" customHeight="1">
      <c r="B98" s="101" t="s">
        <v>1119</v>
      </c>
      <c r="C98" s="101" t="s">
        <v>1140</v>
      </c>
      <c r="D98" s="101" t="s">
        <v>1145</v>
      </c>
      <c r="E98" s="101" t="s">
        <v>1146</v>
      </c>
      <c r="F98" s="101" t="s">
        <v>1302</v>
      </c>
      <c r="G98" s="91" t="s">
        <v>182</v>
      </c>
      <c r="H98" s="208" t="str">
        <f>HYPERLINK("#CB_e4!code초YPSY3A05","YPSY3A05")</f>
        <v>YPSY3A05</v>
      </c>
      <c r="I98" s="209" t="str">
        <f>HYPERLINK("#QN18_e4!q18초YPSY3A05","문10-5")</f>
        <v>문10-5</v>
      </c>
      <c r="J98" s="209" t="str">
        <f>HYPERLINK("#QN19_e4!q19초YPSY3A05","문10-5")</f>
        <v>문10-5</v>
      </c>
    </row>
    <row r="99" spans="2:10" ht="18" customHeight="1">
      <c r="B99" s="101" t="s">
        <v>1119</v>
      </c>
      <c r="C99" s="101" t="s">
        <v>1140</v>
      </c>
      <c r="D99" s="101" t="s">
        <v>1145</v>
      </c>
      <c r="E99" s="101" t="s">
        <v>1146</v>
      </c>
      <c r="F99" s="101" t="s">
        <v>1302</v>
      </c>
      <c r="G99" s="91" t="s">
        <v>183</v>
      </c>
      <c r="H99" s="208" t="str">
        <f>HYPERLINK("#CB_e4!code초YPSY3A06","YPSY3A06")</f>
        <v>YPSY3A06</v>
      </c>
      <c r="I99" s="209" t="str">
        <f>HYPERLINK("#QN18_e4!q18초YPSY3A06","문10-6")</f>
        <v>문10-6</v>
      </c>
      <c r="J99" s="209" t="str">
        <f>HYPERLINK("#QN19_e4!q19초YPSY3A06","문10-6")</f>
        <v>문10-6</v>
      </c>
    </row>
    <row r="100" spans="2:10" ht="18" customHeight="1">
      <c r="B100" s="101" t="s">
        <v>1119</v>
      </c>
      <c r="C100" s="101" t="s">
        <v>1140</v>
      </c>
      <c r="D100" s="101" t="s">
        <v>1145</v>
      </c>
      <c r="E100" s="101" t="s">
        <v>1146</v>
      </c>
      <c r="F100" s="101" t="s">
        <v>1302</v>
      </c>
      <c r="G100" s="91" t="s">
        <v>184</v>
      </c>
      <c r="H100" s="208" t="str">
        <f>HYPERLINK("#CB_e4!code초YPSY3A07","YPSY3A07")</f>
        <v>YPSY3A07</v>
      </c>
      <c r="I100" s="209" t="str">
        <f>HYPERLINK("#QN18_e4!q18초YPSY3A07","문10-7")</f>
        <v>문10-7</v>
      </c>
      <c r="J100" s="209" t="str">
        <f>HYPERLINK("#QN19_e4!q19초YPSY3A07","문10-7")</f>
        <v>문10-7</v>
      </c>
    </row>
    <row r="101" spans="2:10" ht="18" customHeight="1">
      <c r="B101" s="101" t="s">
        <v>1119</v>
      </c>
      <c r="C101" s="101" t="s">
        <v>1140</v>
      </c>
      <c r="D101" s="101" t="s">
        <v>1145</v>
      </c>
      <c r="E101" s="101" t="s">
        <v>1146</v>
      </c>
      <c r="F101" s="101" t="s">
        <v>1302</v>
      </c>
      <c r="G101" s="91" t="s">
        <v>185</v>
      </c>
      <c r="H101" s="208" t="str">
        <f>HYPERLINK("#CB_e4!code초YPSY3A08","YPSY3A08")</f>
        <v>YPSY3A08</v>
      </c>
      <c r="I101" s="209" t="str">
        <f>HYPERLINK("#QN18_e4!q18초YPSY3A08","문10-8")</f>
        <v>문10-8</v>
      </c>
      <c r="J101" s="209" t="str">
        <f>HYPERLINK("#QN19_e4!q19초YPSY3A08","문10-8")</f>
        <v>문10-8</v>
      </c>
    </row>
    <row r="102" spans="2:10" ht="18" customHeight="1">
      <c r="B102" s="101" t="s">
        <v>1119</v>
      </c>
      <c r="C102" s="101" t="s">
        <v>1140</v>
      </c>
      <c r="D102" s="101" t="s">
        <v>1145</v>
      </c>
      <c r="E102" s="101" t="s">
        <v>1146</v>
      </c>
      <c r="F102" s="101" t="s">
        <v>1302</v>
      </c>
      <c r="G102" s="91" t="s">
        <v>186</v>
      </c>
      <c r="H102" s="208" t="str">
        <f>HYPERLINK("#CB_e4!code초YPSY3A09","YPSY3A09")</f>
        <v>YPSY3A09</v>
      </c>
      <c r="I102" s="209" t="str">
        <f>HYPERLINK("#QN18_e4!q18초YPSY3A09","문10-9")</f>
        <v>문10-9</v>
      </c>
      <c r="J102" s="209" t="str">
        <f>HYPERLINK("#QN19_e4!q19초YPSY3A09","문10-9")</f>
        <v>문10-9</v>
      </c>
    </row>
    <row r="103" spans="2:10" ht="18" customHeight="1">
      <c r="B103" s="99" t="s">
        <v>1119</v>
      </c>
      <c r="C103" s="99" t="s">
        <v>1140</v>
      </c>
      <c r="D103" s="99" t="s">
        <v>1145</v>
      </c>
      <c r="E103" s="99" t="s">
        <v>1146</v>
      </c>
      <c r="F103" s="99" t="s">
        <v>1302</v>
      </c>
      <c r="G103" s="94" t="s">
        <v>187</v>
      </c>
      <c r="H103" s="206" t="str">
        <f>HYPERLINK("#CB_e4!code초YPSY3A10","YPSY3A10")</f>
        <v>YPSY3A10</v>
      </c>
      <c r="I103" s="207" t="str">
        <f>HYPERLINK("#QN18_e4!q18초YPSY3A10","문10-10")</f>
        <v>문10-10</v>
      </c>
      <c r="J103" s="207" t="str">
        <f>HYPERLINK("#QN19_e4!q19초YPSY3A10","문10-10")</f>
        <v>문10-10</v>
      </c>
    </row>
    <row r="104" spans="2:10" ht="18" customHeight="1">
      <c r="B104" s="96" t="s">
        <v>1119</v>
      </c>
      <c r="C104" s="96" t="s">
        <v>1140</v>
      </c>
      <c r="D104" s="96" t="s">
        <v>1147</v>
      </c>
      <c r="E104" s="96" t="s">
        <v>1148</v>
      </c>
      <c r="F104" s="96" t="s">
        <v>1302</v>
      </c>
      <c r="G104" s="97" t="s">
        <v>188</v>
      </c>
      <c r="H104" s="204" t="str">
        <f>HYPERLINK("#CB_e4!code초YPSY4A01","YPSY4A01")</f>
        <v>YPSY4A01</v>
      </c>
      <c r="I104" s="205" t="str">
        <f>HYPERLINK("#QN18_e4!q18초YPSY4A01","문11-1")</f>
        <v>문11-1</v>
      </c>
      <c r="J104" s="205" t="str">
        <f>HYPERLINK("#QN19_e4!q19초YPSY4A01","문11-1")</f>
        <v>문11-1</v>
      </c>
    </row>
    <row r="105" spans="2:10" ht="18" customHeight="1">
      <c r="B105" s="101" t="s">
        <v>1119</v>
      </c>
      <c r="C105" s="101" t="s">
        <v>1140</v>
      </c>
      <c r="D105" s="101" t="s">
        <v>1147</v>
      </c>
      <c r="E105" s="101" t="s">
        <v>1148</v>
      </c>
      <c r="F105" s="101" t="s">
        <v>1302</v>
      </c>
      <c r="G105" s="91" t="s">
        <v>189</v>
      </c>
      <c r="H105" s="208" t="str">
        <f>HYPERLINK("#CB_e4!code초YPSY4A02","YPSY4A02")</f>
        <v>YPSY4A02</v>
      </c>
      <c r="I105" s="209" t="str">
        <f>HYPERLINK("#QN18_e4!q18초YPSY4A02","문11-2")</f>
        <v>문11-2</v>
      </c>
      <c r="J105" s="209" t="str">
        <f>HYPERLINK("#QN19_e4!q19초YPSY4A02","문11-2")</f>
        <v>문11-2</v>
      </c>
    </row>
    <row r="106" spans="2:10" ht="18" customHeight="1">
      <c r="B106" s="101" t="s">
        <v>1119</v>
      </c>
      <c r="C106" s="101" t="s">
        <v>1140</v>
      </c>
      <c r="D106" s="101" t="s">
        <v>1147</v>
      </c>
      <c r="E106" s="101" t="s">
        <v>1148</v>
      </c>
      <c r="F106" s="101" t="s">
        <v>1302</v>
      </c>
      <c r="G106" s="91" t="s">
        <v>190</v>
      </c>
      <c r="H106" s="208" t="str">
        <f>HYPERLINK("#CB_e4!code초YPSY4A03","YPSY4A03")</f>
        <v>YPSY4A03</v>
      </c>
      <c r="I106" s="209" t="str">
        <f>HYPERLINK("#QN18_e4!q18초YPSY4A03","문11-3")</f>
        <v>문11-3</v>
      </c>
      <c r="J106" s="209" t="str">
        <f>HYPERLINK("#QN19_e4!q19초YPSY4A03","문11-3")</f>
        <v>문11-3</v>
      </c>
    </row>
    <row r="107" spans="2:10" ht="18" customHeight="1">
      <c r="B107" s="101" t="s">
        <v>1119</v>
      </c>
      <c r="C107" s="101" t="s">
        <v>1140</v>
      </c>
      <c r="D107" s="101" t="s">
        <v>1147</v>
      </c>
      <c r="E107" s="101" t="s">
        <v>1148</v>
      </c>
      <c r="F107" s="101" t="s">
        <v>1302</v>
      </c>
      <c r="G107" s="91" t="s">
        <v>191</v>
      </c>
      <c r="H107" s="208" t="str">
        <f>HYPERLINK("#CB_e4!code초YPSY4A04","YPSY4A04")</f>
        <v>YPSY4A04</v>
      </c>
      <c r="I107" s="209" t="str">
        <f>HYPERLINK("#QN18_e4!q18초YPSY4A04","문11-4")</f>
        <v>문11-4</v>
      </c>
      <c r="J107" s="209" t="str">
        <f>HYPERLINK("#QN19_e4!q19초YPSY4A04","문11-4")</f>
        <v>문11-4</v>
      </c>
    </row>
    <row r="108" spans="2:10" ht="18" customHeight="1">
      <c r="B108" s="101" t="s">
        <v>1119</v>
      </c>
      <c r="C108" s="101" t="s">
        <v>1140</v>
      </c>
      <c r="D108" s="101" t="s">
        <v>1147</v>
      </c>
      <c r="E108" s="101" t="s">
        <v>1148</v>
      </c>
      <c r="F108" s="101" t="s">
        <v>1302</v>
      </c>
      <c r="G108" s="91" t="s">
        <v>192</v>
      </c>
      <c r="H108" s="208" t="str">
        <f>HYPERLINK("#CB_e4!code초YPSY4A05","YPSY4A05")</f>
        <v>YPSY4A05</v>
      </c>
      <c r="I108" s="209" t="str">
        <f>HYPERLINK("#QN18_e4!q18초YPSY4A05","문11-5")</f>
        <v>문11-5</v>
      </c>
      <c r="J108" s="209" t="str">
        <f>HYPERLINK("#QN19_e4!q19초YPSY4A05","문11-5")</f>
        <v>문11-5</v>
      </c>
    </row>
    <row r="109" spans="2:10" ht="18" customHeight="1">
      <c r="B109" s="101" t="s">
        <v>1119</v>
      </c>
      <c r="C109" s="101" t="s">
        <v>1140</v>
      </c>
      <c r="D109" s="101" t="s">
        <v>1147</v>
      </c>
      <c r="E109" s="101" t="s">
        <v>1148</v>
      </c>
      <c r="F109" s="101" t="s">
        <v>1302</v>
      </c>
      <c r="G109" s="91" t="s">
        <v>193</v>
      </c>
      <c r="H109" s="208" t="str">
        <f>HYPERLINK("#CB_e4!code초YPSY4A06","YPSY4A06")</f>
        <v>YPSY4A06</v>
      </c>
      <c r="I109" s="209" t="str">
        <f>HYPERLINK("#QN18_e4!q18초YPSY4A06","문11-6")</f>
        <v>문11-6</v>
      </c>
      <c r="J109" s="209" t="str">
        <f>HYPERLINK("#QN19_e4!q19초YPSY4A06","문11-6")</f>
        <v>문11-6</v>
      </c>
    </row>
    <row r="110" spans="2:10" ht="18" customHeight="1">
      <c r="B110" s="99" t="s">
        <v>1119</v>
      </c>
      <c r="C110" s="99" t="s">
        <v>1140</v>
      </c>
      <c r="D110" s="99" t="s">
        <v>1147</v>
      </c>
      <c r="E110" s="99" t="s">
        <v>1148</v>
      </c>
      <c r="F110" s="99" t="s">
        <v>1302</v>
      </c>
      <c r="G110" s="94" t="s">
        <v>194</v>
      </c>
      <c r="H110" s="206" t="str">
        <f>HYPERLINK("#CB_e4!code초YPSY4A07","YPSY4A07")</f>
        <v>YPSY4A07</v>
      </c>
      <c r="I110" s="207" t="str">
        <f>HYPERLINK("#QN18_e4!q18초YPSY4A07","문11-7")</f>
        <v>문11-7</v>
      </c>
      <c r="J110" s="207" t="str">
        <f>HYPERLINK("#QN19_e4!q19초YPSY4A07","문11-7")</f>
        <v>문11-7</v>
      </c>
    </row>
    <row r="111" spans="2:10" ht="18" customHeight="1">
      <c r="B111" s="96" t="s">
        <v>1119</v>
      </c>
      <c r="C111" s="96" t="s">
        <v>1140</v>
      </c>
      <c r="D111" s="96" t="s">
        <v>1147</v>
      </c>
      <c r="E111" s="96" t="s">
        <v>1149</v>
      </c>
      <c r="F111" s="96" t="s">
        <v>1302</v>
      </c>
      <c r="G111" s="97" t="s">
        <v>195</v>
      </c>
      <c r="H111" s="204" t="str">
        <f>HYPERLINK("#CB_e4!code초YPSY4B01","YPSY4B01")</f>
        <v>YPSY4B01</v>
      </c>
      <c r="I111" s="205" t="str">
        <f>HYPERLINK("#QN18_e4!q18초YPSY4B01","문11-8")</f>
        <v>문11-8</v>
      </c>
      <c r="J111" s="205" t="str">
        <f>HYPERLINK("#QN19_e4!q19초YPSY4B01","문11-8")</f>
        <v>문11-8</v>
      </c>
    </row>
    <row r="112" spans="2:10" ht="18" customHeight="1">
      <c r="B112" s="101" t="s">
        <v>1119</v>
      </c>
      <c r="C112" s="101" t="s">
        <v>1140</v>
      </c>
      <c r="D112" s="101" t="s">
        <v>1147</v>
      </c>
      <c r="E112" s="101" t="s">
        <v>1149</v>
      </c>
      <c r="F112" s="101" t="s">
        <v>1302</v>
      </c>
      <c r="G112" s="91" t="s">
        <v>196</v>
      </c>
      <c r="H112" s="208" t="str">
        <f>HYPERLINK("#CB_e4!code초YPSY4B02","YPSY4B02")</f>
        <v>YPSY4B02</v>
      </c>
      <c r="I112" s="209" t="str">
        <f>HYPERLINK("#QN18_e4!q18초YPSY4B02","문11-9")</f>
        <v>문11-9</v>
      </c>
      <c r="J112" s="209" t="str">
        <f>HYPERLINK("#QN19_e4!q19초YPSY4B02","문11-9")</f>
        <v>문11-9</v>
      </c>
    </row>
    <row r="113" spans="2:10" ht="18" customHeight="1">
      <c r="B113" s="101" t="s">
        <v>1119</v>
      </c>
      <c r="C113" s="101" t="s">
        <v>1140</v>
      </c>
      <c r="D113" s="101" t="s">
        <v>1147</v>
      </c>
      <c r="E113" s="101" t="s">
        <v>1149</v>
      </c>
      <c r="F113" s="101" t="s">
        <v>1302</v>
      </c>
      <c r="G113" s="91" t="s">
        <v>197</v>
      </c>
      <c r="H113" s="208" t="str">
        <f>HYPERLINK("#CB_e4!code초YPSY4B03","YPSY4B03")</f>
        <v>YPSY4B03</v>
      </c>
      <c r="I113" s="209" t="str">
        <f>HYPERLINK("#QN18_e4!q18초YPSY4B03","문11-10")</f>
        <v>문11-10</v>
      </c>
      <c r="J113" s="209" t="str">
        <f>HYPERLINK("#QN19_e4!q19초YPSY4B03","문11-10")</f>
        <v>문11-10</v>
      </c>
    </row>
    <row r="114" spans="2:10" ht="18" customHeight="1">
      <c r="B114" s="101" t="s">
        <v>1119</v>
      </c>
      <c r="C114" s="101" t="s">
        <v>1140</v>
      </c>
      <c r="D114" s="101" t="s">
        <v>1147</v>
      </c>
      <c r="E114" s="101" t="s">
        <v>1149</v>
      </c>
      <c r="F114" s="101" t="s">
        <v>1302</v>
      </c>
      <c r="G114" s="91" t="s">
        <v>198</v>
      </c>
      <c r="H114" s="208" t="str">
        <f>HYPERLINK("#CB_e4!code초YPSY4B04","YPSY4B04")</f>
        <v>YPSY4B04</v>
      </c>
      <c r="I114" s="209" t="str">
        <f>HYPERLINK("#QN18_e4!q18초YPSY4B04","문11-11")</f>
        <v>문11-11</v>
      </c>
      <c r="J114" s="209" t="str">
        <f>HYPERLINK("#QN19_e4!q19초YPSY4B04","문11-11")</f>
        <v>문11-11</v>
      </c>
    </row>
    <row r="115" spans="2:10" ht="18" customHeight="1">
      <c r="B115" s="101" t="s">
        <v>1119</v>
      </c>
      <c r="C115" s="101" t="s">
        <v>1140</v>
      </c>
      <c r="D115" s="101" t="s">
        <v>1147</v>
      </c>
      <c r="E115" s="101" t="s">
        <v>1149</v>
      </c>
      <c r="F115" s="101" t="s">
        <v>1302</v>
      </c>
      <c r="G115" s="91" t="s">
        <v>199</v>
      </c>
      <c r="H115" s="208" t="str">
        <f>HYPERLINK("#CB_e4!code초YPSY4B05","YPSY4B05")</f>
        <v>YPSY4B05</v>
      </c>
      <c r="I115" s="209" t="str">
        <f>HYPERLINK("#QN18_e4!q18초YPSY4B05","문11-12")</f>
        <v>문11-12</v>
      </c>
      <c r="J115" s="209" t="str">
        <f>HYPERLINK("#QN19_e4!q19초YPSY4B05","문11-12")</f>
        <v>문11-12</v>
      </c>
    </row>
    <row r="116" spans="2:10" ht="18" customHeight="1">
      <c r="B116" s="99" t="s">
        <v>1119</v>
      </c>
      <c r="C116" s="99" t="s">
        <v>1140</v>
      </c>
      <c r="D116" s="99" t="s">
        <v>1147</v>
      </c>
      <c r="E116" s="99" t="s">
        <v>1149</v>
      </c>
      <c r="F116" s="99" t="s">
        <v>1302</v>
      </c>
      <c r="G116" s="94" t="s">
        <v>200</v>
      </c>
      <c r="H116" s="206" t="str">
        <f>HYPERLINK("#CB_e4!code초YPSY4B06","YPSY4B06")</f>
        <v>YPSY4B06</v>
      </c>
      <c r="I116" s="207" t="str">
        <f>HYPERLINK("#QN18_e4!q18초YPSY4B06","문11-13")</f>
        <v>문11-13</v>
      </c>
      <c r="J116" s="207" t="str">
        <f>HYPERLINK("#QN19_e4!q19초YPSY4B06","문11-13")</f>
        <v>문11-13</v>
      </c>
    </row>
    <row r="117" spans="2:10" ht="18" customHeight="1">
      <c r="B117" s="96" t="s">
        <v>1119</v>
      </c>
      <c r="C117" s="96" t="s">
        <v>1140</v>
      </c>
      <c r="D117" s="96" t="s">
        <v>1147</v>
      </c>
      <c r="E117" s="96" t="s">
        <v>1150</v>
      </c>
      <c r="F117" s="96" t="s">
        <v>1302</v>
      </c>
      <c r="G117" s="97" t="s">
        <v>201</v>
      </c>
      <c r="H117" s="204" t="str">
        <f>HYPERLINK("#CB_e4!code초YPSY4C01","YPSY4C01")</f>
        <v>YPSY4C01</v>
      </c>
      <c r="I117" s="205" t="str">
        <f>HYPERLINK("#QN18_e4!q18초YPSY4C01","문11-14")</f>
        <v>문11-14</v>
      </c>
      <c r="J117" s="205" t="str">
        <f>HYPERLINK("#QN19_e4!q19초YPSY4C01","문11-14")</f>
        <v>문11-14</v>
      </c>
    </row>
    <row r="118" spans="2:10" ht="18" customHeight="1">
      <c r="B118" s="101" t="s">
        <v>1119</v>
      </c>
      <c r="C118" s="101" t="s">
        <v>1140</v>
      </c>
      <c r="D118" s="101" t="s">
        <v>1147</v>
      </c>
      <c r="E118" s="101" t="s">
        <v>1150</v>
      </c>
      <c r="F118" s="101" t="s">
        <v>1302</v>
      </c>
      <c r="G118" s="91" t="s">
        <v>202</v>
      </c>
      <c r="H118" s="208" t="str">
        <f>HYPERLINK("#CB_e4!code초YPSY4C02","YPSY4C02")</f>
        <v>YPSY4C02</v>
      </c>
      <c r="I118" s="209" t="str">
        <f>HYPERLINK("#QN18_e4!q18초YPSY4C02","문11-15")</f>
        <v>문11-15</v>
      </c>
      <c r="J118" s="209" t="str">
        <f>HYPERLINK("#QN19_e4!q19초YPSY4C02","문11-15")</f>
        <v>문11-15</v>
      </c>
    </row>
    <row r="119" spans="2:10" ht="18" customHeight="1">
      <c r="B119" s="101" t="s">
        <v>1119</v>
      </c>
      <c r="C119" s="101" t="s">
        <v>1140</v>
      </c>
      <c r="D119" s="101" t="s">
        <v>1147</v>
      </c>
      <c r="E119" s="101" t="s">
        <v>1150</v>
      </c>
      <c r="F119" s="101" t="s">
        <v>1302</v>
      </c>
      <c r="G119" s="91" t="s">
        <v>203</v>
      </c>
      <c r="H119" s="208" t="str">
        <f>HYPERLINK("#CB_e4!code초YPSY4C03","YPSY4C03")</f>
        <v>YPSY4C03</v>
      </c>
      <c r="I119" s="209" t="str">
        <f>HYPERLINK("#QN18_e4!q18초YPSY4C03","문11-16")</f>
        <v>문11-16</v>
      </c>
      <c r="J119" s="209" t="str">
        <f>HYPERLINK("#QN19_e4!q19초YPSY4C03","문11-16")</f>
        <v>문11-16</v>
      </c>
    </row>
    <row r="120" spans="2:10" ht="18" customHeight="1">
      <c r="B120" s="101" t="s">
        <v>1119</v>
      </c>
      <c r="C120" s="101" t="s">
        <v>1140</v>
      </c>
      <c r="D120" s="101" t="s">
        <v>1147</v>
      </c>
      <c r="E120" s="101" t="s">
        <v>1150</v>
      </c>
      <c r="F120" s="101" t="s">
        <v>1302</v>
      </c>
      <c r="G120" s="91" t="s">
        <v>204</v>
      </c>
      <c r="H120" s="208" t="str">
        <f>HYPERLINK("#CB_e4!code초YPSY4C04","YPSY4C04")</f>
        <v>YPSY4C04</v>
      </c>
      <c r="I120" s="209" t="str">
        <f>HYPERLINK("#QN18_e4!q18초YPSY4C04","문11-17")</f>
        <v>문11-17</v>
      </c>
      <c r="J120" s="209" t="str">
        <f>HYPERLINK("#QN19_e4!q19초YPSY4C04","문11-17")</f>
        <v>문11-17</v>
      </c>
    </row>
    <row r="121" spans="2:10" ht="18" customHeight="1">
      <c r="B121" s="101" t="s">
        <v>1119</v>
      </c>
      <c r="C121" s="101" t="s">
        <v>1140</v>
      </c>
      <c r="D121" s="101" t="s">
        <v>1147</v>
      </c>
      <c r="E121" s="101" t="s">
        <v>1150</v>
      </c>
      <c r="F121" s="101" t="s">
        <v>1302</v>
      </c>
      <c r="G121" s="91" t="s">
        <v>205</v>
      </c>
      <c r="H121" s="208" t="str">
        <f>HYPERLINK("#CB_e4!code초YPSY4C05","YPSY4C05")</f>
        <v>YPSY4C05</v>
      </c>
      <c r="I121" s="209" t="str">
        <f>HYPERLINK("#QN18_e4!q18초YPSY4C05","문11-18")</f>
        <v>문11-18</v>
      </c>
      <c r="J121" s="209" t="str">
        <f>HYPERLINK("#QN19_e4!q19초YPSY4C05","문11-18")</f>
        <v>문11-18</v>
      </c>
    </row>
    <row r="122" spans="2:10" ht="18" customHeight="1">
      <c r="B122" s="101" t="s">
        <v>1119</v>
      </c>
      <c r="C122" s="101" t="s">
        <v>1140</v>
      </c>
      <c r="D122" s="101" t="s">
        <v>1147</v>
      </c>
      <c r="E122" s="101" t="s">
        <v>1150</v>
      </c>
      <c r="F122" s="101" t="s">
        <v>1302</v>
      </c>
      <c r="G122" s="91" t="s">
        <v>206</v>
      </c>
      <c r="H122" s="208" t="str">
        <f>HYPERLINK("#CB_e4!code초YPSY4C06","YPSY4C06")</f>
        <v>YPSY4C06</v>
      </c>
      <c r="I122" s="209" t="str">
        <f>HYPERLINK("#QN18_e4!q18초YPSY4C06","문11-19")</f>
        <v>문11-19</v>
      </c>
      <c r="J122" s="209" t="str">
        <f>HYPERLINK("#QN19_e4!q19초YPSY4C06","문11-19")</f>
        <v>문11-19</v>
      </c>
    </row>
    <row r="123" spans="2:10" ht="18" customHeight="1">
      <c r="B123" s="101" t="s">
        <v>1119</v>
      </c>
      <c r="C123" s="101" t="s">
        <v>1140</v>
      </c>
      <c r="D123" s="101" t="s">
        <v>1147</v>
      </c>
      <c r="E123" s="101" t="s">
        <v>1150</v>
      </c>
      <c r="F123" s="101" t="s">
        <v>1302</v>
      </c>
      <c r="G123" s="91" t="s">
        <v>207</v>
      </c>
      <c r="H123" s="208" t="str">
        <f>HYPERLINK("#CB_e4!code초YPSY4C07","YPSY4C07")</f>
        <v>YPSY4C07</v>
      </c>
      <c r="I123" s="209" t="str">
        <f>HYPERLINK("#QN18_e4!q18초YPSY4C07","문11-20")</f>
        <v>문11-20</v>
      </c>
      <c r="J123" s="209" t="str">
        <f>HYPERLINK("#QN19_e4!q19초YPSY4C07","문11-20")</f>
        <v>문11-20</v>
      </c>
    </row>
    <row r="124" spans="2:10" ht="18" customHeight="1">
      <c r="B124" s="99" t="s">
        <v>1119</v>
      </c>
      <c r="C124" s="99" t="s">
        <v>1140</v>
      </c>
      <c r="D124" s="99" t="s">
        <v>1147</v>
      </c>
      <c r="E124" s="99" t="s">
        <v>1150</v>
      </c>
      <c r="F124" s="99" t="s">
        <v>1302</v>
      </c>
      <c r="G124" s="94" t="s">
        <v>208</v>
      </c>
      <c r="H124" s="206" t="str">
        <f>HYPERLINK("#CB_e4!code초YPSY4C08","YPSY4C08")</f>
        <v>YPSY4C08</v>
      </c>
      <c r="I124" s="207" t="str">
        <f>HYPERLINK("#QN18_e4!q18초YPSY4C08","문11-21")</f>
        <v>문11-21</v>
      </c>
      <c r="J124" s="207" t="str">
        <f>HYPERLINK("#QN19_e4!q19초YPSY4C08","문11-21")</f>
        <v>문11-21</v>
      </c>
    </row>
    <row r="125" spans="2:10" ht="18" customHeight="1">
      <c r="B125" s="96" t="s">
        <v>1119</v>
      </c>
      <c r="C125" s="96" t="s">
        <v>1140</v>
      </c>
      <c r="D125" s="96" t="s">
        <v>1147</v>
      </c>
      <c r="E125" s="96" t="s">
        <v>1151</v>
      </c>
      <c r="F125" s="96" t="s">
        <v>1302</v>
      </c>
      <c r="G125" s="97" t="s">
        <v>209</v>
      </c>
      <c r="H125" s="204" t="str">
        <f>HYPERLINK("#CB_e4!code초YPSY4D01","YPSY4D01")</f>
        <v>YPSY4D01</v>
      </c>
      <c r="I125" s="205" t="str">
        <f>HYPERLINK("#QN18_e4!q18초YPSY4D01","문11-22")</f>
        <v>문11-22</v>
      </c>
      <c r="J125" s="205" t="str">
        <f>HYPERLINK("#QN19_e4!q19초YPSY4D01","문11-22")</f>
        <v>문11-22</v>
      </c>
    </row>
    <row r="126" spans="2:10" ht="18" customHeight="1">
      <c r="B126" s="101" t="s">
        <v>1119</v>
      </c>
      <c r="C126" s="101" t="s">
        <v>1140</v>
      </c>
      <c r="D126" s="101" t="s">
        <v>1147</v>
      </c>
      <c r="E126" s="101" t="s">
        <v>1151</v>
      </c>
      <c r="F126" s="101" t="s">
        <v>1302</v>
      </c>
      <c r="G126" s="91" t="s">
        <v>210</v>
      </c>
      <c r="H126" s="208" t="str">
        <f>HYPERLINK("#CB_e4!code초YPSY4D02","YPSY4D02")</f>
        <v>YPSY4D02</v>
      </c>
      <c r="I126" s="209" t="str">
        <f>HYPERLINK("#QN18_e4!q18초YPSY4D02","문11-23")</f>
        <v>문11-23</v>
      </c>
      <c r="J126" s="209" t="str">
        <f>HYPERLINK("#QN19_e4!q19초YPSY4D02","문11-23")</f>
        <v>문11-23</v>
      </c>
    </row>
    <row r="127" spans="2:10" ht="18" customHeight="1">
      <c r="B127" s="101" t="s">
        <v>1119</v>
      </c>
      <c r="C127" s="101" t="s">
        <v>1140</v>
      </c>
      <c r="D127" s="101" t="s">
        <v>1147</v>
      </c>
      <c r="E127" s="101" t="s">
        <v>1151</v>
      </c>
      <c r="F127" s="101" t="s">
        <v>1302</v>
      </c>
      <c r="G127" s="91" t="s">
        <v>211</v>
      </c>
      <c r="H127" s="208" t="str">
        <f>HYPERLINK("#CB_e4!code초YPSY4D03","YPSY4D03")</f>
        <v>YPSY4D03</v>
      </c>
      <c r="I127" s="209" t="str">
        <f>HYPERLINK("#QN18_e4!q18초YPSY4D03","문11-24")</f>
        <v>문11-24</v>
      </c>
      <c r="J127" s="209" t="str">
        <f>HYPERLINK("#QN19_e4!q19초YPSY4D03","문11-24")</f>
        <v>문11-24</v>
      </c>
    </row>
    <row r="128" spans="2:10" ht="18" customHeight="1">
      <c r="B128" s="101" t="s">
        <v>1119</v>
      </c>
      <c r="C128" s="101" t="s">
        <v>1140</v>
      </c>
      <c r="D128" s="101" t="s">
        <v>1147</v>
      </c>
      <c r="E128" s="101" t="s">
        <v>1151</v>
      </c>
      <c r="F128" s="101" t="s">
        <v>1302</v>
      </c>
      <c r="G128" s="91" t="s">
        <v>212</v>
      </c>
      <c r="H128" s="208" t="str">
        <f>HYPERLINK("#CB_e4!code초YPSY4D04","YPSY4D04")</f>
        <v>YPSY4D04</v>
      </c>
      <c r="I128" s="209" t="str">
        <f>HYPERLINK("#QN18_e4!q18초YPSY4D04","문11-25")</f>
        <v>문11-25</v>
      </c>
      <c r="J128" s="209" t="str">
        <f>HYPERLINK("#QN19_e4!q19초YPSY4D04","문11-25")</f>
        <v>문11-25</v>
      </c>
    </row>
    <row r="129" spans="2:10" ht="18" customHeight="1">
      <c r="B129" s="99" t="s">
        <v>1119</v>
      </c>
      <c r="C129" s="99" t="s">
        <v>1140</v>
      </c>
      <c r="D129" s="99" t="s">
        <v>1147</v>
      </c>
      <c r="E129" s="99" t="s">
        <v>1151</v>
      </c>
      <c r="F129" s="99" t="s">
        <v>1302</v>
      </c>
      <c r="G129" s="94" t="s">
        <v>213</v>
      </c>
      <c r="H129" s="206" t="str">
        <f>HYPERLINK("#CB_e4!code초YPSY4D05","YPSY4D05")</f>
        <v>YPSY4D05</v>
      </c>
      <c r="I129" s="207" t="str">
        <f>HYPERLINK("#QN18_e4!q18초YPSY4D05","문11-26")</f>
        <v>문11-26</v>
      </c>
      <c r="J129" s="207" t="str">
        <f>HYPERLINK("#QN19_e4!q19초YPSY4D05","문11-26")</f>
        <v>문11-26</v>
      </c>
    </row>
    <row r="130" spans="2:10" ht="18" customHeight="1">
      <c r="B130" s="96" t="s">
        <v>1119</v>
      </c>
      <c r="C130" s="96" t="s">
        <v>1140</v>
      </c>
      <c r="D130" s="96" t="s">
        <v>1147</v>
      </c>
      <c r="E130" s="96" t="s">
        <v>1152</v>
      </c>
      <c r="F130" s="96" t="s">
        <v>1302</v>
      </c>
      <c r="G130" s="97" t="s">
        <v>214</v>
      </c>
      <c r="H130" s="204" t="str">
        <f>HYPERLINK("#CB_e4!code초YPSY4E01","YPSY4E01")</f>
        <v>YPSY4E01</v>
      </c>
      <c r="I130" s="205" t="str">
        <f>HYPERLINK("#QN18_e4!q18초YPSY4E01","문11-27")</f>
        <v>문11-27</v>
      </c>
      <c r="J130" s="205" t="str">
        <f>HYPERLINK("#QN19_e4!q19초YPSY4E01","문11-27")</f>
        <v>문11-27</v>
      </c>
    </row>
    <row r="131" spans="2:10" ht="18" customHeight="1">
      <c r="B131" s="101" t="s">
        <v>1119</v>
      </c>
      <c r="C131" s="101" t="s">
        <v>1140</v>
      </c>
      <c r="D131" s="101" t="s">
        <v>1147</v>
      </c>
      <c r="E131" s="101" t="s">
        <v>1152</v>
      </c>
      <c r="F131" s="101" t="s">
        <v>1302</v>
      </c>
      <c r="G131" s="91" t="s">
        <v>215</v>
      </c>
      <c r="H131" s="208" t="str">
        <f>HYPERLINK("#CB_e4!code초YPSY4E02","YPSY4E02")</f>
        <v>YPSY4E02</v>
      </c>
      <c r="I131" s="209" t="str">
        <f>HYPERLINK("#QN18_e4!q18초YPSY4E02","문11-28")</f>
        <v>문11-28</v>
      </c>
      <c r="J131" s="209" t="str">
        <f>HYPERLINK("#QN19_e4!q19초YPSY4E02","문11-28")</f>
        <v>문11-28</v>
      </c>
    </row>
    <row r="132" spans="2:10" ht="18" customHeight="1">
      <c r="B132" s="101" t="s">
        <v>1119</v>
      </c>
      <c r="C132" s="101" t="s">
        <v>1140</v>
      </c>
      <c r="D132" s="101" t="s">
        <v>1147</v>
      </c>
      <c r="E132" s="101" t="s">
        <v>1152</v>
      </c>
      <c r="F132" s="101" t="s">
        <v>1302</v>
      </c>
      <c r="G132" s="91" t="s">
        <v>216</v>
      </c>
      <c r="H132" s="208" t="str">
        <f>HYPERLINK("#CB_e4!code초YPSY4E03","YPSY4E03")</f>
        <v>YPSY4E03</v>
      </c>
      <c r="I132" s="209" t="str">
        <f>HYPERLINK("#QN18_e4!q18초YPSY4E03","문11-29")</f>
        <v>문11-29</v>
      </c>
      <c r="J132" s="209" t="str">
        <f>HYPERLINK("#QN19_e4!q19초YPSY4E03","문11-29")</f>
        <v>문11-29</v>
      </c>
    </row>
    <row r="133" spans="2:10" ht="18" customHeight="1">
      <c r="B133" s="101" t="s">
        <v>1119</v>
      </c>
      <c r="C133" s="101" t="s">
        <v>1140</v>
      </c>
      <c r="D133" s="101" t="s">
        <v>1147</v>
      </c>
      <c r="E133" s="101" t="s">
        <v>1152</v>
      </c>
      <c r="F133" s="101" t="s">
        <v>1302</v>
      </c>
      <c r="G133" s="91" t="s">
        <v>217</v>
      </c>
      <c r="H133" s="208" t="str">
        <f>HYPERLINK("#CB_e4!code초YPSY4E04","YPSY4E04")</f>
        <v>YPSY4E04</v>
      </c>
      <c r="I133" s="209" t="str">
        <f>HYPERLINK("#QN18_e4!q18초YPSY4E04","문11-30")</f>
        <v>문11-30</v>
      </c>
      <c r="J133" s="209" t="str">
        <f>HYPERLINK("#QN19_e4!q19초YPSY4E04","문11-30")</f>
        <v>문11-30</v>
      </c>
    </row>
    <row r="134" spans="2:10" ht="18" customHeight="1">
      <c r="B134" s="101" t="s">
        <v>1119</v>
      </c>
      <c r="C134" s="101" t="s">
        <v>1140</v>
      </c>
      <c r="D134" s="101" t="s">
        <v>1147</v>
      </c>
      <c r="E134" s="101" t="s">
        <v>1152</v>
      </c>
      <c r="F134" s="101" t="s">
        <v>1302</v>
      </c>
      <c r="G134" s="91" t="s">
        <v>218</v>
      </c>
      <c r="H134" s="208" t="str">
        <f>HYPERLINK("#CB_e4!code초YPSY4E05","YPSY4E05")</f>
        <v>YPSY4E05</v>
      </c>
      <c r="I134" s="209" t="str">
        <f>HYPERLINK("#QN18_e4!q18초YPSY4E05","문11-31")</f>
        <v>문11-31</v>
      </c>
      <c r="J134" s="209" t="str">
        <f>HYPERLINK("#QN19_e4!q19초YPSY4E05","문11-31")</f>
        <v>문11-31</v>
      </c>
    </row>
    <row r="135" spans="2:10" ht="18" customHeight="1">
      <c r="B135" s="101" t="s">
        <v>1119</v>
      </c>
      <c r="C135" s="101" t="s">
        <v>1140</v>
      </c>
      <c r="D135" s="101" t="s">
        <v>1147</v>
      </c>
      <c r="E135" s="101" t="s">
        <v>1152</v>
      </c>
      <c r="F135" s="101" t="s">
        <v>1302</v>
      </c>
      <c r="G135" s="91" t="s">
        <v>219</v>
      </c>
      <c r="H135" s="208" t="str">
        <f>HYPERLINK("#CB_e4!code초YPSY4E06","YPSY4E06")</f>
        <v>YPSY4E06</v>
      </c>
      <c r="I135" s="209" t="str">
        <f>HYPERLINK("#QN18_e4!q18초YPSY4E06","문11-32")</f>
        <v>문11-32</v>
      </c>
      <c r="J135" s="209" t="str">
        <f>HYPERLINK("#QN19_e4!q19초YPSY4E06","문11-32")</f>
        <v>문11-32</v>
      </c>
    </row>
    <row r="136" spans="2:10" ht="18" customHeight="1">
      <c r="B136" s="101" t="s">
        <v>1119</v>
      </c>
      <c r="C136" s="101" t="s">
        <v>1140</v>
      </c>
      <c r="D136" s="101" t="s">
        <v>1147</v>
      </c>
      <c r="E136" s="101" t="s">
        <v>1152</v>
      </c>
      <c r="F136" s="101" t="s">
        <v>1302</v>
      </c>
      <c r="G136" s="91" t="s">
        <v>220</v>
      </c>
      <c r="H136" s="208" t="str">
        <f>HYPERLINK("#CB_e4!code초YPSY4E07","YPSY4E07")</f>
        <v>YPSY4E07</v>
      </c>
      <c r="I136" s="209" t="str">
        <f>HYPERLINK("#QN18_e4!q18초YPSY4E07","문11-33")</f>
        <v>문11-33</v>
      </c>
      <c r="J136" s="209" t="str">
        <f>HYPERLINK("#QN19_e4!q19초YPSY4E07","문11-33")</f>
        <v>문11-33</v>
      </c>
    </row>
    <row r="137" spans="2:10" ht="18" customHeight="1">
      <c r="B137" s="101" t="s">
        <v>1119</v>
      </c>
      <c r="C137" s="101" t="s">
        <v>1140</v>
      </c>
      <c r="D137" s="101" t="s">
        <v>1147</v>
      </c>
      <c r="E137" s="101" t="s">
        <v>1152</v>
      </c>
      <c r="F137" s="101" t="s">
        <v>1302</v>
      </c>
      <c r="G137" s="91" t="s">
        <v>221</v>
      </c>
      <c r="H137" s="208" t="str">
        <f>HYPERLINK("#CB_e4!code초YPSY4E08","YPSY4E08")</f>
        <v>YPSY4E08</v>
      </c>
      <c r="I137" s="209" t="str">
        <f>HYPERLINK("#QN18_e4!q18초YPSY4E08","문11-34")</f>
        <v>문11-34</v>
      </c>
      <c r="J137" s="209" t="str">
        <f>HYPERLINK("#QN19_e4!q19초YPSY4E08","문11-34")</f>
        <v>문11-34</v>
      </c>
    </row>
    <row r="138" spans="2:10" ht="18" customHeight="1">
      <c r="B138" s="101" t="s">
        <v>1119</v>
      </c>
      <c r="C138" s="101" t="s">
        <v>1140</v>
      </c>
      <c r="D138" s="101" t="s">
        <v>1147</v>
      </c>
      <c r="E138" s="101" t="s">
        <v>1152</v>
      </c>
      <c r="F138" s="101" t="s">
        <v>1302</v>
      </c>
      <c r="G138" s="91" t="s">
        <v>222</v>
      </c>
      <c r="H138" s="208" t="str">
        <f>HYPERLINK("#CB_e4!code초YPSY4E09","YPSY4E09")</f>
        <v>YPSY4E09</v>
      </c>
      <c r="I138" s="209" t="str">
        <f>HYPERLINK("#QN18_e4!q18초YPSY4E09","문11-35")</f>
        <v>문11-35</v>
      </c>
      <c r="J138" s="209" t="str">
        <f>HYPERLINK("#QN19_e4!q19초YPSY4E09","문11-35")</f>
        <v>문11-35</v>
      </c>
    </row>
    <row r="139" spans="2:10" ht="18" customHeight="1">
      <c r="B139" s="99" t="s">
        <v>1119</v>
      </c>
      <c r="C139" s="99" t="s">
        <v>1140</v>
      </c>
      <c r="D139" s="99" t="s">
        <v>1147</v>
      </c>
      <c r="E139" s="99" t="s">
        <v>1152</v>
      </c>
      <c r="F139" s="99" t="s">
        <v>1302</v>
      </c>
      <c r="G139" s="94" t="s">
        <v>223</v>
      </c>
      <c r="H139" s="206" t="str">
        <f>HYPERLINK("#CB_e4!code초YPSY4E10","YPSY4E10")</f>
        <v>YPSY4E10</v>
      </c>
      <c r="I139" s="207" t="str">
        <f>HYPERLINK("#QN18_e4!q18초YPSY4E10","문11-36")</f>
        <v>문11-36</v>
      </c>
      <c r="J139" s="207" t="str">
        <f>HYPERLINK("#QN19_e4!q19초YPSY4E10","문11-36")</f>
        <v>문11-36</v>
      </c>
    </row>
    <row r="140" spans="2:10" ht="18" customHeight="1">
      <c r="B140" s="96" t="s">
        <v>1119</v>
      </c>
      <c r="C140" s="96" t="s">
        <v>1140</v>
      </c>
      <c r="D140" s="96" t="s">
        <v>1153</v>
      </c>
      <c r="E140" s="96" t="s">
        <v>1154</v>
      </c>
      <c r="F140" s="96" t="s">
        <v>1412</v>
      </c>
      <c r="G140" s="97" t="s">
        <v>1247</v>
      </c>
      <c r="H140" s="204" t="str">
        <f>HYPERLINK("#CB_e4!code초YPSY5A01","YPSY5A01")</f>
        <v>YPSY5A01</v>
      </c>
      <c r="I140" s="205" t="str">
        <f>HYPERLINK("#QN18_e4!q18초YPSY5A01","문12-1")</f>
        <v>문12-1</v>
      </c>
      <c r="J140" s="205" t="str">
        <f>HYPERLINK("#QN19_e4!q19초YPSY5A01","문12-1")</f>
        <v>문12-1</v>
      </c>
    </row>
    <row r="141" spans="2:10" ht="18" customHeight="1">
      <c r="B141" s="101" t="s">
        <v>1119</v>
      </c>
      <c r="C141" s="101" t="s">
        <v>1140</v>
      </c>
      <c r="D141" s="101" t="s">
        <v>1153</v>
      </c>
      <c r="E141" s="101" t="s">
        <v>1154</v>
      </c>
      <c r="F141" s="101" t="s">
        <v>1413</v>
      </c>
      <c r="G141" s="91" t="s">
        <v>1248</v>
      </c>
      <c r="H141" s="208" t="str">
        <f>HYPERLINK("#CB_e4!code초YPSY5A02","YPSY5A02")</f>
        <v>YPSY5A02</v>
      </c>
      <c r="I141" s="209" t="str">
        <f>HYPERLINK("#QN18_e4!q18초YPSY5A02","문12-2")</f>
        <v>문12-2</v>
      </c>
      <c r="J141" s="209" t="str">
        <f>HYPERLINK("#QN19_e4!q19초YPSY5A02","문12-2")</f>
        <v>문12-2</v>
      </c>
    </row>
    <row r="142" spans="2:10" ht="18" customHeight="1">
      <c r="B142" s="101" t="s">
        <v>1119</v>
      </c>
      <c r="C142" s="101" t="s">
        <v>1140</v>
      </c>
      <c r="D142" s="101" t="s">
        <v>1153</v>
      </c>
      <c r="E142" s="101" t="s">
        <v>1154</v>
      </c>
      <c r="F142" s="101" t="s">
        <v>1413</v>
      </c>
      <c r="G142" s="91" t="s">
        <v>1249</v>
      </c>
      <c r="H142" s="208" t="str">
        <f>HYPERLINK("#CB_e4!code초YPSY5A03","YPSY5A03")</f>
        <v>YPSY5A03</v>
      </c>
      <c r="I142" s="209" t="str">
        <f>HYPERLINK("#QN18_e4!q18초YPSY5A03","문12-3")</f>
        <v>문12-3</v>
      </c>
      <c r="J142" s="209" t="str">
        <f>HYPERLINK("#QN19_e4!q19초YPSY5A03","문12-3")</f>
        <v>문12-3</v>
      </c>
    </row>
    <row r="143" spans="2:10" ht="18" customHeight="1">
      <c r="B143" s="101" t="s">
        <v>1119</v>
      </c>
      <c r="C143" s="101" t="s">
        <v>1140</v>
      </c>
      <c r="D143" s="101" t="s">
        <v>1153</v>
      </c>
      <c r="E143" s="101" t="s">
        <v>1154</v>
      </c>
      <c r="F143" s="101" t="s">
        <v>1413</v>
      </c>
      <c r="G143" s="91" t="s">
        <v>1250</v>
      </c>
      <c r="H143" s="208" t="str">
        <f>HYPERLINK("#CB_e4!code초YPSY5A04","YPSY5A04")</f>
        <v>YPSY5A04</v>
      </c>
      <c r="I143" s="209" t="str">
        <f>HYPERLINK("#QN18_e4!q18초YPSY5A04","문12-4")</f>
        <v>문12-4</v>
      </c>
      <c r="J143" s="209" t="str">
        <f>HYPERLINK("#QN19_e4!q19초YPSY5A04","문12-4")</f>
        <v>문12-4</v>
      </c>
    </row>
    <row r="144" spans="2:10" ht="18" customHeight="1">
      <c r="B144" s="101" t="s">
        <v>1119</v>
      </c>
      <c r="C144" s="101" t="s">
        <v>1140</v>
      </c>
      <c r="D144" s="101" t="s">
        <v>1153</v>
      </c>
      <c r="E144" s="101" t="s">
        <v>1154</v>
      </c>
      <c r="F144" s="101" t="s">
        <v>1413</v>
      </c>
      <c r="G144" s="91" t="s">
        <v>1251</v>
      </c>
      <c r="H144" s="208" t="str">
        <f>HYPERLINK("#CB_e4!code초YPSY5A05","YPSY5A05")</f>
        <v>YPSY5A05</v>
      </c>
      <c r="I144" s="209" t="str">
        <f>HYPERLINK("#QN18_e4!q18초YPSY5A05","문12-5")</f>
        <v>문12-5</v>
      </c>
      <c r="J144" s="209" t="str">
        <f>HYPERLINK("#QN19_e4!q19초YPSY5A05","문12-5")</f>
        <v>문12-5</v>
      </c>
    </row>
    <row r="145" spans="2:10" ht="18" customHeight="1">
      <c r="B145" s="101" t="s">
        <v>1119</v>
      </c>
      <c r="C145" s="101" t="s">
        <v>1140</v>
      </c>
      <c r="D145" s="101" t="s">
        <v>1153</v>
      </c>
      <c r="E145" s="101" t="s">
        <v>1154</v>
      </c>
      <c r="F145" s="101" t="s">
        <v>1413</v>
      </c>
      <c r="G145" s="91" t="s">
        <v>1252</v>
      </c>
      <c r="H145" s="208" t="str">
        <f>HYPERLINK("#CB_e4!code초YPSY5A06","YPSY5A06")</f>
        <v>YPSY5A06</v>
      </c>
      <c r="I145" s="209" t="str">
        <f>HYPERLINK("#QN18_e4!q18초YPSY5A06","문12-6")</f>
        <v>문12-6</v>
      </c>
      <c r="J145" s="209" t="str">
        <f>HYPERLINK("#QN19_e4!q19초YPSY5A06","문12-6")</f>
        <v>문12-6</v>
      </c>
    </row>
    <row r="146" spans="2:10" ht="18" customHeight="1">
      <c r="B146" s="101" t="s">
        <v>1119</v>
      </c>
      <c r="C146" s="101" t="s">
        <v>1140</v>
      </c>
      <c r="D146" s="101" t="s">
        <v>1153</v>
      </c>
      <c r="E146" s="101" t="s">
        <v>1154</v>
      </c>
      <c r="F146" s="101" t="s">
        <v>1414</v>
      </c>
      <c r="G146" s="91" t="s">
        <v>1253</v>
      </c>
      <c r="H146" s="208" t="str">
        <f>HYPERLINK("#CB_e4!code초YPSY5A07","YPSY5A07")</f>
        <v>YPSY5A07</v>
      </c>
      <c r="I146" s="209" t="str">
        <f>HYPERLINK("#QN18_e4!q18초YPSY5A07","문12-7")</f>
        <v>문12-7</v>
      </c>
      <c r="J146" s="209" t="str">
        <f>HYPERLINK("#QN19_e4!q19초YPSY5A07","문12-7")</f>
        <v>문12-7</v>
      </c>
    </row>
    <row r="147" spans="2:10" ht="18" customHeight="1">
      <c r="B147" s="101" t="s">
        <v>1119</v>
      </c>
      <c r="C147" s="101" t="s">
        <v>1140</v>
      </c>
      <c r="D147" s="101" t="s">
        <v>1153</v>
      </c>
      <c r="E147" s="101" t="s">
        <v>1154</v>
      </c>
      <c r="F147" s="101" t="s">
        <v>1414</v>
      </c>
      <c r="G147" s="91" t="s">
        <v>1254</v>
      </c>
      <c r="H147" s="208" t="str">
        <f>HYPERLINK("#CB_e4!code초YPSY5A08","YPSY5A08")</f>
        <v>YPSY5A08</v>
      </c>
      <c r="I147" s="209" t="str">
        <f>HYPERLINK("#QN18_e4!q18초YPSY5A08","문12-8")</f>
        <v>문12-8</v>
      </c>
      <c r="J147" s="209" t="str">
        <f>HYPERLINK("#QN19_e4!q19초YPSY5A08","문12-8")</f>
        <v>문12-8</v>
      </c>
    </row>
    <row r="148" spans="2:10" ht="18" customHeight="1">
      <c r="B148" s="101" t="s">
        <v>1119</v>
      </c>
      <c r="C148" s="101" t="s">
        <v>1140</v>
      </c>
      <c r="D148" s="101" t="s">
        <v>1153</v>
      </c>
      <c r="E148" s="101" t="s">
        <v>1154</v>
      </c>
      <c r="F148" s="101" t="s">
        <v>1414</v>
      </c>
      <c r="G148" s="91" t="s">
        <v>1255</v>
      </c>
      <c r="H148" s="208" t="str">
        <f>HYPERLINK("#CB_e4!code초YPSY5A09","YPSY5A09")</f>
        <v>YPSY5A09</v>
      </c>
      <c r="I148" s="209" t="str">
        <f>HYPERLINK("#QN18_e4!q18초YPSY5A09","문12-9")</f>
        <v>문12-9</v>
      </c>
      <c r="J148" s="209" t="str">
        <f>HYPERLINK("#QN19_e4!q19초YPSY5A09","문12-9")</f>
        <v>문12-9</v>
      </c>
    </row>
    <row r="149" spans="2:10" ht="18" customHeight="1">
      <c r="B149" s="101" t="s">
        <v>1119</v>
      </c>
      <c r="C149" s="101" t="s">
        <v>1140</v>
      </c>
      <c r="D149" s="101" t="s">
        <v>1153</v>
      </c>
      <c r="E149" s="101" t="s">
        <v>1154</v>
      </c>
      <c r="F149" s="101" t="s">
        <v>1415</v>
      </c>
      <c r="G149" s="91" t="s">
        <v>1256</v>
      </c>
      <c r="H149" s="208" t="str">
        <f>HYPERLINK("#CB_e4!code초YPSY5A10","YPSY5A10")</f>
        <v>YPSY5A10</v>
      </c>
      <c r="I149" s="209" t="str">
        <f>HYPERLINK("#QN18_e4!q18초YPSY5A10","문12-10")</f>
        <v>문12-10</v>
      </c>
      <c r="J149" s="209" t="str">
        <f>HYPERLINK("#QN19_e4!q19초YPSY5A10","문12-10")</f>
        <v>문12-10</v>
      </c>
    </row>
    <row r="150" spans="2:10" ht="18" customHeight="1">
      <c r="B150" s="101" t="s">
        <v>1119</v>
      </c>
      <c r="C150" s="101" t="s">
        <v>1140</v>
      </c>
      <c r="D150" s="101" t="s">
        <v>1153</v>
      </c>
      <c r="E150" s="101" t="s">
        <v>1154</v>
      </c>
      <c r="F150" s="101" t="s">
        <v>1415</v>
      </c>
      <c r="G150" s="91" t="s">
        <v>1257</v>
      </c>
      <c r="H150" s="208" t="str">
        <f>HYPERLINK("#CB_e4!code초YPSY5A11","YPSY5A11")</f>
        <v>YPSY5A11</v>
      </c>
      <c r="I150" s="209" t="str">
        <f>HYPERLINK("#QN18_e4!q18초YPSY5A11","문12-11")</f>
        <v>문12-11</v>
      </c>
      <c r="J150" s="209" t="str">
        <f>HYPERLINK("#QN19_e4!q19초YPSY5A11","문12-11")</f>
        <v>문12-11</v>
      </c>
    </row>
    <row r="151" spans="2:10" ht="18" customHeight="1">
      <c r="B151" s="101" t="s">
        <v>1119</v>
      </c>
      <c r="C151" s="101" t="s">
        <v>1140</v>
      </c>
      <c r="D151" s="101" t="s">
        <v>1153</v>
      </c>
      <c r="E151" s="101" t="s">
        <v>1154</v>
      </c>
      <c r="F151" s="101" t="s">
        <v>1415</v>
      </c>
      <c r="G151" s="91" t="s">
        <v>1258</v>
      </c>
      <c r="H151" s="208" t="str">
        <f>HYPERLINK("#CB_e4!code초YPSY5A12","YPSY5A12")</f>
        <v>YPSY5A12</v>
      </c>
      <c r="I151" s="209" t="str">
        <f>HYPERLINK("#QN18_e4!q18초YPSY5A12","문12-12")</f>
        <v>문12-12</v>
      </c>
      <c r="J151" s="209" t="str">
        <f>HYPERLINK("#QN19_e4!q19초YPSY5A12","문12-12")</f>
        <v>문12-12</v>
      </c>
    </row>
    <row r="152" spans="2:10" ht="18" customHeight="1">
      <c r="B152" s="101" t="s">
        <v>1119</v>
      </c>
      <c r="C152" s="101" t="s">
        <v>1140</v>
      </c>
      <c r="D152" s="101" t="s">
        <v>1153</v>
      </c>
      <c r="E152" s="101" t="s">
        <v>1154</v>
      </c>
      <c r="F152" s="101" t="s">
        <v>1415</v>
      </c>
      <c r="G152" s="91" t="s">
        <v>1259</v>
      </c>
      <c r="H152" s="208" t="str">
        <f>HYPERLINK("#CB_e4!code초YPSY5A13","YPSY5A13")</f>
        <v>YPSY5A13</v>
      </c>
      <c r="I152" s="209" t="str">
        <f>HYPERLINK("#QN18_e4!q18초YPSY5A13","문12-13")</f>
        <v>문12-13</v>
      </c>
      <c r="J152" s="209" t="str">
        <f>HYPERLINK("#QN19_e4!q19초YPSY5A13","문12-13")</f>
        <v>문12-13</v>
      </c>
    </row>
    <row r="153" spans="2:10" ht="18" customHeight="1">
      <c r="B153" s="99" t="s">
        <v>1119</v>
      </c>
      <c r="C153" s="99" t="s">
        <v>1140</v>
      </c>
      <c r="D153" s="99" t="s">
        <v>1153</v>
      </c>
      <c r="E153" s="99" t="s">
        <v>1154</v>
      </c>
      <c r="F153" s="99" t="s">
        <v>1415</v>
      </c>
      <c r="G153" s="94" t="s">
        <v>1260</v>
      </c>
      <c r="H153" s="206" t="str">
        <f>HYPERLINK("#CB_e4!code초YPSY5A14","YPSY5A14")</f>
        <v>YPSY5A14</v>
      </c>
      <c r="I153" s="207" t="str">
        <f>HYPERLINK("#QN18_e4!q18초YPSY5A14","문12-14")</f>
        <v>문12-14</v>
      </c>
      <c r="J153" s="207" t="str">
        <f>HYPERLINK("#QN19_e4!q19초YPSY5A14","문12-14")</f>
        <v>문12-14</v>
      </c>
    </row>
    <row r="154" spans="2:10" ht="18" customHeight="1">
      <c r="B154" s="96" t="s">
        <v>1119</v>
      </c>
      <c r="C154" s="96" t="s">
        <v>1140</v>
      </c>
      <c r="D154" s="96" t="s">
        <v>1157</v>
      </c>
      <c r="E154" s="96" t="s">
        <v>1158</v>
      </c>
      <c r="F154" s="96" t="s">
        <v>1302</v>
      </c>
      <c r="G154" s="97" t="s">
        <v>240</v>
      </c>
      <c r="H154" s="204" t="str">
        <f>HYPERLINK("#CB_e4!code초YPSY7A01","YPSY7A01")</f>
        <v>YPSY7A01</v>
      </c>
      <c r="I154" s="205" t="str">
        <f>HYPERLINK("#QN18_e4!q18초YPSY7A01","문13-1")</f>
        <v>문13-1</v>
      </c>
      <c r="J154" s="205" t="str">
        <f>HYPERLINK("#QN19_e4!q19초YPSY7A01","문13-1")</f>
        <v>문13-1</v>
      </c>
    </row>
    <row r="155" spans="2:10" ht="18" customHeight="1">
      <c r="B155" s="101" t="s">
        <v>1119</v>
      </c>
      <c r="C155" s="101" t="s">
        <v>1140</v>
      </c>
      <c r="D155" s="101" t="s">
        <v>1157</v>
      </c>
      <c r="E155" s="101" t="s">
        <v>1158</v>
      </c>
      <c r="F155" s="101" t="s">
        <v>1302</v>
      </c>
      <c r="G155" s="91" t="s">
        <v>528</v>
      </c>
      <c r="H155" s="208" t="str">
        <f>HYPERLINK("#CB_e4!code초YPSY7A02","YPSY7A02")</f>
        <v>YPSY7A02</v>
      </c>
      <c r="I155" s="209" t="str">
        <f>HYPERLINK("#QN18_e4!q18초YPSY7A02","문13-2")</f>
        <v>문13-2</v>
      </c>
      <c r="J155" s="209" t="str">
        <f>HYPERLINK("#QN19_e4!q19초YPSY7A02","문13-2")</f>
        <v>문13-2</v>
      </c>
    </row>
    <row r="156" spans="2:10" ht="18" customHeight="1">
      <c r="B156" s="101" t="s">
        <v>1119</v>
      </c>
      <c r="C156" s="101" t="s">
        <v>1140</v>
      </c>
      <c r="D156" s="101" t="s">
        <v>1157</v>
      </c>
      <c r="E156" s="101" t="s">
        <v>1158</v>
      </c>
      <c r="F156" s="101" t="s">
        <v>1302</v>
      </c>
      <c r="G156" s="91" t="s">
        <v>241</v>
      </c>
      <c r="H156" s="208" t="str">
        <f>HYPERLINK("#CB_e4!code초YPSY7A03","YPSY7A03")</f>
        <v>YPSY7A03</v>
      </c>
      <c r="I156" s="209" t="str">
        <f>HYPERLINK("#QN18_e4!q18초YPSY7A03","문13-3")</f>
        <v>문13-3</v>
      </c>
      <c r="J156" s="209" t="str">
        <f>HYPERLINK("#QN19_e4!q19초YPSY7A03","문13-3")</f>
        <v>문13-3</v>
      </c>
    </row>
    <row r="157" spans="2:10" ht="18" customHeight="1">
      <c r="B157" s="101" t="s">
        <v>1119</v>
      </c>
      <c r="C157" s="101" t="s">
        <v>1140</v>
      </c>
      <c r="D157" s="101" t="s">
        <v>1157</v>
      </c>
      <c r="E157" s="101" t="s">
        <v>1158</v>
      </c>
      <c r="F157" s="101" t="s">
        <v>1302</v>
      </c>
      <c r="G157" s="91" t="s">
        <v>242</v>
      </c>
      <c r="H157" s="208" t="str">
        <f>HYPERLINK("#CB_e4!code초YPSY7A04","YPSY7A04")</f>
        <v>YPSY7A04</v>
      </c>
      <c r="I157" s="209" t="str">
        <f>HYPERLINK("#QN18_e4!q18초YPSY7A04","문13-4")</f>
        <v>문13-4</v>
      </c>
      <c r="J157" s="209" t="str">
        <f>HYPERLINK("#QN19_e4!q19초YPSY7A04","문13-4")</f>
        <v>문13-4</v>
      </c>
    </row>
    <row r="158" spans="2:10" ht="18" customHeight="1">
      <c r="B158" s="101" t="s">
        <v>1119</v>
      </c>
      <c r="C158" s="101" t="s">
        <v>1140</v>
      </c>
      <c r="D158" s="101" t="s">
        <v>1157</v>
      </c>
      <c r="E158" s="101" t="s">
        <v>1158</v>
      </c>
      <c r="F158" s="101" t="s">
        <v>1302</v>
      </c>
      <c r="G158" s="91" t="s">
        <v>243</v>
      </c>
      <c r="H158" s="208" t="str">
        <f>HYPERLINK("#CB_e4!code초YPSY7A05","YPSY7A05")</f>
        <v>YPSY7A05</v>
      </c>
      <c r="I158" s="209" t="str">
        <f>HYPERLINK("#QN18_e4!q18초YPSY7A05","문13-5")</f>
        <v>문13-5</v>
      </c>
      <c r="J158" s="209" t="str">
        <f>HYPERLINK("#QN19_e4!q19초YPSY7A05","문13-5")</f>
        <v>문13-5</v>
      </c>
    </row>
    <row r="159" spans="2:10" ht="18" customHeight="1">
      <c r="B159" s="101" t="s">
        <v>1119</v>
      </c>
      <c r="C159" s="101" t="s">
        <v>1140</v>
      </c>
      <c r="D159" s="101" t="s">
        <v>1157</v>
      </c>
      <c r="E159" s="101" t="s">
        <v>1158</v>
      </c>
      <c r="F159" s="101" t="s">
        <v>1302</v>
      </c>
      <c r="G159" s="91" t="s">
        <v>244</v>
      </c>
      <c r="H159" s="208" t="str">
        <f>HYPERLINK("#CB_e4!code초YPSY7A06","YPSY7A06")</f>
        <v>YPSY7A06</v>
      </c>
      <c r="I159" s="209" t="str">
        <f>HYPERLINK("#QN18_e4!q18초YPSY7A06","문13-6")</f>
        <v>문13-6</v>
      </c>
      <c r="J159" s="209" t="str">
        <f>HYPERLINK("#QN19_e4!q19초YPSY7A06","문13-6")</f>
        <v>문13-6</v>
      </c>
    </row>
    <row r="160" spans="2:10" ht="18" customHeight="1">
      <c r="B160" s="101" t="s">
        <v>1119</v>
      </c>
      <c r="C160" s="101" t="s">
        <v>1140</v>
      </c>
      <c r="D160" s="101" t="s">
        <v>1157</v>
      </c>
      <c r="E160" s="101" t="s">
        <v>1158</v>
      </c>
      <c r="F160" s="101" t="s">
        <v>1302</v>
      </c>
      <c r="G160" s="91" t="s">
        <v>245</v>
      </c>
      <c r="H160" s="208" t="str">
        <f>HYPERLINK("#CB_e4!code초YPSY7A07","YPSY7A07")</f>
        <v>YPSY7A07</v>
      </c>
      <c r="I160" s="209" t="str">
        <f>HYPERLINK("#QN18_e4!q18초YPSY7A07","문13-7")</f>
        <v>문13-7</v>
      </c>
      <c r="J160" s="209" t="str">
        <f>HYPERLINK("#QN19_e4!q19초YPSY7A07","문13-7")</f>
        <v>문13-7</v>
      </c>
    </row>
    <row r="161" spans="2:10" ht="18" customHeight="1">
      <c r="B161" s="99" t="s">
        <v>1119</v>
      </c>
      <c r="C161" s="99" t="s">
        <v>1140</v>
      </c>
      <c r="D161" s="99" t="s">
        <v>1157</v>
      </c>
      <c r="E161" s="99" t="s">
        <v>1158</v>
      </c>
      <c r="F161" s="99" t="s">
        <v>1302</v>
      </c>
      <c r="G161" s="94" t="s">
        <v>246</v>
      </c>
      <c r="H161" s="206" t="str">
        <f>HYPERLINK("#CB_e4!code초YPSY7A08","YPSY7A08")</f>
        <v>YPSY7A08</v>
      </c>
      <c r="I161" s="207" t="str">
        <f>HYPERLINK("#QN18_e4!q18초YPSY7A08","문13-8")</f>
        <v>문13-8</v>
      </c>
      <c r="J161" s="207" t="str">
        <f>HYPERLINK("#QN19_e4!q19초YPSY7A08","문13-8")</f>
        <v>문13-8</v>
      </c>
    </row>
    <row r="162" spans="2:10" ht="18" customHeight="1">
      <c r="B162" s="96" t="s">
        <v>1119</v>
      </c>
      <c r="C162" s="96" t="s">
        <v>1164</v>
      </c>
      <c r="D162" s="96" t="s">
        <v>1165</v>
      </c>
      <c r="E162" s="96" t="s">
        <v>1166</v>
      </c>
      <c r="F162" s="96" t="s">
        <v>1302</v>
      </c>
      <c r="G162" s="97" t="s">
        <v>1266</v>
      </c>
      <c r="H162" s="204" t="str">
        <f>HYPERLINK("#CB_e4!code초YPHY1A00","YPHY1A00")</f>
        <v>YPHY1A00</v>
      </c>
      <c r="I162" s="205" t="str">
        <f>HYPERLINK("#QN18_e4!q18초YPHY1A00","문18")</f>
        <v>문18</v>
      </c>
      <c r="J162" s="205" t="str">
        <f>HYPERLINK("#QN19_e4!q19초YPHY1A00","문19")</f>
        <v>문19</v>
      </c>
    </row>
    <row r="163" spans="2:10" ht="18" customHeight="1">
      <c r="B163" s="101" t="s">
        <v>1119</v>
      </c>
      <c r="C163" s="101" t="s">
        <v>1164</v>
      </c>
      <c r="D163" s="101" t="s">
        <v>1165</v>
      </c>
      <c r="E163" s="101" t="s">
        <v>1167</v>
      </c>
      <c r="F163" s="101" t="s">
        <v>1302</v>
      </c>
      <c r="G163" s="91" t="s">
        <v>1267</v>
      </c>
      <c r="H163" s="208" t="str">
        <f>HYPERLINK("#CB_e4!code초YPHY1B00","YPHY1B00")</f>
        <v>YPHY1B00</v>
      </c>
      <c r="I163" s="209" t="str">
        <f>HYPERLINK("#QN18_e4!q18초YPHY1B00","문19")</f>
        <v>문19</v>
      </c>
      <c r="J163" s="209" t="str">
        <f>HYPERLINK("#QN19_e4!q19초YPHY1B00","문20")</f>
        <v>문20</v>
      </c>
    </row>
    <row r="164" spans="2:10" ht="18" customHeight="1">
      <c r="B164" s="101" t="s">
        <v>1119</v>
      </c>
      <c r="C164" s="101" t="s">
        <v>1164</v>
      </c>
      <c r="D164" s="101" t="s">
        <v>1165</v>
      </c>
      <c r="E164" s="101" t="s">
        <v>1168</v>
      </c>
      <c r="F164" s="101" t="s">
        <v>1302</v>
      </c>
      <c r="G164" s="91" t="s">
        <v>1268</v>
      </c>
      <c r="H164" s="208" t="str">
        <f>HYPERLINK("#CB_e4!code초YPHY1C00","YPHY1C00")</f>
        <v>YPHY1C00</v>
      </c>
      <c r="I164" s="209" t="str">
        <f>HYPERLINK("#QN18_e4!q18초YPHY1C00","문20")</f>
        <v>문20</v>
      </c>
      <c r="J164" s="209" t="str">
        <f>HYPERLINK("#QN19_e4!q19초YPHY1C00","문21")</f>
        <v>문21</v>
      </c>
    </row>
    <row r="165" spans="2:10" ht="18" customHeight="1">
      <c r="B165" s="96" t="s">
        <v>1119</v>
      </c>
      <c r="C165" s="96" t="s">
        <v>1164</v>
      </c>
      <c r="D165" s="96" t="s">
        <v>1453</v>
      </c>
      <c r="E165" s="96" t="s">
        <v>1170</v>
      </c>
      <c r="F165" s="96" t="s">
        <v>1</v>
      </c>
      <c r="G165" s="97" t="s">
        <v>317</v>
      </c>
      <c r="H165" s="204" t="str">
        <f>HYPERLINK("#CB_e4!code초YPHY2A00","YPHY2A00")</f>
        <v>YPHY2A00</v>
      </c>
      <c r="I165" s="205" t="str">
        <f>HYPERLINK("#QN18_e4!q18초YPHY2A00","문21")</f>
        <v>문21</v>
      </c>
      <c r="J165" s="205" t="str">
        <f>HYPERLINK("#QN19_e4!q19초YPHY2A00","문22")</f>
        <v>문22</v>
      </c>
    </row>
    <row r="166" spans="2:10" ht="18" customHeight="1">
      <c r="B166" s="99" t="s">
        <v>1119</v>
      </c>
      <c r="C166" s="99" t="s">
        <v>1164</v>
      </c>
      <c r="D166" s="99" t="s">
        <v>1454</v>
      </c>
      <c r="E166" s="99" t="s">
        <v>1171</v>
      </c>
      <c r="F166" s="99" t="s">
        <v>1456</v>
      </c>
      <c r="G166" s="94" t="s">
        <v>318</v>
      </c>
      <c r="H166" s="206" t="str">
        <f>HYPERLINK("#CB_e4!code초YPHY2B00","YPHY2B00")</f>
        <v>YPHY2B00</v>
      </c>
      <c r="I166" s="207" t="str">
        <f>HYPERLINK("#QN18_e4!q18초YPHY2B00","문21")</f>
        <v>문21</v>
      </c>
      <c r="J166" s="207" t="str">
        <f>HYPERLINK("#QN19_e4!q19초YPHY2B00","문22")</f>
        <v>문22</v>
      </c>
    </row>
    <row r="167" spans="2:10" ht="18" customHeight="1">
      <c r="B167" s="99" t="s">
        <v>1172</v>
      </c>
      <c r="C167" s="99" t="s">
        <v>1173</v>
      </c>
      <c r="D167" s="99" t="s">
        <v>1174</v>
      </c>
      <c r="E167" s="99" t="s">
        <v>1175</v>
      </c>
      <c r="F167" s="99" t="s">
        <v>1302</v>
      </c>
      <c r="G167" s="94" t="s">
        <v>1269</v>
      </c>
      <c r="H167" s="206" t="str">
        <f>HYPERLINK("#CB_e4!code초YMDA1A00","YMDA1A00")</f>
        <v>YMDA1A00</v>
      </c>
      <c r="I167" s="207" t="str">
        <f>HYPERLINK("#QN18_e4!q18초YMDA1A00","문2")</f>
        <v>문2</v>
      </c>
      <c r="J167" s="207" t="str">
        <f>HYPERLINK("#QN19_e4!q19초YMDA1A00","문2")</f>
        <v>문2</v>
      </c>
    </row>
    <row r="168" spans="2:10" ht="18" customHeight="1">
      <c r="B168" s="101" t="s">
        <v>1172</v>
      </c>
      <c r="C168" s="101" t="s">
        <v>1173</v>
      </c>
      <c r="D168" s="101" t="s">
        <v>1174</v>
      </c>
      <c r="E168" s="101" t="s">
        <v>1176</v>
      </c>
      <c r="F168" s="101" t="s">
        <v>1302</v>
      </c>
      <c r="G168" s="91" t="s">
        <v>1270</v>
      </c>
      <c r="H168" s="208" t="str">
        <f>HYPERLINK("#CB_e4!code초YMDA1B01","YMDA1B01")</f>
        <v>YMDA1B01</v>
      </c>
      <c r="I168" s="209" t="str">
        <f>HYPERLINK("#QN18_e4!q18초YMDA1B01","문2-1-1")</f>
        <v>문2-1-1</v>
      </c>
      <c r="J168" s="209" t="str">
        <f>HYPERLINK("#QN19_e4!q19초YMDA1B01","문2-1-1")</f>
        <v>문2-1-1</v>
      </c>
    </row>
    <row r="169" spans="2:10" ht="18" customHeight="1">
      <c r="B169" s="101" t="s">
        <v>1172</v>
      </c>
      <c r="C169" s="101" t="s">
        <v>1173</v>
      </c>
      <c r="D169" s="101" t="s">
        <v>1174</v>
      </c>
      <c r="E169" s="101" t="s">
        <v>1176</v>
      </c>
      <c r="F169" s="101" t="s">
        <v>1302</v>
      </c>
      <c r="G169" s="91" t="s">
        <v>1271</v>
      </c>
      <c r="H169" s="208" t="str">
        <f>HYPERLINK("#CB_e4!code초YMDA1B02","YMDA1B02")</f>
        <v>YMDA1B02</v>
      </c>
      <c r="I169" s="209" t="str">
        <f>HYPERLINK("#QN18_e4!q18초YMDA1B02","문2-1-2")</f>
        <v>문2-1-2</v>
      </c>
      <c r="J169" s="209" t="str">
        <f>HYPERLINK("#QN19_e4!q19초YMDA1B02","문2-1-2")</f>
        <v>문2-1-2</v>
      </c>
    </row>
    <row r="170" spans="2:10" ht="18" customHeight="1">
      <c r="B170" s="101" t="s">
        <v>1172</v>
      </c>
      <c r="C170" s="101" t="s">
        <v>1173</v>
      </c>
      <c r="D170" s="101" t="s">
        <v>1174</v>
      </c>
      <c r="E170" s="101" t="s">
        <v>1176</v>
      </c>
      <c r="F170" s="101" t="s">
        <v>1302</v>
      </c>
      <c r="G170" s="91" t="s">
        <v>1272</v>
      </c>
      <c r="H170" s="208" t="str">
        <f>HYPERLINK("#CB_e4!code초YMDA1B03","YMDA1B03")</f>
        <v>YMDA1B03</v>
      </c>
      <c r="I170" s="209" t="str">
        <f>HYPERLINK("#QN18_e4!q18초YMDA1B03","문2-1-3")</f>
        <v>문2-1-3</v>
      </c>
      <c r="J170" s="209" t="str">
        <f>HYPERLINK("#QN19_e4!q19초YMDA1B03","문2-1-3")</f>
        <v>문2-1-3</v>
      </c>
    </row>
    <row r="171" spans="2:10" ht="18" customHeight="1">
      <c r="B171" s="101" t="s">
        <v>1172</v>
      </c>
      <c r="C171" s="101" t="s">
        <v>1173</v>
      </c>
      <c r="D171" s="101" t="s">
        <v>1174</v>
      </c>
      <c r="E171" s="101" t="s">
        <v>1176</v>
      </c>
      <c r="F171" s="101" t="s">
        <v>1302</v>
      </c>
      <c r="G171" s="91" t="s">
        <v>1273</v>
      </c>
      <c r="H171" s="208" t="str">
        <f>HYPERLINK("#CB_e4!code초YMDA1B04","YMDA1B04")</f>
        <v>YMDA1B04</v>
      </c>
      <c r="I171" s="209" t="str">
        <f>HYPERLINK("#QN18_e4!q18초YMDA1B04","문2-1-4")</f>
        <v>문2-1-4</v>
      </c>
      <c r="J171" s="209" t="str">
        <f>HYPERLINK("#QN19_e4!q19초YMDA1B04","문2-1-4")</f>
        <v>문2-1-4</v>
      </c>
    </row>
    <row r="172" spans="2:10" ht="18" customHeight="1">
      <c r="B172" s="101" t="s">
        <v>1172</v>
      </c>
      <c r="C172" s="101" t="s">
        <v>1173</v>
      </c>
      <c r="D172" s="101" t="s">
        <v>1174</v>
      </c>
      <c r="E172" s="101" t="s">
        <v>1176</v>
      </c>
      <c r="F172" s="101" t="s">
        <v>1302</v>
      </c>
      <c r="G172" s="91" t="s">
        <v>1274</v>
      </c>
      <c r="H172" s="208" t="str">
        <f>HYPERLINK("#CB_e4!code초YMDA1B05","YMDA1B05")</f>
        <v>YMDA1B05</v>
      </c>
      <c r="I172" s="209" t="str">
        <f>HYPERLINK("#QN18_e4!q18초YMDA1B05","문2-1-5")</f>
        <v>문2-1-5</v>
      </c>
      <c r="J172" s="209" t="str">
        <f>HYPERLINK("#QN19_e4!q19초YMDA1B05","문2-1-5")</f>
        <v>문2-1-5</v>
      </c>
    </row>
    <row r="173" spans="2:10" ht="18" customHeight="1">
      <c r="B173" s="101" t="s">
        <v>1172</v>
      </c>
      <c r="C173" s="101" t="s">
        <v>1173</v>
      </c>
      <c r="D173" s="101" t="s">
        <v>1174</v>
      </c>
      <c r="E173" s="101" t="s">
        <v>1176</v>
      </c>
      <c r="F173" s="101" t="s">
        <v>1302</v>
      </c>
      <c r="G173" s="91" t="s">
        <v>95</v>
      </c>
      <c r="H173" s="208" t="str">
        <f>HYPERLINK("#CB_e4!code초YMDA1B06","YMDA1B06")</f>
        <v>YMDA1B06</v>
      </c>
      <c r="I173" s="209" t="str">
        <f>HYPERLINK("#QN18_e4!q18초YMDA1B06","문2-1-6")</f>
        <v>문2-1-6</v>
      </c>
      <c r="J173" s="209" t="str">
        <f>HYPERLINK("#QN19_e4!q19초YMDA1B06","문2-1-6")</f>
        <v>문2-1-6</v>
      </c>
    </row>
    <row r="174" spans="2:10" ht="18" customHeight="1">
      <c r="B174" s="101" t="s">
        <v>1172</v>
      </c>
      <c r="C174" s="101" t="s">
        <v>1173</v>
      </c>
      <c r="D174" s="101" t="s">
        <v>1174</v>
      </c>
      <c r="E174" s="101" t="s">
        <v>1176</v>
      </c>
      <c r="F174" s="101" t="s">
        <v>1302</v>
      </c>
      <c r="G174" s="91" t="s">
        <v>96</v>
      </c>
      <c r="H174" s="208" t="str">
        <f>HYPERLINK("#CB_e4!code초YMDA1B07","YMDA1B07")</f>
        <v>YMDA1B07</v>
      </c>
      <c r="I174" s="209" t="str">
        <f>HYPERLINK("#QN18_e4!q18초YMDA1B07","문2-1-7")</f>
        <v>문2-1-7</v>
      </c>
      <c r="J174" s="209" t="str">
        <f>HYPERLINK("#QN19_e4!q19초YMDA1B07","문2-1-7")</f>
        <v>문2-1-7</v>
      </c>
    </row>
    <row r="175" spans="2:10" ht="18" customHeight="1">
      <c r="B175" s="101" t="s">
        <v>1172</v>
      </c>
      <c r="C175" s="101" t="s">
        <v>1173</v>
      </c>
      <c r="D175" s="101" t="s">
        <v>1174</v>
      </c>
      <c r="E175" s="101" t="s">
        <v>1176</v>
      </c>
      <c r="F175" s="101" t="s">
        <v>1302</v>
      </c>
      <c r="G175" s="91" t="s">
        <v>1275</v>
      </c>
      <c r="H175" s="208" t="str">
        <f>HYPERLINK("#CB_e4!code초YMDA1B08","YMDA1B08")</f>
        <v>YMDA1B08</v>
      </c>
      <c r="I175" s="209" t="str">
        <f>HYPERLINK("#QN18_e4!q18초YMDA1B08","문2-1-8")</f>
        <v>문2-1-8</v>
      </c>
      <c r="J175" s="209" t="str">
        <f>HYPERLINK("#QN19_e4!q19초YMDA1B08","문2-1-8")</f>
        <v>문2-1-8</v>
      </c>
    </row>
    <row r="176" spans="2:10" ht="18" customHeight="1">
      <c r="B176" s="101" t="s">
        <v>1172</v>
      </c>
      <c r="C176" s="101" t="s">
        <v>1173</v>
      </c>
      <c r="D176" s="101" t="s">
        <v>1174</v>
      </c>
      <c r="E176" s="101" t="s">
        <v>1176</v>
      </c>
      <c r="F176" s="101" t="s">
        <v>1302</v>
      </c>
      <c r="G176" s="91" t="s">
        <v>98</v>
      </c>
      <c r="H176" s="208" t="str">
        <f>HYPERLINK("#CB_e4!code초YMDA1B09","YMDA1B09")</f>
        <v>YMDA1B09</v>
      </c>
      <c r="I176" s="209" t="str">
        <f>HYPERLINK("#QN18_e4!q18초YMDA1B09","문2-1-9")</f>
        <v>문2-1-9</v>
      </c>
      <c r="J176" s="209" t="str">
        <f>HYPERLINK("#QN19_e4!q19초YMDA1B09","문2-1-9")</f>
        <v>문2-1-9</v>
      </c>
    </row>
    <row r="177" spans="2:10" ht="18" customHeight="1">
      <c r="B177" s="101" t="s">
        <v>1172</v>
      </c>
      <c r="C177" s="101" t="s">
        <v>1173</v>
      </c>
      <c r="D177" s="101" t="s">
        <v>1174</v>
      </c>
      <c r="E177" s="101" t="s">
        <v>1176</v>
      </c>
      <c r="F177" s="101" t="s">
        <v>1302</v>
      </c>
      <c r="G177" s="91" t="s">
        <v>1276</v>
      </c>
      <c r="H177" s="208" t="str">
        <f>HYPERLINK("#CB_e4!code초YMDA1B10","YMDA1B10")</f>
        <v>YMDA1B10</v>
      </c>
      <c r="I177" s="209" t="str">
        <f>HYPERLINK("#QN18_e4!q18초YMDA1B10","문2-1-10")</f>
        <v>문2-1-10</v>
      </c>
      <c r="J177" s="209" t="str">
        <f>HYPERLINK("#QN19_e4!q19초YMDA1B10","문2-1-10")</f>
        <v>문2-1-10</v>
      </c>
    </row>
    <row r="178" spans="2:10" ht="18" customHeight="1">
      <c r="B178" s="101" t="s">
        <v>1172</v>
      </c>
      <c r="C178" s="101" t="s">
        <v>1173</v>
      </c>
      <c r="D178" s="101" t="s">
        <v>1174</v>
      </c>
      <c r="E178" s="101" t="s">
        <v>1176</v>
      </c>
      <c r="F178" s="101" t="s">
        <v>1302</v>
      </c>
      <c r="G178" s="91" t="s">
        <v>1277</v>
      </c>
      <c r="H178" s="208" t="str">
        <f>HYPERLINK("#CB_e4!code초YMDA1B11","YMDA1B11")</f>
        <v>YMDA1B11</v>
      </c>
      <c r="I178" s="209" t="str">
        <f>HYPERLINK("#QN18_e4!q18초YMDA1B11","문2-1-11")</f>
        <v>문2-1-11</v>
      </c>
      <c r="J178" s="209" t="str">
        <f>HYPERLINK("#QN19_e4!q19초YMDA1B11","문2-1-11")</f>
        <v>문2-1-11</v>
      </c>
    </row>
    <row r="179" spans="2:10" ht="18" customHeight="1">
      <c r="B179" s="101" t="s">
        <v>1172</v>
      </c>
      <c r="C179" s="101" t="s">
        <v>1173</v>
      </c>
      <c r="D179" s="101" t="s">
        <v>1174</v>
      </c>
      <c r="E179" s="101" t="s">
        <v>1176</v>
      </c>
      <c r="F179" s="101" t="s">
        <v>1</v>
      </c>
      <c r="G179" s="91" t="s">
        <v>1429</v>
      </c>
      <c r="H179" s="208" t="str">
        <f>HYPERLINK("#CB_e4!code초YMDA1B12","YMDA1B12")</f>
        <v>YMDA1B12</v>
      </c>
      <c r="I179" s="209"/>
      <c r="J179" s="209" t="str">
        <f>HYPERLINK("#QN19_e4!q19초YMDA1B12","문2-1-12")</f>
        <v>문2-1-12</v>
      </c>
    </row>
    <row r="180" spans="2:10" ht="18" customHeight="1">
      <c r="B180" s="101" t="s">
        <v>1172</v>
      </c>
      <c r="C180" s="101" t="s">
        <v>1173</v>
      </c>
      <c r="D180" s="101" t="s">
        <v>1174</v>
      </c>
      <c r="E180" s="101" t="s">
        <v>1176</v>
      </c>
      <c r="F180" s="101" t="s">
        <v>1302</v>
      </c>
      <c r="G180" s="91" t="s">
        <v>101</v>
      </c>
      <c r="H180" s="208" t="str">
        <f>HYPERLINK("#CB_e4!code초YMDA1B13","YMDA1B13")</f>
        <v>YMDA1B13</v>
      </c>
      <c r="I180" s="209" t="str">
        <f>HYPERLINK("#QN18_e4!q18초YMDA1B13","문2-1-12")</f>
        <v>문2-1-12</v>
      </c>
      <c r="J180" s="209" t="str">
        <f>HYPERLINK("#QN19_e4!q19초YMDA1B13","문2-1-13")</f>
        <v>문2-1-13</v>
      </c>
    </row>
    <row r="181" spans="2:10" ht="18" customHeight="1">
      <c r="B181" s="99" t="s">
        <v>1172</v>
      </c>
      <c r="C181" s="99" t="s">
        <v>1173</v>
      </c>
      <c r="D181" s="99" t="s">
        <v>1174</v>
      </c>
      <c r="E181" s="99" t="s">
        <v>1176</v>
      </c>
      <c r="F181" s="99" t="s">
        <v>1302</v>
      </c>
      <c r="G181" s="94" t="s">
        <v>102</v>
      </c>
      <c r="H181" s="206" t="str">
        <f>HYPERLINK("#CB_e4!code초YMDA1B13_T","YMDA1B13_T")</f>
        <v>YMDA1B13_T</v>
      </c>
      <c r="I181" s="207" t="str">
        <f>HYPERLINK("#QN18_e4!q18초YMDA1B13_T","문2-1-12_T")</f>
        <v>문2-1-12_T</v>
      </c>
      <c r="J181" s="207" t="str">
        <f>HYPERLINK("#QN19_e4!q19초YMDA1B13_T","문2-1-13_T")</f>
        <v>문2-1-13_T</v>
      </c>
    </row>
    <row r="182" spans="2:10" ht="18" customHeight="1">
      <c r="B182" s="96" t="s">
        <v>1172</v>
      </c>
      <c r="C182" s="96" t="s">
        <v>1173</v>
      </c>
      <c r="D182" s="96" t="s">
        <v>1174</v>
      </c>
      <c r="E182" s="96" t="s">
        <v>1177</v>
      </c>
      <c r="F182" s="90" t="s">
        <v>1318</v>
      </c>
      <c r="G182" s="97" t="s">
        <v>104</v>
      </c>
      <c r="H182" s="204" t="str">
        <f>HYPERLINK("#CB_e4!code초YMDA1C01","YMDA1C01")</f>
        <v>YMDA1C01</v>
      </c>
      <c r="I182" s="205" t="str">
        <f>HYPERLINK("#QN18_e4!q18초YMDA1C01","문2-2-1")</f>
        <v>문2-2-1</v>
      </c>
      <c r="J182" s="205" t="str">
        <f>HYPERLINK("#QN19_e4!q19초YMDA1C01","문2-2-1")</f>
        <v>문2-2-1</v>
      </c>
    </row>
    <row r="183" spans="2:10" ht="18" customHeight="1">
      <c r="B183" s="101" t="s">
        <v>1172</v>
      </c>
      <c r="C183" s="101" t="s">
        <v>1173</v>
      </c>
      <c r="D183" s="101" t="s">
        <v>1174</v>
      </c>
      <c r="E183" s="101" t="s">
        <v>1177</v>
      </c>
      <c r="F183" s="102" t="s">
        <v>1317</v>
      </c>
      <c r="G183" s="103" t="s">
        <v>109</v>
      </c>
      <c r="H183" s="208" t="str">
        <f>HYPERLINK("#CB_e4!code초YMDA1C02","YMDA1C02")</f>
        <v>YMDA1C02</v>
      </c>
      <c r="I183" s="209" t="str">
        <f>HYPERLINK("#QN18_e4!q18초YMDA1C02","문2-2-2")</f>
        <v>문2-2-2</v>
      </c>
      <c r="J183" s="209" t="str">
        <f>HYPERLINK("#QN19_e4!q19초YMDA1C02","문2-2-2")</f>
        <v>문2-2-2</v>
      </c>
    </row>
    <row r="184" spans="2:10" ht="18" customHeight="1">
      <c r="B184" s="101" t="s">
        <v>1172</v>
      </c>
      <c r="C184" s="101" t="s">
        <v>1173</v>
      </c>
      <c r="D184" s="101" t="s">
        <v>1174</v>
      </c>
      <c r="E184" s="101" t="s">
        <v>1177</v>
      </c>
      <c r="F184" s="102" t="s">
        <v>1317</v>
      </c>
      <c r="G184" s="103" t="s">
        <v>110</v>
      </c>
      <c r="H184" s="208" t="str">
        <f>HYPERLINK("#CB_e4!code초YMDA1C03","YMDA1C03")</f>
        <v>YMDA1C03</v>
      </c>
      <c r="I184" s="209" t="str">
        <f>HYPERLINK("#QN18_e4!q18초YMDA1C03","문2-2-3")</f>
        <v>문2-2-3</v>
      </c>
      <c r="J184" s="209" t="str">
        <f>HYPERLINK("#QN19_e4!q19초YMDA1C03","문2-2-3")</f>
        <v>문2-2-3</v>
      </c>
    </row>
    <row r="185" spans="2:10" ht="18" customHeight="1">
      <c r="B185" s="101" t="s">
        <v>1172</v>
      </c>
      <c r="C185" s="101" t="s">
        <v>1173</v>
      </c>
      <c r="D185" s="101" t="s">
        <v>1174</v>
      </c>
      <c r="E185" s="101" t="s">
        <v>1177</v>
      </c>
      <c r="F185" s="102" t="s">
        <v>1317</v>
      </c>
      <c r="G185" s="103" t="s">
        <v>111</v>
      </c>
      <c r="H185" s="208" t="str">
        <f>HYPERLINK("#CB_e4!code초YMDA1C04","YMDA1C04")</f>
        <v>YMDA1C04</v>
      </c>
      <c r="I185" s="209" t="str">
        <f>HYPERLINK("#QN18_e4!q18초YMDA1C04","문2-2-4")</f>
        <v>문2-2-4</v>
      </c>
      <c r="J185" s="209" t="str">
        <f>HYPERLINK("#QN19_e4!q19초YMDA1C04","문2-2-4")</f>
        <v>문2-2-4</v>
      </c>
    </row>
    <row r="186" spans="2:10" ht="18" customHeight="1">
      <c r="B186" s="101" t="s">
        <v>1172</v>
      </c>
      <c r="C186" s="101" t="s">
        <v>1173</v>
      </c>
      <c r="D186" s="101" t="s">
        <v>1174</v>
      </c>
      <c r="E186" s="101" t="s">
        <v>1177</v>
      </c>
      <c r="F186" s="102" t="s">
        <v>1317</v>
      </c>
      <c r="G186" s="103" t="s">
        <v>112</v>
      </c>
      <c r="H186" s="208" t="str">
        <f>HYPERLINK("#CB_e4!code초YMDA1C05","YMDA1C05")</f>
        <v>YMDA1C05</v>
      </c>
      <c r="I186" s="209" t="str">
        <f>HYPERLINK("#QN18_e4!q18초YMDA1C05","문2-2-5")</f>
        <v>문2-2-5</v>
      </c>
      <c r="J186" s="209" t="str">
        <f>HYPERLINK("#QN19_e4!q19초YMDA1C05","문2-2-5")</f>
        <v>문2-2-5</v>
      </c>
    </row>
    <row r="187" spans="2:10" ht="18" customHeight="1">
      <c r="B187" s="101" t="s">
        <v>1172</v>
      </c>
      <c r="C187" s="101" t="s">
        <v>1173</v>
      </c>
      <c r="D187" s="101" t="s">
        <v>1174</v>
      </c>
      <c r="E187" s="101" t="s">
        <v>1177</v>
      </c>
      <c r="F187" s="102" t="s">
        <v>1319</v>
      </c>
      <c r="G187" s="103" t="s">
        <v>113</v>
      </c>
      <c r="H187" s="208" t="str">
        <f>HYPERLINK("#CB_e4!code초YMDA1C06","YMDA1C06")</f>
        <v>YMDA1C06</v>
      </c>
      <c r="I187" s="209" t="str">
        <f>HYPERLINK("#QN18_e4!q18초YMDA1C06","문2-2-6")</f>
        <v>문2-2-6</v>
      </c>
      <c r="J187" s="209" t="str">
        <f>HYPERLINK("#QN19_e4!q19초YMDA1C06","문2-2-6")</f>
        <v>문2-2-6</v>
      </c>
    </row>
    <row r="188" spans="2:10" ht="18" customHeight="1">
      <c r="B188" s="101" t="s">
        <v>1172</v>
      </c>
      <c r="C188" s="101" t="s">
        <v>1173</v>
      </c>
      <c r="D188" s="101" t="s">
        <v>1174</v>
      </c>
      <c r="E188" s="101" t="s">
        <v>1177</v>
      </c>
      <c r="F188" s="102" t="s">
        <v>1319</v>
      </c>
      <c r="G188" s="103" t="s">
        <v>114</v>
      </c>
      <c r="H188" s="208" t="str">
        <f>HYPERLINK("#CB_e4!code초YMDA1C07","YMDA1C07")</f>
        <v>YMDA1C07</v>
      </c>
      <c r="I188" s="209" t="str">
        <f>HYPERLINK("#QN18_e4!q18초YMDA1C07","문2-2-7")</f>
        <v>문2-2-7</v>
      </c>
      <c r="J188" s="209" t="str">
        <f>HYPERLINK("#QN19_e4!q19초YMDA1C07","문2-2-7")</f>
        <v>문2-2-7</v>
      </c>
    </row>
    <row r="189" spans="2:10" ht="18" customHeight="1">
      <c r="B189" s="101" t="s">
        <v>1172</v>
      </c>
      <c r="C189" s="101" t="s">
        <v>1173</v>
      </c>
      <c r="D189" s="101" t="s">
        <v>1174</v>
      </c>
      <c r="E189" s="101" t="s">
        <v>1177</v>
      </c>
      <c r="F189" s="102" t="s">
        <v>1320</v>
      </c>
      <c r="G189" s="103" t="s">
        <v>115</v>
      </c>
      <c r="H189" s="208" t="str">
        <f>HYPERLINK("#CB_e4!code초YMDA1C08","YMDA1C08")</f>
        <v>YMDA1C08</v>
      </c>
      <c r="I189" s="209" t="str">
        <f>HYPERLINK("#QN18_e4!q18초YMDA1C08","문2-2-8")</f>
        <v>문2-2-8</v>
      </c>
      <c r="J189" s="209" t="str">
        <f>HYPERLINK("#QN19_e4!q19초YMDA1C08","문2-2-8")</f>
        <v>문2-2-8</v>
      </c>
    </row>
    <row r="190" spans="2:10" ht="18" customHeight="1">
      <c r="B190" s="101" t="s">
        <v>1172</v>
      </c>
      <c r="C190" s="101" t="s">
        <v>1173</v>
      </c>
      <c r="D190" s="101" t="s">
        <v>1174</v>
      </c>
      <c r="E190" s="101" t="s">
        <v>1177</v>
      </c>
      <c r="F190" s="102" t="s">
        <v>1320</v>
      </c>
      <c r="G190" s="103" t="s">
        <v>116</v>
      </c>
      <c r="H190" s="208" t="str">
        <f>HYPERLINK("#CB_e4!code초YMDA1C09","YMDA1C09")</f>
        <v>YMDA1C09</v>
      </c>
      <c r="I190" s="209" t="str">
        <f>HYPERLINK("#QN18_e4!q18초YMDA1C09","문2-2-9")</f>
        <v>문2-2-9</v>
      </c>
      <c r="J190" s="209" t="str">
        <f>HYPERLINK("#QN19_e4!q19초YMDA1C09","문2-2-9")</f>
        <v>문2-2-9</v>
      </c>
    </row>
    <row r="191" spans="2:10" ht="18" customHeight="1">
      <c r="B191" s="101" t="s">
        <v>1172</v>
      </c>
      <c r="C191" s="101" t="s">
        <v>1173</v>
      </c>
      <c r="D191" s="101" t="s">
        <v>1174</v>
      </c>
      <c r="E191" s="101" t="s">
        <v>1177</v>
      </c>
      <c r="F191" s="102" t="s">
        <v>1320</v>
      </c>
      <c r="G191" s="103" t="s">
        <v>117</v>
      </c>
      <c r="H191" s="208" t="str">
        <f>HYPERLINK("#CB_e4!code초YMDA1C10","YMDA1C10")</f>
        <v>YMDA1C10</v>
      </c>
      <c r="I191" s="209" t="str">
        <f>HYPERLINK("#QN18_e4!q18초YMDA1C10","문2-2-10")</f>
        <v>문2-2-10</v>
      </c>
      <c r="J191" s="209" t="str">
        <f>HYPERLINK("#QN19_e4!q19초YMDA1C10","문2-2-10")</f>
        <v>문2-2-10</v>
      </c>
    </row>
    <row r="192" spans="2:10" ht="18" customHeight="1">
      <c r="B192" s="101" t="s">
        <v>1172</v>
      </c>
      <c r="C192" s="101" t="s">
        <v>1173</v>
      </c>
      <c r="D192" s="101" t="s">
        <v>1174</v>
      </c>
      <c r="E192" s="101" t="s">
        <v>1177</v>
      </c>
      <c r="F192" s="102" t="s">
        <v>1320</v>
      </c>
      <c r="G192" s="103" t="s">
        <v>118</v>
      </c>
      <c r="H192" s="208" t="str">
        <f>HYPERLINK("#CB_e4!code초YMDA1C11","YMDA1C11")</f>
        <v>YMDA1C11</v>
      </c>
      <c r="I192" s="209" t="str">
        <f>HYPERLINK("#QN18_e4!q18초YMDA1C11","문2-2-11")</f>
        <v>문2-2-11</v>
      </c>
      <c r="J192" s="209" t="str">
        <f>HYPERLINK("#QN19_e4!q19초YMDA1C11","문2-2-11")</f>
        <v>문2-2-11</v>
      </c>
    </row>
    <row r="193" spans="2:10" ht="18" customHeight="1">
      <c r="B193" s="101" t="s">
        <v>1172</v>
      </c>
      <c r="C193" s="101" t="s">
        <v>1173</v>
      </c>
      <c r="D193" s="101" t="s">
        <v>1174</v>
      </c>
      <c r="E193" s="101" t="s">
        <v>1177</v>
      </c>
      <c r="F193" s="102" t="s">
        <v>1321</v>
      </c>
      <c r="G193" s="103" t="s">
        <v>119</v>
      </c>
      <c r="H193" s="208" t="str">
        <f>HYPERLINK("#CB_e4!code초YMDA1C12","YMDA1C12")</f>
        <v>YMDA1C12</v>
      </c>
      <c r="I193" s="209" t="str">
        <f>HYPERLINK("#QN18_e4!q18초YMDA1C12","문2-2-12")</f>
        <v>문2-2-12</v>
      </c>
      <c r="J193" s="209" t="str">
        <f>HYPERLINK("#QN19_e4!q19초YMDA1C12","문2-2-12")</f>
        <v>문2-2-12</v>
      </c>
    </row>
    <row r="194" spans="2:10" ht="18" customHeight="1">
      <c r="B194" s="101" t="s">
        <v>1172</v>
      </c>
      <c r="C194" s="101" t="s">
        <v>1173</v>
      </c>
      <c r="D194" s="101" t="s">
        <v>1174</v>
      </c>
      <c r="E194" s="101" t="s">
        <v>1177</v>
      </c>
      <c r="F194" s="102" t="s">
        <v>1321</v>
      </c>
      <c r="G194" s="103" t="s">
        <v>120</v>
      </c>
      <c r="H194" s="208" t="str">
        <f>HYPERLINK("#CB_e4!code초YMDA1C13","YMDA1C13")</f>
        <v>YMDA1C13</v>
      </c>
      <c r="I194" s="209" t="str">
        <f>HYPERLINK("#QN18_e4!q18초YMDA1C13","문2-2-13")</f>
        <v>문2-2-13</v>
      </c>
      <c r="J194" s="209" t="str">
        <f>HYPERLINK("#QN19_e4!q19초YMDA1C13","문2-2-13")</f>
        <v>문2-2-13</v>
      </c>
    </row>
    <row r="195" spans="2:10" ht="18" customHeight="1">
      <c r="B195" s="101" t="s">
        <v>1172</v>
      </c>
      <c r="C195" s="101" t="s">
        <v>1173</v>
      </c>
      <c r="D195" s="101" t="s">
        <v>1174</v>
      </c>
      <c r="E195" s="101" t="s">
        <v>1177</v>
      </c>
      <c r="F195" s="102" t="s">
        <v>1321</v>
      </c>
      <c r="G195" s="103" t="s">
        <v>121</v>
      </c>
      <c r="H195" s="208" t="str">
        <f>HYPERLINK("#CB_e4!code초YMDA1C14","YMDA1C14")</f>
        <v>YMDA1C14</v>
      </c>
      <c r="I195" s="209" t="str">
        <f>HYPERLINK("#QN18_e4!q18초YMDA1C14","문2-2-14")</f>
        <v>문2-2-14</v>
      </c>
      <c r="J195" s="209" t="str">
        <f>HYPERLINK("#QN19_e4!q19초YMDA1C14","문2-2-14")</f>
        <v>문2-2-14</v>
      </c>
    </row>
    <row r="196" spans="2:10" ht="18" customHeight="1">
      <c r="B196" s="99" t="s">
        <v>1172</v>
      </c>
      <c r="C196" s="99" t="s">
        <v>1173</v>
      </c>
      <c r="D196" s="99" t="s">
        <v>1174</v>
      </c>
      <c r="E196" s="99" t="s">
        <v>1177</v>
      </c>
      <c r="F196" s="104" t="s">
        <v>1321</v>
      </c>
      <c r="G196" s="105" t="s">
        <v>122</v>
      </c>
      <c r="H196" s="206" t="str">
        <f>HYPERLINK("#CB_e4!code초YMDA1C15","YMDA1C15")</f>
        <v>YMDA1C15</v>
      </c>
      <c r="I196" s="207" t="str">
        <f>HYPERLINK("#QN18_e4!q18초YMDA1C15","문2-2-15")</f>
        <v>문2-2-15</v>
      </c>
      <c r="J196" s="207" t="str">
        <f>HYPERLINK("#QN19_e4!q19초YMDA1C15","문2-2-15")</f>
        <v>문2-2-15</v>
      </c>
    </row>
    <row r="197" spans="2:10" ht="18" customHeight="1">
      <c r="B197" s="106" t="s">
        <v>1172</v>
      </c>
      <c r="C197" s="106" t="s">
        <v>1186</v>
      </c>
      <c r="D197" s="106" t="s">
        <v>1187</v>
      </c>
      <c r="E197" s="106" t="s">
        <v>1188</v>
      </c>
      <c r="F197" s="106" t="s">
        <v>1302</v>
      </c>
      <c r="G197" s="107" t="s">
        <v>1292</v>
      </c>
      <c r="H197" s="202" t="str">
        <f>HYPERLINK("#CB_e4!code초YEDU1A00","YEDU1A00")</f>
        <v>YEDU1A00</v>
      </c>
      <c r="I197" s="203" t="str">
        <f>HYPERLINK("#QN18_e4!q18초YEDU1A00","문5")</f>
        <v>문5</v>
      </c>
      <c r="J197" s="203" t="str">
        <f>HYPERLINK("#QN19_e4!q19초YEDU1A00","문5")</f>
        <v>문5</v>
      </c>
    </row>
    <row r="198" spans="2:10" ht="18" customHeight="1">
      <c r="B198" s="96" t="s">
        <v>1172</v>
      </c>
      <c r="C198" s="96" t="s">
        <v>1186</v>
      </c>
      <c r="D198" s="96" t="s">
        <v>1189</v>
      </c>
      <c r="E198" s="96" t="s">
        <v>1190</v>
      </c>
      <c r="F198" s="90" t="s">
        <v>1322</v>
      </c>
      <c r="G198" s="97" t="s">
        <v>276</v>
      </c>
      <c r="H198" s="204" t="str">
        <f>HYPERLINK("#CB_e4!code초YEDU2A01","YEDU2A01")</f>
        <v>YEDU2A01</v>
      </c>
      <c r="I198" s="205" t="str">
        <f>HYPERLINK("#QN18_e4!q18초YEDU2A01","문16-1")</f>
        <v>문16-1</v>
      </c>
      <c r="J198" s="205" t="str">
        <f>HYPERLINK("#QN19_e4!q19초YEDU2A01","문17-1")</f>
        <v>문17-1</v>
      </c>
    </row>
    <row r="199" spans="2:10" ht="18" customHeight="1">
      <c r="B199" s="101" t="s">
        <v>1172</v>
      </c>
      <c r="C199" s="101" t="s">
        <v>1186</v>
      </c>
      <c r="D199" s="101" t="s">
        <v>1189</v>
      </c>
      <c r="E199" s="101" t="s">
        <v>1190</v>
      </c>
      <c r="F199" s="92" t="s">
        <v>1322</v>
      </c>
      <c r="G199" s="91" t="s">
        <v>277</v>
      </c>
      <c r="H199" s="208" t="str">
        <f>HYPERLINK("#CB_e4!code초YEDU2A02","YEDU2A02")</f>
        <v>YEDU2A02</v>
      </c>
      <c r="I199" s="209" t="str">
        <f>HYPERLINK("#QN18_e4!q18초YEDU2A02","문16-2")</f>
        <v>문16-2</v>
      </c>
      <c r="J199" s="209" t="str">
        <f>HYPERLINK("#QN19_e4!q19초YEDU2A02","문17-2")</f>
        <v>문17-2</v>
      </c>
    </row>
    <row r="200" spans="2:10" ht="18" customHeight="1">
      <c r="B200" s="101" t="s">
        <v>1172</v>
      </c>
      <c r="C200" s="101" t="s">
        <v>1186</v>
      </c>
      <c r="D200" s="101" t="s">
        <v>1189</v>
      </c>
      <c r="E200" s="101" t="s">
        <v>1190</v>
      </c>
      <c r="F200" s="92" t="s">
        <v>1322</v>
      </c>
      <c r="G200" s="91" t="s">
        <v>278</v>
      </c>
      <c r="H200" s="208" t="str">
        <f>HYPERLINK("#CB_e4!code초YEDU2A03","YEDU2A03")</f>
        <v>YEDU2A03</v>
      </c>
      <c r="I200" s="209" t="str">
        <f>HYPERLINK("#QN18_e4!q18초YEDU2A03","문16-3")</f>
        <v>문16-3</v>
      </c>
      <c r="J200" s="209" t="str">
        <f>HYPERLINK("#QN19_e4!q19초YEDU2A03","문17-3")</f>
        <v>문17-3</v>
      </c>
    </row>
    <row r="201" spans="2:10" ht="18" customHeight="1">
      <c r="B201" s="101" t="s">
        <v>1172</v>
      </c>
      <c r="C201" s="101" t="s">
        <v>1186</v>
      </c>
      <c r="D201" s="101" t="s">
        <v>1189</v>
      </c>
      <c r="E201" s="101" t="s">
        <v>1190</v>
      </c>
      <c r="F201" s="92" t="s">
        <v>1322</v>
      </c>
      <c r="G201" s="91" t="s">
        <v>279</v>
      </c>
      <c r="H201" s="208" t="str">
        <f>HYPERLINK("#CB_e4!code초YEDU2A04","YEDU2A04")</f>
        <v>YEDU2A04</v>
      </c>
      <c r="I201" s="209" t="str">
        <f>HYPERLINK("#QN18_e4!q18초YEDU2A04","문16-4")</f>
        <v>문16-4</v>
      </c>
      <c r="J201" s="209" t="str">
        <f>HYPERLINK("#QN19_e4!q19초YEDU2A04","문17-4")</f>
        <v>문17-4</v>
      </c>
    </row>
    <row r="202" spans="2:10" ht="18" customHeight="1">
      <c r="B202" s="101" t="s">
        <v>1172</v>
      </c>
      <c r="C202" s="101" t="s">
        <v>1186</v>
      </c>
      <c r="D202" s="101" t="s">
        <v>1189</v>
      </c>
      <c r="E202" s="101" t="s">
        <v>1190</v>
      </c>
      <c r="F202" s="92" t="s">
        <v>1322</v>
      </c>
      <c r="G202" s="91" t="s">
        <v>280</v>
      </c>
      <c r="H202" s="208" t="str">
        <f>HYPERLINK("#CB_e4!code초YEDU2A05","YEDU2A05")</f>
        <v>YEDU2A05</v>
      </c>
      <c r="I202" s="209" t="str">
        <f>HYPERLINK("#QN18_e4!q18초YEDU2A05","문16-5")</f>
        <v>문16-5</v>
      </c>
      <c r="J202" s="209" t="str">
        <f>HYPERLINK("#QN19_e4!q19초YEDU2A05","문17-5")</f>
        <v>문17-5</v>
      </c>
    </row>
    <row r="203" spans="2:10" ht="18" customHeight="1">
      <c r="B203" s="101" t="s">
        <v>1172</v>
      </c>
      <c r="C203" s="101" t="s">
        <v>1186</v>
      </c>
      <c r="D203" s="101" t="s">
        <v>1189</v>
      </c>
      <c r="E203" s="101" t="s">
        <v>1190</v>
      </c>
      <c r="F203" s="92" t="s">
        <v>1322</v>
      </c>
      <c r="G203" s="91" t="s">
        <v>281</v>
      </c>
      <c r="H203" s="208" t="str">
        <f>HYPERLINK("#CB_e4!code초YEDU2A06","YEDU2A06")</f>
        <v>YEDU2A06</v>
      </c>
      <c r="I203" s="209" t="str">
        <f>HYPERLINK("#QN18_e4!q18초YEDU2A06","문16-6")</f>
        <v>문16-6</v>
      </c>
      <c r="J203" s="209" t="str">
        <f>HYPERLINK("#QN19_e4!q19초YEDU2A06","문17-6")</f>
        <v>문17-6</v>
      </c>
    </row>
    <row r="204" spans="2:10" ht="18" customHeight="1">
      <c r="B204" s="101" t="s">
        <v>1172</v>
      </c>
      <c r="C204" s="101" t="s">
        <v>1186</v>
      </c>
      <c r="D204" s="101" t="s">
        <v>1189</v>
      </c>
      <c r="E204" s="101" t="s">
        <v>1190</v>
      </c>
      <c r="F204" s="92" t="s">
        <v>1322</v>
      </c>
      <c r="G204" s="91" t="s">
        <v>282</v>
      </c>
      <c r="H204" s="208" t="str">
        <f>HYPERLINK("#CB_e4!code초YEDU2A07","YEDU2A07")</f>
        <v>YEDU2A07</v>
      </c>
      <c r="I204" s="209" t="str">
        <f>HYPERLINK("#QN18_e4!q18초YEDU2A07","문16-7")</f>
        <v>문16-7</v>
      </c>
      <c r="J204" s="209" t="str">
        <f>HYPERLINK("#QN19_e4!q19초YEDU2A07","문17-7")</f>
        <v>문17-7</v>
      </c>
    </row>
    <row r="205" spans="2:10" ht="18" customHeight="1">
      <c r="B205" s="101" t="s">
        <v>1172</v>
      </c>
      <c r="C205" s="101" t="s">
        <v>1186</v>
      </c>
      <c r="D205" s="101" t="s">
        <v>1189</v>
      </c>
      <c r="E205" s="101" t="s">
        <v>1190</v>
      </c>
      <c r="F205" s="92" t="s">
        <v>1322</v>
      </c>
      <c r="G205" s="91" t="s">
        <v>283</v>
      </c>
      <c r="H205" s="208" t="str">
        <f>HYPERLINK("#CB_e4!code초YEDU2A08","YEDU2A08")</f>
        <v>YEDU2A08</v>
      </c>
      <c r="I205" s="209" t="str">
        <f>HYPERLINK("#QN18_e4!q18초YEDU2A08","문16-8")</f>
        <v>문16-8</v>
      </c>
      <c r="J205" s="209" t="str">
        <f>HYPERLINK("#QN19_e4!q19초YEDU2A08","문17-8")</f>
        <v>문17-8</v>
      </c>
    </row>
    <row r="206" spans="2:10" ht="18" customHeight="1">
      <c r="B206" s="101" t="s">
        <v>1172</v>
      </c>
      <c r="C206" s="101" t="s">
        <v>1186</v>
      </c>
      <c r="D206" s="101" t="s">
        <v>1189</v>
      </c>
      <c r="E206" s="101" t="s">
        <v>1190</v>
      </c>
      <c r="F206" s="92" t="s">
        <v>1323</v>
      </c>
      <c r="G206" s="91" t="s">
        <v>284</v>
      </c>
      <c r="H206" s="208" t="str">
        <f>HYPERLINK("#CB_e4!code초YEDU2A09","YEDU2A09")</f>
        <v>YEDU2A09</v>
      </c>
      <c r="I206" s="209" t="str">
        <f>HYPERLINK("#QN18_e4!q18초YEDU2A09","문16-9")</f>
        <v>문16-9</v>
      </c>
      <c r="J206" s="209" t="str">
        <f>HYPERLINK("#QN19_e4!q19초YEDU2A09","문17-9")</f>
        <v>문17-9</v>
      </c>
    </row>
    <row r="207" spans="2:10" ht="18" customHeight="1">
      <c r="B207" s="101" t="s">
        <v>1172</v>
      </c>
      <c r="C207" s="101" t="s">
        <v>1186</v>
      </c>
      <c r="D207" s="101" t="s">
        <v>1189</v>
      </c>
      <c r="E207" s="101" t="s">
        <v>1190</v>
      </c>
      <c r="F207" s="92" t="s">
        <v>1323</v>
      </c>
      <c r="G207" s="91" t="s">
        <v>1293</v>
      </c>
      <c r="H207" s="208" t="str">
        <f>HYPERLINK("#CB_e4!code초YEDU2A10","YEDU2A10")</f>
        <v>YEDU2A10</v>
      </c>
      <c r="I207" s="209" t="str">
        <f>HYPERLINK("#QN18_e4!q18초YEDU2A10","문16-10")</f>
        <v>문16-10</v>
      </c>
      <c r="J207" s="209" t="str">
        <f>HYPERLINK("#QN19_e4!q19초YEDU2A10","문17-10")</f>
        <v>문17-10</v>
      </c>
    </row>
    <row r="208" spans="2:10" ht="18" customHeight="1">
      <c r="B208" s="101" t="s">
        <v>1172</v>
      </c>
      <c r="C208" s="101" t="s">
        <v>1186</v>
      </c>
      <c r="D208" s="101" t="s">
        <v>1189</v>
      </c>
      <c r="E208" s="101" t="s">
        <v>1190</v>
      </c>
      <c r="F208" s="92" t="s">
        <v>1323</v>
      </c>
      <c r="G208" s="91" t="s">
        <v>286</v>
      </c>
      <c r="H208" s="208" t="str">
        <f>HYPERLINK("#CB_e4!code초YEDU2A11","YEDU2A11")</f>
        <v>YEDU2A11</v>
      </c>
      <c r="I208" s="209" t="str">
        <f>HYPERLINK("#QN18_e4!q18초YEDU2A11","문16-11")</f>
        <v>문16-11</v>
      </c>
      <c r="J208" s="209" t="str">
        <f>HYPERLINK("#QN19_e4!q19초YEDU2A11","문17-11")</f>
        <v>문17-11</v>
      </c>
    </row>
    <row r="209" spans="2:10" ht="18" customHeight="1">
      <c r="B209" s="101" t="s">
        <v>1172</v>
      </c>
      <c r="C209" s="101" t="s">
        <v>1186</v>
      </c>
      <c r="D209" s="101" t="s">
        <v>1189</v>
      </c>
      <c r="E209" s="101" t="s">
        <v>1190</v>
      </c>
      <c r="F209" s="92" t="s">
        <v>1323</v>
      </c>
      <c r="G209" s="91" t="s">
        <v>287</v>
      </c>
      <c r="H209" s="208" t="str">
        <f>HYPERLINK("#CB_e4!code초YEDU2A12","YEDU2A12")</f>
        <v>YEDU2A12</v>
      </c>
      <c r="I209" s="209" t="str">
        <f>HYPERLINK("#QN18_e4!q18초YEDU2A12","문16-12")</f>
        <v>문16-12</v>
      </c>
      <c r="J209" s="209" t="str">
        <f>HYPERLINK("#QN19_e4!q19초YEDU2A12","문17-12")</f>
        <v>문17-12</v>
      </c>
    </row>
    <row r="210" spans="2:10" ht="18" customHeight="1">
      <c r="B210" s="99" t="s">
        <v>1172</v>
      </c>
      <c r="C210" s="99" t="s">
        <v>1186</v>
      </c>
      <c r="D210" s="99" t="s">
        <v>1189</v>
      </c>
      <c r="E210" s="99" t="s">
        <v>1190</v>
      </c>
      <c r="F210" s="100" t="s">
        <v>1324</v>
      </c>
      <c r="G210" s="94" t="s">
        <v>288</v>
      </c>
      <c r="H210" s="206" t="str">
        <f>HYPERLINK("#CB_e4!code초YEDU2A13","YEDU2A13")</f>
        <v>YEDU2A13</v>
      </c>
      <c r="I210" s="207" t="str">
        <f>HYPERLINK("#QN18_e4!q18초YEDU2A13","문16-13")</f>
        <v>문16-13</v>
      </c>
      <c r="J210" s="207" t="str">
        <f>HYPERLINK("#QN19_e4!q19초YEDU2A13","문17-13")</f>
        <v>문17-13</v>
      </c>
    </row>
    <row r="211" spans="2:10" ht="18" customHeight="1">
      <c r="B211" s="96" t="s">
        <v>1172</v>
      </c>
      <c r="C211" s="96" t="s">
        <v>1186</v>
      </c>
      <c r="D211" s="96" t="s">
        <v>1191</v>
      </c>
      <c r="E211" s="96" t="s">
        <v>1192</v>
      </c>
      <c r="F211" s="90" t="s">
        <v>1328</v>
      </c>
      <c r="G211" s="97" t="s">
        <v>289</v>
      </c>
      <c r="H211" s="204" t="str">
        <f>HYPERLINK("#CB_e4!code초YEDU3A01","YEDU3A01")</f>
        <v>YEDU3A01</v>
      </c>
      <c r="I211" s="205" t="str">
        <f>HYPERLINK("#QN18_e4!q18초YEDU3A01","문17-1")</f>
        <v>문17-1</v>
      </c>
      <c r="J211" s="205" t="str">
        <f>HYPERLINK("#QN19_e4!q19초YEDU3A01","문18-1")</f>
        <v>문18-1</v>
      </c>
    </row>
    <row r="212" spans="2:10" ht="18" customHeight="1">
      <c r="B212" s="101" t="s">
        <v>1172</v>
      </c>
      <c r="C212" s="101" t="s">
        <v>1186</v>
      </c>
      <c r="D212" s="101" t="s">
        <v>1191</v>
      </c>
      <c r="E212" s="101" t="s">
        <v>1192</v>
      </c>
      <c r="F212" s="92" t="s">
        <v>1326</v>
      </c>
      <c r="G212" s="91" t="s">
        <v>290</v>
      </c>
      <c r="H212" s="208" t="str">
        <f>HYPERLINK("#CB_e4!code초YEDU3A02","YEDU3A02")</f>
        <v>YEDU3A02</v>
      </c>
      <c r="I212" s="209" t="str">
        <f>HYPERLINK("#QN18_e4!q18초YEDU3A02","문17-2")</f>
        <v>문17-2</v>
      </c>
      <c r="J212" s="209" t="str">
        <f>HYPERLINK("#QN19_e4!q19초YEDU3A02","문18-2")</f>
        <v>문18-2</v>
      </c>
    </row>
    <row r="213" spans="2:10" ht="18" customHeight="1">
      <c r="B213" s="101" t="s">
        <v>1172</v>
      </c>
      <c r="C213" s="101" t="s">
        <v>1186</v>
      </c>
      <c r="D213" s="101" t="s">
        <v>1191</v>
      </c>
      <c r="E213" s="101" t="s">
        <v>1192</v>
      </c>
      <c r="F213" s="92" t="s">
        <v>1326</v>
      </c>
      <c r="G213" s="91" t="s">
        <v>291</v>
      </c>
      <c r="H213" s="208" t="str">
        <f>HYPERLINK("#CB_e4!code초YEDU3A03","YEDU3A03")</f>
        <v>YEDU3A03</v>
      </c>
      <c r="I213" s="209" t="str">
        <f>HYPERLINK("#QN18_e4!q18초YEDU3A03","문17-3")</f>
        <v>문17-3</v>
      </c>
      <c r="J213" s="209" t="str">
        <f>HYPERLINK("#QN19_e4!q19초YEDU3A03","문18-3")</f>
        <v>문18-3</v>
      </c>
    </row>
    <row r="214" spans="2:10" ht="18" customHeight="1">
      <c r="B214" s="101" t="s">
        <v>1172</v>
      </c>
      <c r="C214" s="101" t="s">
        <v>1186</v>
      </c>
      <c r="D214" s="101" t="s">
        <v>1191</v>
      </c>
      <c r="E214" s="101" t="s">
        <v>1192</v>
      </c>
      <c r="F214" s="92" t="s">
        <v>1325</v>
      </c>
      <c r="G214" s="91" t="s">
        <v>292</v>
      </c>
      <c r="H214" s="208" t="str">
        <f>HYPERLINK("#CB_e4!code초YEDU3A04","YEDU3A04")</f>
        <v>YEDU3A04</v>
      </c>
      <c r="I214" s="209" t="str">
        <f>HYPERLINK("#QN18_e4!q18초YEDU3A04","문17-4")</f>
        <v>문17-4</v>
      </c>
      <c r="J214" s="209" t="str">
        <f>HYPERLINK("#QN19_e4!q19초YEDU3A04","문18-4")</f>
        <v>문18-4</v>
      </c>
    </row>
    <row r="215" spans="2:10" ht="18" customHeight="1">
      <c r="B215" s="101" t="s">
        <v>1172</v>
      </c>
      <c r="C215" s="101" t="s">
        <v>1186</v>
      </c>
      <c r="D215" s="101" t="s">
        <v>1191</v>
      </c>
      <c r="E215" s="101" t="s">
        <v>1192</v>
      </c>
      <c r="F215" s="92" t="s">
        <v>1326</v>
      </c>
      <c r="G215" s="91" t="s">
        <v>293</v>
      </c>
      <c r="H215" s="208" t="str">
        <f>HYPERLINK("#CB_e4!code초YEDU3A05","YEDU3A05")</f>
        <v>YEDU3A05</v>
      </c>
      <c r="I215" s="209" t="str">
        <f>HYPERLINK("#QN18_e4!q18초YEDU3A05","문17-5")</f>
        <v>문17-5</v>
      </c>
      <c r="J215" s="209" t="str">
        <f>HYPERLINK("#QN19_e4!q19초YEDU3A05","문18-5")</f>
        <v>문18-5</v>
      </c>
    </row>
    <row r="216" spans="2:10" ht="18" customHeight="1">
      <c r="B216" s="101" t="s">
        <v>1172</v>
      </c>
      <c r="C216" s="101" t="s">
        <v>1186</v>
      </c>
      <c r="D216" s="101" t="s">
        <v>1191</v>
      </c>
      <c r="E216" s="101" t="s">
        <v>1192</v>
      </c>
      <c r="F216" s="92" t="s">
        <v>1327</v>
      </c>
      <c r="G216" s="91" t="s">
        <v>294</v>
      </c>
      <c r="H216" s="208" t="str">
        <f>HYPERLINK("#CB_e4!code초YEDU3A06","YEDU3A06")</f>
        <v>YEDU3A06</v>
      </c>
      <c r="I216" s="209" t="str">
        <f>HYPERLINK("#QN18_e4!q18초YEDU3A06","문17-6")</f>
        <v>문17-6</v>
      </c>
      <c r="J216" s="209" t="str">
        <f>HYPERLINK("#QN19_e4!q19초YEDU3A06","문18-6")</f>
        <v>문18-6</v>
      </c>
    </row>
    <row r="217" spans="2:10" ht="18" customHeight="1">
      <c r="B217" s="101" t="s">
        <v>1172</v>
      </c>
      <c r="C217" s="101" t="s">
        <v>1186</v>
      </c>
      <c r="D217" s="101" t="s">
        <v>1191</v>
      </c>
      <c r="E217" s="101" t="s">
        <v>1192</v>
      </c>
      <c r="F217" s="92" t="s">
        <v>1325</v>
      </c>
      <c r="G217" s="91" t="s">
        <v>295</v>
      </c>
      <c r="H217" s="208" t="str">
        <f>HYPERLINK("#CB_e4!code초YEDU3A07","YEDU3A07")</f>
        <v>YEDU3A07</v>
      </c>
      <c r="I217" s="209" t="str">
        <f>HYPERLINK("#QN18_e4!q18초YEDU3A07","문17-7")</f>
        <v>문17-7</v>
      </c>
      <c r="J217" s="209" t="str">
        <f>HYPERLINK("#QN19_e4!q19초YEDU3A07","문18-7")</f>
        <v>문18-7</v>
      </c>
    </row>
    <row r="218" spans="2:10" ht="18" customHeight="1">
      <c r="B218" s="101" t="s">
        <v>1172</v>
      </c>
      <c r="C218" s="101" t="s">
        <v>1186</v>
      </c>
      <c r="D218" s="101" t="s">
        <v>1191</v>
      </c>
      <c r="E218" s="101" t="s">
        <v>1192</v>
      </c>
      <c r="F218" s="92" t="s">
        <v>1327</v>
      </c>
      <c r="G218" s="91" t="s">
        <v>296</v>
      </c>
      <c r="H218" s="208" t="str">
        <f>HYPERLINK("#CB_e4!code초YEDU3A08","YEDU3A08")</f>
        <v>YEDU3A08</v>
      </c>
      <c r="I218" s="209" t="str">
        <f>HYPERLINK("#QN18_e4!q18초YEDU3A08","문17-8")</f>
        <v>문17-8</v>
      </c>
      <c r="J218" s="209" t="str">
        <f>HYPERLINK("#QN19_e4!q19초YEDU3A08","문18-8")</f>
        <v>문18-8</v>
      </c>
    </row>
    <row r="219" spans="2:10" ht="18" customHeight="1">
      <c r="B219" s="101" t="s">
        <v>1172</v>
      </c>
      <c r="C219" s="101" t="s">
        <v>1186</v>
      </c>
      <c r="D219" s="101" t="s">
        <v>1191</v>
      </c>
      <c r="E219" s="101" t="s">
        <v>1192</v>
      </c>
      <c r="F219" s="92" t="s">
        <v>1327</v>
      </c>
      <c r="G219" s="91" t="s">
        <v>297</v>
      </c>
      <c r="H219" s="208" t="str">
        <f>HYPERLINK("#CB_e4!code초YEDU3A09","YEDU3A09")</f>
        <v>YEDU3A09</v>
      </c>
      <c r="I219" s="209" t="str">
        <f>HYPERLINK("#QN18_e4!q18초YEDU3A09","문17-9")</f>
        <v>문17-9</v>
      </c>
      <c r="J219" s="209" t="str">
        <f>HYPERLINK("#QN19_e4!q19초YEDU3A09","문18-9")</f>
        <v>문18-9</v>
      </c>
    </row>
    <row r="220" spans="2:10" ht="18" customHeight="1">
      <c r="B220" s="101" t="s">
        <v>1172</v>
      </c>
      <c r="C220" s="101" t="s">
        <v>1186</v>
      </c>
      <c r="D220" s="101" t="s">
        <v>1191</v>
      </c>
      <c r="E220" s="101" t="s">
        <v>1192</v>
      </c>
      <c r="F220" s="92" t="s">
        <v>1325</v>
      </c>
      <c r="G220" s="91" t="s">
        <v>298</v>
      </c>
      <c r="H220" s="208" t="str">
        <f>HYPERLINK("#CB_e4!code초YEDU3A10","YEDU3A10")</f>
        <v>YEDU3A10</v>
      </c>
      <c r="I220" s="209" t="str">
        <f>HYPERLINK("#QN18_e4!q18초YEDU3A10","문17-10")</f>
        <v>문17-10</v>
      </c>
      <c r="J220" s="209" t="str">
        <f>HYPERLINK("#QN19_e4!q19초YEDU3A10","문18-10")</f>
        <v>문18-10</v>
      </c>
    </row>
    <row r="221" spans="2:10" ht="18" customHeight="1">
      <c r="B221" s="101" t="s">
        <v>1172</v>
      </c>
      <c r="C221" s="101" t="s">
        <v>1186</v>
      </c>
      <c r="D221" s="101" t="s">
        <v>1191</v>
      </c>
      <c r="E221" s="101" t="s">
        <v>1192</v>
      </c>
      <c r="F221" s="92" t="s">
        <v>1328</v>
      </c>
      <c r="G221" s="91" t="s">
        <v>299</v>
      </c>
      <c r="H221" s="208" t="str">
        <f>HYPERLINK("#CB_e4!code초YEDU3A11","YEDU3A11")</f>
        <v>YEDU3A11</v>
      </c>
      <c r="I221" s="209" t="str">
        <f>HYPERLINK("#QN18_e4!q18초YEDU3A11","문17-11")</f>
        <v>문17-11</v>
      </c>
      <c r="J221" s="209" t="str">
        <f>HYPERLINK("#QN19_e4!q19초YEDU3A11","문18-11")</f>
        <v>문18-11</v>
      </c>
    </row>
    <row r="222" spans="2:10" ht="18" customHeight="1">
      <c r="B222" s="101" t="s">
        <v>1172</v>
      </c>
      <c r="C222" s="101" t="s">
        <v>1186</v>
      </c>
      <c r="D222" s="101" t="s">
        <v>1191</v>
      </c>
      <c r="E222" s="101" t="s">
        <v>1192</v>
      </c>
      <c r="F222" s="92" t="s">
        <v>1328</v>
      </c>
      <c r="G222" s="91" t="s">
        <v>300</v>
      </c>
      <c r="H222" s="208" t="str">
        <f>HYPERLINK("#CB_e4!code초YEDU3A12","YEDU3A12")</f>
        <v>YEDU3A12</v>
      </c>
      <c r="I222" s="209" t="str">
        <f>HYPERLINK("#QN18_e4!q18초YEDU3A12","문17-12")</f>
        <v>문17-12</v>
      </c>
      <c r="J222" s="209" t="str">
        <f>HYPERLINK("#QN19_e4!q19초YEDU3A12","문18-12")</f>
        <v>문18-12</v>
      </c>
    </row>
    <row r="223" spans="2:10" ht="18" customHeight="1">
      <c r="B223" s="101" t="s">
        <v>1172</v>
      </c>
      <c r="C223" s="101" t="s">
        <v>1186</v>
      </c>
      <c r="D223" s="101" t="s">
        <v>1191</v>
      </c>
      <c r="E223" s="101" t="s">
        <v>1192</v>
      </c>
      <c r="F223" s="92" t="s">
        <v>1326</v>
      </c>
      <c r="G223" s="91" t="s">
        <v>301</v>
      </c>
      <c r="H223" s="208" t="str">
        <f>HYPERLINK("#CB_e4!code초YEDU3A13","YEDU3A13")</f>
        <v>YEDU3A13</v>
      </c>
      <c r="I223" s="209" t="str">
        <f>HYPERLINK("#QN18_e4!q18초YEDU3A13","문17-13")</f>
        <v>문17-13</v>
      </c>
      <c r="J223" s="209" t="str">
        <f>HYPERLINK("#QN19_e4!q19초YEDU3A13","문18-13")</f>
        <v>문18-13</v>
      </c>
    </row>
    <row r="224" spans="2:10" ht="18" customHeight="1">
      <c r="B224" s="99" t="s">
        <v>1172</v>
      </c>
      <c r="C224" s="99" t="s">
        <v>1186</v>
      </c>
      <c r="D224" s="99" t="s">
        <v>1191</v>
      </c>
      <c r="E224" s="99" t="s">
        <v>1192</v>
      </c>
      <c r="F224" s="100" t="s">
        <v>1325</v>
      </c>
      <c r="G224" s="94" t="s">
        <v>302</v>
      </c>
      <c r="H224" s="206" t="str">
        <f>HYPERLINK("#CB_e4!code초YEDU3A14","YEDU3A14")</f>
        <v>YEDU3A14</v>
      </c>
      <c r="I224" s="207" t="str">
        <f>HYPERLINK("#QN18_e4!q18초YEDU3A14","문17-14")</f>
        <v>문17-14</v>
      </c>
      <c r="J224" s="207" t="str">
        <f>HYPERLINK("#QN19_e4!q19초YEDU3A14","문18-14")</f>
        <v>문18-14</v>
      </c>
    </row>
    <row r="225" spans="2:10" ht="18" customHeight="1">
      <c r="B225" s="96" t="s">
        <v>1172</v>
      </c>
      <c r="C225" s="96" t="s">
        <v>1193</v>
      </c>
      <c r="D225" s="96" t="s">
        <v>1194</v>
      </c>
      <c r="E225" s="96" t="s">
        <v>1195</v>
      </c>
      <c r="F225" s="96" t="s">
        <v>1302</v>
      </c>
      <c r="G225" s="97" t="s">
        <v>1294</v>
      </c>
      <c r="H225" s="204" t="str">
        <f>HYPERLINK("#CB_e4!code초YFAM1A01","YFAM1A01")</f>
        <v>YFAM1A01</v>
      </c>
      <c r="I225" s="205" t="str">
        <f>HYPERLINK("#QN18_e4!q18초YFAM1A01","문14a")</f>
        <v>문14a</v>
      </c>
      <c r="J225" s="205" t="str">
        <f>HYPERLINK("#QN19_e4!q19초YFAM1A01","문14a")</f>
        <v>문14a</v>
      </c>
    </row>
    <row r="226" spans="2:10" ht="18" customHeight="1">
      <c r="B226" s="101" t="s">
        <v>1172</v>
      </c>
      <c r="C226" s="101" t="s">
        <v>1193</v>
      </c>
      <c r="D226" s="101" t="s">
        <v>1194</v>
      </c>
      <c r="E226" s="101" t="s">
        <v>1195</v>
      </c>
      <c r="F226" s="101" t="s">
        <v>1301</v>
      </c>
      <c r="G226" s="91" t="s">
        <v>1295</v>
      </c>
      <c r="H226" s="208" t="str">
        <f>HYPERLINK("#CB_e4!code초YFAM1A02","YFAM1A02")</f>
        <v>YFAM1A02</v>
      </c>
      <c r="I226" s="209" t="str">
        <f>HYPERLINK("#QN18_e4!q18초YFAM1A02","문14a")</f>
        <v>문14a</v>
      </c>
      <c r="J226" s="209" t="str">
        <f>HYPERLINK("#QN19_e4!q19초YFAM1A02","문14a")</f>
        <v>문14a</v>
      </c>
    </row>
    <row r="227" spans="2:10" ht="18" customHeight="1">
      <c r="B227" s="101" t="s">
        <v>1172</v>
      </c>
      <c r="C227" s="101" t="s">
        <v>1193</v>
      </c>
      <c r="D227" s="101" t="s">
        <v>1194</v>
      </c>
      <c r="E227" s="101" t="s">
        <v>1195</v>
      </c>
      <c r="F227" s="101" t="s">
        <v>1302</v>
      </c>
      <c r="G227" s="91" t="s">
        <v>1296</v>
      </c>
      <c r="H227" s="208" t="str">
        <f>HYPERLINK("#CB_e4!code초YFAM1A03","YFAM1A03")</f>
        <v>YFAM1A03</v>
      </c>
      <c r="I227" s="209" t="str">
        <f>HYPERLINK("#QN18_e4!q18초YFAM1A03","문14b")</f>
        <v>문14b</v>
      </c>
      <c r="J227" s="209" t="str">
        <f>HYPERLINK("#QN19_e4!q19초YFAM1A03","문14b")</f>
        <v>문14b</v>
      </c>
    </row>
    <row r="228" spans="2:10" ht="18" customHeight="1">
      <c r="B228" s="99" t="s">
        <v>1172</v>
      </c>
      <c r="C228" s="99" t="s">
        <v>1193</v>
      </c>
      <c r="D228" s="99" t="s">
        <v>1194</v>
      </c>
      <c r="E228" s="99" t="s">
        <v>1195</v>
      </c>
      <c r="F228" s="99" t="s">
        <v>1302</v>
      </c>
      <c r="G228" s="94" t="s">
        <v>1297</v>
      </c>
      <c r="H228" s="206" t="str">
        <f>HYPERLINK("#CB_e4!code초YFAM1A04","YFAM1A04")</f>
        <v>YFAM1A04</v>
      </c>
      <c r="I228" s="207" t="str">
        <f>HYPERLINK("#QN18_e4!q18초YFAM1A04","문14b")</f>
        <v>문14b</v>
      </c>
      <c r="J228" s="207" t="str">
        <f>HYPERLINK("#QN19_e4!q19초YFAM1A04","문14b")</f>
        <v>문14b</v>
      </c>
    </row>
    <row r="229" spans="2:10" ht="18" customHeight="1">
      <c r="B229" s="101" t="s">
        <v>1439</v>
      </c>
      <c r="C229" s="96" t="s">
        <v>1193</v>
      </c>
      <c r="D229" s="101" t="s">
        <v>1443</v>
      </c>
      <c r="E229" s="101" t="s">
        <v>1442</v>
      </c>
      <c r="F229" s="101" t="s">
        <v>1447</v>
      </c>
      <c r="G229" s="91" t="s">
        <v>1450</v>
      </c>
      <c r="H229" s="204" t="str">
        <f>HYPERLINK("#CB_e4!code초YFAM3A00","YFAM3A00")</f>
        <v>YFAM3A00</v>
      </c>
      <c r="I229" s="209"/>
      <c r="J229" s="205" t="str">
        <f>HYPERLINK("#QN19_e4!q19초YFAM3A00","문15")</f>
        <v>문15</v>
      </c>
    </row>
    <row r="230" spans="2:10" ht="18" customHeight="1">
      <c r="B230" s="101" t="s">
        <v>1440</v>
      </c>
      <c r="C230" s="101" t="s">
        <v>1193</v>
      </c>
      <c r="D230" s="101" t="s">
        <v>1444</v>
      </c>
      <c r="E230" s="101" t="s">
        <v>1687</v>
      </c>
      <c r="F230" s="101" t="s">
        <v>1448</v>
      </c>
      <c r="G230" s="91" t="s">
        <v>1451</v>
      </c>
      <c r="H230" s="208" t="str">
        <f>HYPERLINK("#CB_e4!code초YFAM3B00","YFAM3B00")</f>
        <v>YFAM3B00</v>
      </c>
      <c r="I230" s="209"/>
      <c r="J230" s="207" t="str">
        <f>HYPERLINK("#QN19_e4!q19초YFAM3B00","문15-1")</f>
        <v>문15-1</v>
      </c>
    </row>
    <row r="231" spans="2:10" ht="18" customHeight="1">
      <c r="B231" s="96" t="s">
        <v>1440</v>
      </c>
      <c r="C231" s="96" t="s">
        <v>1193</v>
      </c>
      <c r="D231" s="96" t="s">
        <v>1445</v>
      </c>
      <c r="E231" s="96" t="s">
        <v>1434</v>
      </c>
      <c r="F231" s="96" t="s">
        <v>1449</v>
      </c>
      <c r="G231" s="97" t="s">
        <v>1430</v>
      </c>
      <c r="H231" s="204" t="str">
        <f>HYPERLINK("#CB_e4!code초YFAM1B01","YFAM1B01")</f>
        <v>YFAM1B01</v>
      </c>
      <c r="I231" s="205"/>
      <c r="J231" s="205" t="str">
        <f>HYPERLINK("#QN19_e4!q19초YFAM1B01","문15-1a")</f>
        <v>문15-1a</v>
      </c>
    </row>
    <row r="232" spans="2:10" ht="18" customHeight="1">
      <c r="B232" s="101" t="s">
        <v>1440</v>
      </c>
      <c r="C232" s="101" t="s">
        <v>1193</v>
      </c>
      <c r="D232" s="101" t="s">
        <v>1443</v>
      </c>
      <c r="E232" s="101" t="s">
        <v>1434</v>
      </c>
      <c r="F232" s="101" t="s">
        <v>1448</v>
      </c>
      <c r="G232" s="91" t="s">
        <v>1431</v>
      </c>
      <c r="H232" s="208" t="str">
        <f>HYPERLINK("#CB_e4!code초YFAM1B02","YFAM1B02")</f>
        <v>YFAM1B02</v>
      </c>
      <c r="I232" s="209"/>
      <c r="J232" s="209" t="str">
        <f>HYPERLINK("#QN19_e4!q19초YFAM1B02","문15-1a")</f>
        <v>문15-1a</v>
      </c>
    </row>
    <row r="233" spans="2:10" ht="18" customHeight="1">
      <c r="B233" s="101" t="s">
        <v>1440</v>
      </c>
      <c r="C233" s="101" t="s">
        <v>1193</v>
      </c>
      <c r="D233" s="101" t="s">
        <v>1443</v>
      </c>
      <c r="E233" s="101" t="s">
        <v>1434</v>
      </c>
      <c r="F233" s="101" t="s">
        <v>1447</v>
      </c>
      <c r="G233" s="91" t="s">
        <v>1432</v>
      </c>
      <c r="H233" s="208" t="str">
        <f>HYPERLINK("#CB_e4!code초YFAM1B03","YFAM1B03")</f>
        <v>YFAM1B03</v>
      </c>
      <c r="I233" s="209"/>
      <c r="J233" s="209" t="str">
        <f>HYPERLINK("#QN19_e4!q19초YFAM1B03","문15-1b")</f>
        <v>문15-1b</v>
      </c>
    </row>
    <row r="234" spans="2:10" ht="18" customHeight="1">
      <c r="B234" s="99" t="s">
        <v>1440</v>
      </c>
      <c r="C234" s="99" t="s">
        <v>1193</v>
      </c>
      <c r="D234" s="99" t="s">
        <v>1446</v>
      </c>
      <c r="E234" s="99" t="s">
        <v>1434</v>
      </c>
      <c r="F234" s="99" t="s">
        <v>1449</v>
      </c>
      <c r="G234" s="94" t="s">
        <v>1433</v>
      </c>
      <c r="H234" s="206" t="str">
        <f>HYPERLINK("#CB_e4!code초YFAM1B04","YFAM1B04")</f>
        <v>YFAM1B04</v>
      </c>
      <c r="I234" s="207"/>
      <c r="J234" s="207" t="str">
        <f>HYPERLINK("#QN19_e4!q19초YFAM1B04","문15-1b")</f>
        <v>문15-1b</v>
      </c>
    </row>
    <row r="235" spans="2:10" ht="18" customHeight="1">
      <c r="B235" s="96" t="s">
        <v>1440</v>
      </c>
      <c r="C235" s="96" t="s">
        <v>1193</v>
      </c>
      <c r="D235" s="96" t="s">
        <v>1445</v>
      </c>
      <c r="E235" s="96" t="s">
        <v>1435</v>
      </c>
      <c r="F235" s="96" t="s">
        <v>1449</v>
      </c>
      <c r="G235" s="97" t="s">
        <v>1430</v>
      </c>
      <c r="H235" s="204" t="str">
        <f>HYPERLINK("#CB_e4!code초YFAM1C01","YFAM1C01")</f>
        <v>YFAM1C01</v>
      </c>
      <c r="I235" s="205"/>
      <c r="J235" s="205" t="str">
        <f>HYPERLINK("#QN19_e4!q19초YFAM1C01","문15-1a")</f>
        <v>문15-1a</v>
      </c>
    </row>
    <row r="236" spans="2:10" ht="18" customHeight="1">
      <c r="B236" s="101" t="s">
        <v>1440</v>
      </c>
      <c r="C236" s="101" t="s">
        <v>1193</v>
      </c>
      <c r="D236" s="101" t="s">
        <v>1443</v>
      </c>
      <c r="E236" s="101" t="s">
        <v>1435</v>
      </c>
      <c r="F236" s="101" t="s">
        <v>1448</v>
      </c>
      <c r="G236" s="91" t="s">
        <v>1431</v>
      </c>
      <c r="H236" s="208" t="str">
        <f>HYPERLINK("#CB_e4!code초YFAM1C02","YFAM1C02")</f>
        <v>YFAM1C02</v>
      </c>
      <c r="I236" s="209"/>
      <c r="J236" s="209" t="str">
        <f>HYPERLINK("#QN19_e4!q19초YFAM1C02","문15-1a")</f>
        <v>문15-1a</v>
      </c>
    </row>
    <row r="237" spans="2:10" ht="18" customHeight="1">
      <c r="B237" s="101" t="s">
        <v>1440</v>
      </c>
      <c r="C237" s="101" t="s">
        <v>1193</v>
      </c>
      <c r="D237" s="101" t="s">
        <v>1443</v>
      </c>
      <c r="E237" s="101" t="s">
        <v>1435</v>
      </c>
      <c r="F237" s="101" t="s">
        <v>1447</v>
      </c>
      <c r="G237" s="91" t="s">
        <v>1432</v>
      </c>
      <c r="H237" s="208" t="str">
        <f>HYPERLINK("#CB_e4!code초YFAM1C03","YFAM1C03")</f>
        <v>YFAM1C03</v>
      </c>
      <c r="I237" s="209"/>
      <c r="J237" s="209" t="str">
        <f>HYPERLINK("#QN19_e4!q19초YFAM1C03","문15-1b")</f>
        <v>문15-1b</v>
      </c>
    </row>
    <row r="238" spans="2:10" ht="18" customHeight="1">
      <c r="B238" s="99" t="s">
        <v>1440</v>
      </c>
      <c r="C238" s="99" t="s">
        <v>1193</v>
      </c>
      <c r="D238" s="99" t="s">
        <v>1446</v>
      </c>
      <c r="E238" s="99" t="s">
        <v>1435</v>
      </c>
      <c r="F238" s="99" t="s">
        <v>1449</v>
      </c>
      <c r="G238" s="94" t="s">
        <v>1433</v>
      </c>
      <c r="H238" s="206" t="str">
        <f>HYPERLINK("#CB_e4!code초YFAM1C04","YFAM1C04")</f>
        <v>YFAM1C04</v>
      </c>
      <c r="I238" s="207"/>
      <c r="J238" s="207" t="str">
        <f>HYPERLINK("#QN19_e4!q19초YFAM1C04","문15-1b")</f>
        <v>문15-1b</v>
      </c>
    </row>
    <row r="239" spans="2:10" ht="18" customHeight="1">
      <c r="B239" s="96" t="s">
        <v>1440</v>
      </c>
      <c r="C239" s="96" t="s">
        <v>1193</v>
      </c>
      <c r="D239" s="96" t="s">
        <v>1445</v>
      </c>
      <c r="E239" s="96" t="s">
        <v>1436</v>
      </c>
      <c r="F239" s="96" t="s">
        <v>1449</v>
      </c>
      <c r="G239" s="97" t="s">
        <v>1430</v>
      </c>
      <c r="H239" s="204" t="str">
        <f>HYPERLINK("#CB_e4!code초YFAM1D01","YFAM1D01")</f>
        <v>YFAM1D01</v>
      </c>
      <c r="I239" s="205"/>
      <c r="J239" s="205" t="str">
        <f>HYPERLINK("#QN19_e4!q19초YFAM1D01","문15-1a")</f>
        <v>문15-1a</v>
      </c>
    </row>
    <row r="240" spans="2:10" ht="18" customHeight="1">
      <c r="B240" s="101" t="s">
        <v>1440</v>
      </c>
      <c r="C240" s="101" t="s">
        <v>1193</v>
      </c>
      <c r="D240" s="101" t="s">
        <v>1443</v>
      </c>
      <c r="E240" s="101" t="s">
        <v>1436</v>
      </c>
      <c r="F240" s="101" t="s">
        <v>1448</v>
      </c>
      <c r="G240" s="91" t="s">
        <v>1431</v>
      </c>
      <c r="H240" s="208" t="str">
        <f>HYPERLINK("#CB_e4!code초YFAM1D02","YFAM1D02")</f>
        <v>YFAM1D02</v>
      </c>
      <c r="I240" s="209"/>
      <c r="J240" s="209" t="str">
        <f>HYPERLINK("#QN19_e4!q19초YFAM1D02","문15-1a")</f>
        <v>문15-1a</v>
      </c>
    </row>
    <row r="241" spans="2:10" ht="18" customHeight="1">
      <c r="B241" s="101" t="s">
        <v>1440</v>
      </c>
      <c r="C241" s="101" t="s">
        <v>1193</v>
      </c>
      <c r="D241" s="101" t="s">
        <v>1443</v>
      </c>
      <c r="E241" s="101" t="s">
        <v>1436</v>
      </c>
      <c r="F241" s="101" t="s">
        <v>1447</v>
      </c>
      <c r="G241" s="91" t="s">
        <v>1432</v>
      </c>
      <c r="H241" s="208" t="str">
        <f>HYPERLINK("#CB_e4!code초YFAM1D03","YFAM1D03")</f>
        <v>YFAM1D03</v>
      </c>
      <c r="I241" s="209"/>
      <c r="J241" s="209" t="str">
        <f>HYPERLINK("#QN19_e4!q19초YFAM1D03","문15-1b")</f>
        <v>문15-1b</v>
      </c>
    </row>
    <row r="242" spans="2:10" ht="18" customHeight="1">
      <c r="B242" s="99" t="s">
        <v>1440</v>
      </c>
      <c r="C242" s="99" t="s">
        <v>1193</v>
      </c>
      <c r="D242" s="99" t="s">
        <v>1446</v>
      </c>
      <c r="E242" s="99" t="s">
        <v>1436</v>
      </c>
      <c r="F242" s="99" t="s">
        <v>1449</v>
      </c>
      <c r="G242" s="94" t="s">
        <v>1433</v>
      </c>
      <c r="H242" s="206" t="str">
        <f>HYPERLINK("#CB_e4!code초YFAM1D04","YFAM1D04")</f>
        <v>YFAM1D04</v>
      </c>
      <c r="I242" s="207"/>
      <c r="J242" s="207" t="str">
        <f>HYPERLINK("#QN19_e4!q19초YFAM1D04","문15-1b")</f>
        <v>문15-1b</v>
      </c>
    </row>
    <row r="243" spans="2:10" ht="18" customHeight="1">
      <c r="B243" s="96" t="s">
        <v>1440</v>
      </c>
      <c r="C243" s="96" t="s">
        <v>1193</v>
      </c>
      <c r="D243" s="96" t="s">
        <v>1445</v>
      </c>
      <c r="E243" s="96" t="s">
        <v>1437</v>
      </c>
      <c r="F243" s="96" t="s">
        <v>1449</v>
      </c>
      <c r="G243" s="97" t="s">
        <v>1430</v>
      </c>
      <c r="H243" s="204" t="str">
        <f>HYPERLINK("#CB_e4!code초YFAM1E01","YFAM1E01")</f>
        <v>YFAM1E01</v>
      </c>
      <c r="I243" s="205"/>
      <c r="J243" s="205" t="str">
        <f>HYPERLINK("#QN19_e4!q19초YFAM1E01","문15-1a")</f>
        <v>문15-1a</v>
      </c>
    </row>
    <row r="244" spans="2:10" ht="18" customHeight="1">
      <c r="B244" s="101" t="s">
        <v>1440</v>
      </c>
      <c r="C244" s="101" t="s">
        <v>1193</v>
      </c>
      <c r="D244" s="101" t="s">
        <v>1443</v>
      </c>
      <c r="E244" s="101" t="s">
        <v>1437</v>
      </c>
      <c r="F244" s="101" t="s">
        <v>1448</v>
      </c>
      <c r="G244" s="91" t="s">
        <v>1431</v>
      </c>
      <c r="H244" s="208" t="str">
        <f>HYPERLINK("#CB_e4!code초YFAM1E02","YFAM1E02")</f>
        <v>YFAM1E02</v>
      </c>
      <c r="I244" s="209"/>
      <c r="J244" s="209" t="str">
        <f>HYPERLINK("#QN19_e4!q19초YFAM1E02","문15-1a")</f>
        <v>문15-1a</v>
      </c>
    </row>
    <row r="245" spans="2:10" ht="18" customHeight="1">
      <c r="B245" s="101" t="s">
        <v>1440</v>
      </c>
      <c r="C245" s="101" t="s">
        <v>1193</v>
      </c>
      <c r="D245" s="101" t="s">
        <v>1443</v>
      </c>
      <c r="E245" s="101" t="s">
        <v>1437</v>
      </c>
      <c r="F245" s="101" t="s">
        <v>1447</v>
      </c>
      <c r="G245" s="91" t="s">
        <v>1432</v>
      </c>
      <c r="H245" s="208" t="str">
        <f>HYPERLINK("#CB_e4!code초YFAM1E03","YFAM1E03")</f>
        <v>YFAM1E03</v>
      </c>
      <c r="I245" s="209"/>
      <c r="J245" s="209" t="str">
        <f>HYPERLINK("#QN19_e4!q19초YFAM1E03","문15-1b")</f>
        <v>문15-1b</v>
      </c>
    </row>
    <row r="246" spans="2:10" ht="18" customHeight="1">
      <c r="B246" s="99" t="s">
        <v>1440</v>
      </c>
      <c r="C246" s="99" t="s">
        <v>1193</v>
      </c>
      <c r="D246" s="99" t="s">
        <v>1446</v>
      </c>
      <c r="E246" s="99" t="s">
        <v>1437</v>
      </c>
      <c r="F246" s="99" t="s">
        <v>1449</v>
      </c>
      <c r="G246" s="94" t="s">
        <v>1433</v>
      </c>
      <c r="H246" s="206" t="str">
        <f>HYPERLINK("#CB_e4!code초YFAM1E04","YFAM1E04")</f>
        <v>YFAM1E04</v>
      </c>
      <c r="I246" s="207"/>
      <c r="J246" s="207" t="str">
        <f>HYPERLINK("#QN19_e4!q19초YFAM1E04","문15-1b")</f>
        <v>문15-1b</v>
      </c>
    </row>
    <row r="247" spans="2:10" ht="18" customHeight="1">
      <c r="B247" s="101" t="s">
        <v>1440</v>
      </c>
      <c r="C247" s="101" t="s">
        <v>1193</v>
      </c>
      <c r="D247" s="96" t="s">
        <v>1445</v>
      </c>
      <c r="E247" s="101" t="s">
        <v>1438</v>
      </c>
      <c r="F247" s="96" t="s">
        <v>1449</v>
      </c>
      <c r="G247" s="91" t="s">
        <v>1430</v>
      </c>
      <c r="H247" s="208" t="str">
        <f>HYPERLINK("#CB_e4!code초YFAM1F01","YFAM1F01")</f>
        <v>YFAM1F01</v>
      </c>
      <c r="I247" s="209"/>
      <c r="J247" s="209" t="str">
        <f>HYPERLINK("#QN19_e4!q19초YFAM1F01","문15-1a")</f>
        <v>문15-1a</v>
      </c>
    </row>
    <row r="248" spans="2:10" ht="18" customHeight="1">
      <c r="B248" s="101" t="s">
        <v>1440</v>
      </c>
      <c r="C248" s="101" t="s">
        <v>1193</v>
      </c>
      <c r="D248" s="101" t="s">
        <v>1443</v>
      </c>
      <c r="E248" s="101" t="s">
        <v>1438</v>
      </c>
      <c r="F248" s="101" t="s">
        <v>1448</v>
      </c>
      <c r="G248" s="91" t="s">
        <v>1431</v>
      </c>
      <c r="H248" s="208" t="str">
        <f>HYPERLINK("#CB_e4!code초YFAM1F02","YFAM1F02")</f>
        <v>YFAM1F02</v>
      </c>
      <c r="I248" s="209"/>
      <c r="J248" s="209" t="str">
        <f>HYPERLINK("#QN19_e4!q19초YFAM1F02","문15-1a")</f>
        <v>문15-1a</v>
      </c>
    </row>
    <row r="249" spans="2:10" ht="18" customHeight="1">
      <c r="B249" s="101" t="s">
        <v>1440</v>
      </c>
      <c r="C249" s="101" t="s">
        <v>1193</v>
      </c>
      <c r="D249" s="101" t="s">
        <v>1443</v>
      </c>
      <c r="E249" s="101" t="s">
        <v>1438</v>
      </c>
      <c r="F249" s="101" t="s">
        <v>1447</v>
      </c>
      <c r="G249" s="91" t="s">
        <v>1432</v>
      </c>
      <c r="H249" s="208" t="str">
        <f>HYPERLINK("#CB_e4!code초YFAM1F03","YFAM1F03")</f>
        <v>YFAM1F03</v>
      </c>
      <c r="I249" s="209"/>
      <c r="J249" s="209" t="str">
        <f>HYPERLINK("#QN19_e4!q19초YFAM1F03","문15-1b")</f>
        <v>문15-1b</v>
      </c>
    </row>
    <row r="250" spans="2:10" ht="18" customHeight="1">
      <c r="B250" s="99" t="s">
        <v>1172</v>
      </c>
      <c r="C250" s="99" t="s">
        <v>1193</v>
      </c>
      <c r="D250" s="99" t="s">
        <v>1446</v>
      </c>
      <c r="E250" s="101" t="s">
        <v>1438</v>
      </c>
      <c r="F250" s="99" t="s">
        <v>1449</v>
      </c>
      <c r="G250" s="91" t="s">
        <v>1433</v>
      </c>
      <c r="H250" s="206" t="str">
        <f>HYPERLINK("#CB_e4!code초YFAM1F04","YFAM1F04")</f>
        <v>YFAM1F04</v>
      </c>
      <c r="I250" s="209"/>
      <c r="J250" s="207" t="str">
        <f>HYPERLINK("#QN19_e4!q19초YFAM1F04","문15-1b")</f>
        <v>문15-1b</v>
      </c>
    </row>
    <row r="251" spans="2:10" ht="18" customHeight="1">
      <c r="B251" s="96" t="s">
        <v>1172</v>
      </c>
      <c r="C251" s="96" t="s">
        <v>1193</v>
      </c>
      <c r="D251" s="96" t="s">
        <v>1196</v>
      </c>
      <c r="E251" s="96" t="s">
        <v>1197</v>
      </c>
      <c r="F251" s="96" t="s">
        <v>1302</v>
      </c>
      <c r="G251" s="97" t="s">
        <v>252</v>
      </c>
      <c r="H251" s="204" t="str">
        <f>HYPERLINK("#CB_e4!code초YFAM2A01","YFAM2A01")</f>
        <v>YFAM2A01</v>
      </c>
      <c r="I251" s="205" t="str">
        <f>HYPERLINK("#QN18_e4!q18초YFAM2A01","문15-1")</f>
        <v>문15-1</v>
      </c>
      <c r="J251" s="205" t="str">
        <f>HYPERLINK("#QN19_e4!q19초YFAM2A01","문16-1")</f>
        <v>문16-1</v>
      </c>
    </row>
    <row r="252" spans="2:10" ht="18" customHeight="1">
      <c r="B252" s="101" t="s">
        <v>1172</v>
      </c>
      <c r="C252" s="101" t="s">
        <v>1193</v>
      </c>
      <c r="D252" s="101" t="s">
        <v>1196</v>
      </c>
      <c r="E252" s="101" t="s">
        <v>1342</v>
      </c>
      <c r="F252" s="101" t="s">
        <v>1</v>
      </c>
      <c r="G252" s="91" t="s">
        <v>253</v>
      </c>
      <c r="H252" s="208" t="str">
        <f>HYPERLINK("#CB_e4!code초YFAM2A02","YFAM2A02")</f>
        <v>YFAM2A02</v>
      </c>
      <c r="I252" s="209" t="str">
        <f>HYPERLINK("#QN18_e4!q18초YFAM2A02","문15-2")</f>
        <v>문15-2</v>
      </c>
      <c r="J252" s="209" t="str">
        <f>HYPERLINK("#QN19_e4!q19초YFAM2A02","문16-2")</f>
        <v>문16-2</v>
      </c>
    </row>
    <row r="253" spans="2:10" ht="18" customHeight="1">
      <c r="B253" s="101" t="s">
        <v>1172</v>
      </c>
      <c r="C253" s="101" t="s">
        <v>1193</v>
      </c>
      <c r="D253" s="101" t="s">
        <v>1196</v>
      </c>
      <c r="E253" s="101" t="s">
        <v>1197</v>
      </c>
      <c r="F253" s="101" t="s">
        <v>1302</v>
      </c>
      <c r="G253" s="91" t="s">
        <v>254</v>
      </c>
      <c r="H253" s="208" t="str">
        <f>HYPERLINK("#CB_e4!code초YFAM2A03","YFAM2A03")</f>
        <v>YFAM2A03</v>
      </c>
      <c r="I253" s="209" t="str">
        <f>HYPERLINK("#QN18_e4!q18초YFAM2A03","문15-3")</f>
        <v>문15-3</v>
      </c>
      <c r="J253" s="209" t="str">
        <f>HYPERLINK("#QN19_e4!q19초YFAM2A03","문16-3")</f>
        <v>문16-3</v>
      </c>
    </row>
    <row r="254" spans="2:10" ht="18" customHeight="1">
      <c r="B254" s="99" t="s">
        <v>1172</v>
      </c>
      <c r="C254" s="99" t="s">
        <v>1193</v>
      </c>
      <c r="D254" s="99" t="s">
        <v>1196</v>
      </c>
      <c r="E254" s="99" t="s">
        <v>1197</v>
      </c>
      <c r="F254" s="99" t="s">
        <v>1302</v>
      </c>
      <c r="G254" s="94" t="s">
        <v>255</v>
      </c>
      <c r="H254" s="206" t="str">
        <f>HYPERLINK("#CB_e4!code초YFAM2A04","YFAM2A04")</f>
        <v>YFAM2A04</v>
      </c>
      <c r="I254" s="207" t="str">
        <f>HYPERLINK("#QN18_e4!q18초YFAM2A04","문15-4")</f>
        <v>문15-4</v>
      </c>
      <c r="J254" s="207" t="str">
        <f>HYPERLINK("#QN19_e4!q19초YFAM2A04","문16-4")</f>
        <v>문16-4</v>
      </c>
    </row>
    <row r="255" spans="2:10" ht="18" customHeight="1">
      <c r="B255" s="96" t="s">
        <v>1172</v>
      </c>
      <c r="C255" s="96" t="s">
        <v>1193</v>
      </c>
      <c r="D255" s="96" t="s">
        <v>1196</v>
      </c>
      <c r="E255" s="96" t="s">
        <v>1198</v>
      </c>
      <c r="F255" s="96" t="s">
        <v>1302</v>
      </c>
      <c r="G255" s="97" t="s">
        <v>256</v>
      </c>
      <c r="H255" s="204" t="str">
        <f>HYPERLINK("#CB_e4!code초YFAM2B01","YFAM2B01")</f>
        <v>YFAM2B01</v>
      </c>
      <c r="I255" s="205" t="str">
        <f>HYPERLINK("#QN18_e4!q18초YFAM2B01","문15-5")</f>
        <v>문15-5</v>
      </c>
      <c r="J255" s="205" t="str">
        <f>HYPERLINK("#QN19_e4!q19초YFAM2B01","문16-5")</f>
        <v>문16-5</v>
      </c>
    </row>
    <row r="256" spans="2:10" ht="18" customHeight="1">
      <c r="B256" s="101" t="s">
        <v>1172</v>
      </c>
      <c r="C256" s="101" t="s">
        <v>1193</v>
      </c>
      <c r="D256" s="101" t="s">
        <v>1196</v>
      </c>
      <c r="E256" s="101" t="s">
        <v>1198</v>
      </c>
      <c r="F256" s="101" t="s">
        <v>1302</v>
      </c>
      <c r="G256" s="91" t="s">
        <v>257</v>
      </c>
      <c r="H256" s="208" t="str">
        <f>HYPERLINK("#CB_e4!code초YFAM2B02","YFAM2B02")</f>
        <v>YFAM2B02</v>
      </c>
      <c r="I256" s="209" t="str">
        <f>HYPERLINK("#QN18_e4!q18초YFAM2B02","문15-6")</f>
        <v>문15-6</v>
      </c>
      <c r="J256" s="209" t="str">
        <f>HYPERLINK("#QN19_e4!q19초YFAM2B02","문16-6")</f>
        <v>문16-6</v>
      </c>
    </row>
    <row r="257" spans="2:10" ht="18" customHeight="1">
      <c r="B257" s="101" t="s">
        <v>1172</v>
      </c>
      <c r="C257" s="101" t="s">
        <v>1193</v>
      </c>
      <c r="D257" s="101" t="s">
        <v>1196</v>
      </c>
      <c r="E257" s="101" t="s">
        <v>1198</v>
      </c>
      <c r="F257" s="101" t="s">
        <v>1302</v>
      </c>
      <c r="G257" s="91" t="s">
        <v>258</v>
      </c>
      <c r="H257" s="208" t="str">
        <f>HYPERLINK("#CB_e4!code초YFAM2B03","YFAM2B03")</f>
        <v>YFAM2B03</v>
      </c>
      <c r="I257" s="209" t="str">
        <f>HYPERLINK("#QN18_e4!q18초YFAM2B03","문15-7")</f>
        <v>문15-7</v>
      </c>
      <c r="J257" s="209" t="str">
        <f>HYPERLINK("#QN19_e4!q19초YFAM2B03","문16-7")</f>
        <v>문16-7</v>
      </c>
    </row>
    <row r="258" spans="2:10" ht="18" customHeight="1">
      <c r="B258" s="99" t="s">
        <v>1172</v>
      </c>
      <c r="C258" s="99" t="s">
        <v>1193</v>
      </c>
      <c r="D258" s="99" t="s">
        <v>1196</v>
      </c>
      <c r="E258" s="99" t="s">
        <v>1198</v>
      </c>
      <c r="F258" s="99" t="s">
        <v>1302</v>
      </c>
      <c r="G258" s="94" t="s">
        <v>259</v>
      </c>
      <c r="H258" s="206" t="str">
        <f>HYPERLINK("#CB_e4!code초YFAM2B04","YFAM2B04")</f>
        <v>YFAM2B04</v>
      </c>
      <c r="I258" s="207" t="str">
        <f>HYPERLINK("#QN18_e4!q18초YFAM2B04","문15-8")</f>
        <v>문15-8</v>
      </c>
      <c r="J258" s="207" t="str">
        <f>HYPERLINK("#QN19_e4!q19초YFAM2B04","문16-8")</f>
        <v>문16-8</v>
      </c>
    </row>
    <row r="259" spans="2:10" ht="18" customHeight="1">
      <c r="B259" s="96" t="s">
        <v>1172</v>
      </c>
      <c r="C259" s="96" t="s">
        <v>1193</v>
      </c>
      <c r="D259" s="96" t="s">
        <v>1196</v>
      </c>
      <c r="E259" s="96" t="s">
        <v>1199</v>
      </c>
      <c r="F259" s="96" t="s">
        <v>1302</v>
      </c>
      <c r="G259" s="97" t="s">
        <v>260</v>
      </c>
      <c r="H259" s="204" t="str">
        <f>HYPERLINK("#CB_e4!code초YFAM2C01","YFAM2C01")</f>
        <v>YFAM2C01</v>
      </c>
      <c r="I259" s="205" t="str">
        <f>HYPERLINK("#QN18_e4!q18초YFAM2C01","문15-9")</f>
        <v>문15-9</v>
      </c>
      <c r="J259" s="205" t="str">
        <f>HYPERLINK("#QN19_e4!q19초YFAM2C01","문16-9")</f>
        <v>문16-9</v>
      </c>
    </row>
    <row r="260" spans="2:10" ht="18" customHeight="1">
      <c r="B260" s="101" t="s">
        <v>1172</v>
      </c>
      <c r="C260" s="101" t="s">
        <v>1193</v>
      </c>
      <c r="D260" s="101" t="s">
        <v>1196</v>
      </c>
      <c r="E260" s="101" t="s">
        <v>1199</v>
      </c>
      <c r="F260" s="101" t="s">
        <v>1302</v>
      </c>
      <c r="G260" s="91" t="s">
        <v>261</v>
      </c>
      <c r="H260" s="208" t="str">
        <f>HYPERLINK("#CB_e4!code초YFAM2C02","YFAM2C02")</f>
        <v>YFAM2C02</v>
      </c>
      <c r="I260" s="209" t="str">
        <f>HYPERLINK("#QN18_e4!q18초YFAM2C02","문15-10")</f>
        <v>문15-10</v>
      </c>
      <c r="J260" s="209" t="str">
        <f>HYPERLINK("#QN19_e4!q19초YFAM2C02","문16-10")</f>
        <v>문16-10</v>
      </c>
    </row>
    <row r="261" spans="2:10" ht="18" customHeight="1">
      <c r="B261" s="101" t="s">
        <v>1172</v>
      </c>
      <c r="C261" s="101" t="s">
        <v>1193</v>
      </c>
      <c r="D261" s="101" t="s">
        <v>1196</v>
      </c>
      <c r="E261" s="101" t="s">
        <v>1199</v>
      </c>
      <c r="F261" s="101" t="s">
        <v>1302</v>
      </c>
      <c r="G261" s="91" t="s">
        <v>262</v>
      </c>
      <c r="H261" s="208" t="str">
        <f>HYPERLINK("#CB_e4!code초YFAM2C03","YFAM2C03")</f>
        <v>YFAM2C03</v>
      </c>
      <c r="I261" s="209" t="str">
        <f>HYPERLINK("#QN18_e4!q18초YFAM2C03","문15-11")</f>
        <v>문15-11</v>
      </c>
      <c r="J261" s="209" t="str">
        <f>HYPERLINK("#QN19_e4!q19초YFAM2C03","문16-11")</f>
        <v>문16-11</v>
      </c>
    </row>
    <row r="262" spans="2:10" ht="18" customHeight="1">
      <c r="B262" s="99" t="s">
        <v>1172</v>
      </c>
      <c r="C262" s="99" t="s">
        <v>1193</v>
      </c>
      <c r="D262" s="99" t="s">
        <v>1196</v>
      </c>
      <c r="E262" s="99" t="s">
        <v>1199</v>
      </c>
      <c r="F262" s="99" t="s">
        <v>1302</v>
      </c>
      <c r="G262" s="94" t="s">
        <v>263</v>
      </c>
      <c r="H262" s="206" t="str">
        <f>HYPERLINK("#CB_e4!code초YFAM2C04","YFAM2C04")</f>
        <v>YFAM2C04</v>
      </c>
      <c r="I262" s="207" t="str">
        <f>HYPERLINK("#QN18_e4!q18초YFAM2C04","문15-12")</f>
        <v>문15-12</v>
      </c>
      <c r="J262" s="207" t="str">
        <f>HYPERLINK("#QN19_e4!q19초YFAM2C04","문16-12")</f>
        <v>문16-12</v>
      </c>
    </row>
    <row r="263" spans="2:10" ht="18" customHeight="1">
      <c r="B263" s="96" t="s">
        <v>1172</v>
      </c>
      <c r="C263" s="96" t="s">
        <v>1193</v>
      </c>
      <c r="D263" s="96" t="s">
        <v>1196</v>
      </c>
      <c r="E263" s="96" t="s">
        <v>1200</v>
      </c>
      <c r="F263" s="96" t="s">
        <v>1302</v>
      </c>
      <c r="G263" s="97" t="s">
        <v>264</v>
      </c>
      <c r="H263" s="204" t="str">
        <f>HYPERLINK("#CB_e4!code초YFAM2D01","YFAM2D01")</f>
        <v>YFAM2D01</v>
      </c>
      <c r="I263" s="205" t="str">
        <f>HYPERLINK("#QN18_e4!q18초YFAM2D01","문15-13")</f>
        <v>문15-13</v>
      </c>
      <c r="J263" s="205" t="str">
        <f>HYPERLINK("#QN19_e4!q19초YFAM2D01","문16-13")</f>
        <v>문16-13</v>
      </c>
    </row>
    <row r="264" spans="2:10" ht="18" customHeight="1">
      <c r="B264" s="101" t="s">
        <v>1172</v>
      </c>
      <c r="C264" s="101" t="s">
        <v>1193</v>
      </c>
      <c r="D264" s="101" t="s">
        <v>1196</v>
      </c>
      <c r="E264" s="101" t="s">
        <v>1200</v>
      </c>
      <c r="F264" s="101" t="s">
        <v>1302</v>
      </c>
      <c r="G264" s="91" t="s">
        <v>265</v>
      </c>
      <c r="H264" s="208" t="str">
        <f>HYPERLINK("#CB_e4!code초YFAM2D02","YFAM2D02")</f>
        <v>YFAM2D02</v>
      </c>
      <c r="I264" s="209" t="str">
        <f>HYPERLINK("#QN18_e4!q18초YFAM2D02","문15-14")</f>
        <v>문15-14</v>
      </c>
      <c r="J264" s="209" t="str">
        <f>HYPERLINK("#QN19_e4!q19초YFAM2D02","문16-14")</f>
        <v>문16-14</v>
      </c>
    </row>
    <row r="265" spans="2:10" ht="18" customHeight="1">
      <c r="B265" s="101" t="s">
        <v>1172</v>
      </c>
      <c r="C265" s="101" t="s">
        <v>1193</v>
      </c>
      <c r="D265" s="101" t="s">
        <v>1196</v>
      </c>
      <c r="E265" s="101" t="s">
        <v>1200</v>
      </c>
      <c r="F265" s="101" t="s">
        <v>1302</v>
      </c>
      <c r="G265" s="91" t="s">
        <v>266</v>
      </c>
      <c r="H265" s="208" t="str">
        <f>HYPERLINK("#CB_e4!code초YFAM2D03","YFAM2D03")</f>
        <v>YFAM2D03</v>
      </c>
      <c r="I265" s="209" t="str">
        <f>HYPERLINK("#QN18_e4!q18초YFAM2D03","문15-15")</f>
        <v>문15-15</v>
      </c>
      <c r="J265" s="209" t="str">
        <f>HYPERLINK("#QN19_e4!q19초YFAM2D03","문16-15")</f>
        <v>문16-15</v>
      </c>
    </row>
    <row r="266" spans="2:10" ht="18" customHeight="1">
      <c r="B266" s="99" t="s">
        <v>1172</v>
      </c>
      <c r="C266" s="99" t="s">
        <v>1193</v>
      </c>
      <c r="D266" s="99" t="s">
        <v>1196</v>
      </c>
      <c r="E266" s="99" t="s">
        <v>1200</v>
      </c>
      <c r="F266" s="99" t="s">
        <v>1302</v>
      </c>
      <c r="G266" s="94" t="s">
        <v>267</v>
      </c>
      <c r="H266" s="206" t="str">
        <f>HYPERLINK("#CB_e4!code초YFAM2D04","YFAM2D04")</f>
        <v>YFAM2D04</v>
      </c>
      <c r="I266" s="207" t="str">
        <f>HYPERLINK("#QN18_e4!q18초YFAM2D04","문15-16")</f>
        <v>문15-16</v>
      </c>
      <c r="J266" s="207" t="str">
        <f>HYPERLINK("#QN19_e4!q19초YFAM2D04","문16-16")</f>
        <v>문16-16</v>
      </c>
    </row>
    <row r="267" spans="2:10" ht="18" customHeight="1">
      <c r="B267" s="96" t="s">
        <v>1172</v>
      </c>
      <c r="C267" s="96" t="s">
        <v>1193</v>
      </c>
      <c r="D267" s="96" t="s">
        <v>1196</v>
      </c>
      <c r="E267" s="96" t="s">
        <v>1201</v>
      </c>
      <c r="F267" s="96" t="s">
        <v>1302</v>
      </c>
      <c r="G267" s="97" t="s">
        <v>268</v>
      </c>
      <c r="H267" s="204" t="str">
        <f>HYPERLINK("#CB_e4!code초YFAM2E01","YFAM2E01")</f>
        <v>YFAM2E01</v>
      </c>
      <c r="I267" s="205" t="str">
        <f>HYPERLINK("#QN18_e4!q18초YFAM2E01","문15-17")</f>
        <v>문15-17</v>
      </c>
      <c r="J267" s="205" t="str">
        <f>HYPERLINK("#QN19_e4!q19초YFAM2E01","문16-17")</f>
        <v>문16-17</v>
      </c>
    </row>
    <row r="268" spans="2:10" ht="18" customHeight="1">
      <c r="B268" s="101" t="s">
        <v>1172</v>
      </c>
      <c r="C268" s="101" t="s">
        <v>1193</v>
      </c>
      <c r="D268" s="101" t="s">
        <v>1196</v>
      </c>
      <c r="E268" s="101" t="s">
        <v>1201</v>
      </c>
      <c r="F268" s="101" t="s">
        <v>1302</v>
      </c>
      <c r="G268" s="91" t="s">
        <v>269</v>
      </c>
      <c r="H268" s="208" t="str">
        <f>HYPERLINK("#CB_e4!code초YFAM2E02","YFAM2E02")</f>
        <v>YFAM2E02</v>
      </c>
      <c r="I268" s="209" t="str">
        <f>HYPERLINK("#QN18_e4!q18초YFAM2E02","문15-18")</f>
        <v>문15-18</v>
      </c>
      <c r="J268" s="209" t="str">
        <f>HYPERLINK("#QN19_e4!q19초YFAM2E02","문16-18")</f>
        <v>문16-18</v>
      </c>
    </row>
    <row r="269" spans="2:10" ht="18" customHeight="1">
      <c r="B269" s="101" t="s">
        <v>1172</v>
      </c>
      <c r="C269" s="101" t="s">
        <v>1193</v>
      </c>
      <c r="D269" s="101" t="s">
        <v>1196</v>
      </c>
      <c r="E269" s="101" t="s">
        <v>1201</v>
      </c>
      <c r="F269" s="101" t="s">
        <v>1302</v>
      </c>
      <c r="G269" s="91" t="s">
        <v>270</v>
      </c>
      <c r="H269" s="208" t="str">
        <f>HYPERLINK("#CB_e4!code초YFAM2E03","YFAM2E03")</f>
        <v>YFAM2E03</v>
      </c>
      <c r="I269" s="209" t="str">
        <f>HYPERLINK("#QN18_e4!q18초YFAM2E03","문15-19")</f>
        <v>문15-19</v>
      </c>
      <c r="J269" s="209" t="str">
        <f>HYPERLINK("#QN19_e4!q19초YFAM2E03","문16-19")</f>
        <v>문16-19</v>
      </c>
    </row>
    <row r="270" spans="2:10" ht="18" customHeight="1">
      <c r="B270" s="99" t="s">
        <v>1172</v>
      </c>
      <c r="C270" s="99" t="s">
        <v>1193</v>
      </c>
      <c r="D270" s="99" t="s">
        <v>1196</v>
      </c>
      <c r="E270" s="99" t="s">
        <v>1201</v>
      </c>
      <c r="F270" s="99" t="s">
        <v>1302</v>
      </c>
      <c r="G270" s="94" t="s">
        <v>271</v>
      </c>
      <c r="H270" s="206" t="str">
        <f>HYPERLINK("#CB_e4!code초YFAM2E04","YFAM2E04")</f>
        <v>YFAM2E04</v>
      </c>
      <c r="I270" s="207" t="str">
        <f>HYPERLINK("#QN18_e4!q18초YFAM2E04","문15-20")</f>
        <v>문15-20</v>
      </c>
      <c r="J270" s="207" t="str">
        <f>HYPERLINK("#QN19_e4!q19초YFAM2E04","문16-20")</f>
        <v>문16-20</v>
      </c>
    </row>
    <row r="271" spans="2:10" ht="18" customHeight="1">
      <c r="B271" s="96" t="s">
        <v>1172</v>
      </c>
      <c r="C271" s="96" t="s">
        <v>1193</v>
      </c>
      <c r="D271" s="96" t="s">
        <v>1196</v>
      </c>
      <c r="E271" s="96" t="s">
        <v>1202</v>
      </c>
      <c r="F271" s="96" t="s">
        <v>1302</v>
      </c>
      <c r="G271" s="97" t="s">
        <v>272</v>
      </c>
      <c r="H271" s="204" t="str">
        <f>HYPERLINK("#CB_e4!code초YFAM2F01","YFAM2F01")</f>
        <v>YFAM2F01</v>
      </c>
      <c r="I271" s="205" t="str">
        <f>HYPERLINK("#QN18_e4!q18초YFAM2F01","문15-21")</f>
        <v>문15-21</v>
      </c>
      <c r="J271" s="205" t="str">
        <f>HYPERLINK("#QN19_e4!q19초YFAM2F01","문16-21")</f>
        <v>문16-21</v>
      </c>
    </row>
    <row r="272" spans="2:10" ht="18" customHeight="1">
      <c r="B272" s="101" t="s">
        <v>1172</v>
      </c>
      <c r="C272" s="101" t="s">
        <v>1193</v>
      </c>
      <c r="D272" s="101" t="s">
        <v>1196</v>
      </c>
      <c r="E272" s="101" t="s">
        <v>1202</v>
      </c>
      <c r="F272" s="101" t="s">
        <v>1302</v>
      </c>
      <c r="G272" s="91" t="s">
        <v>273</v>
      </c>
      <c r="H272" s="208" t="str">
        <f>HYPERLINK("#CB_e4!code초YFAM2F02","YFAM2F02")</f>
        <v>YFAM2F02</v>
      </c>
      <c r="I272" s="209" t="str">
        <f>HYPERLINK("#QN18_e4!q18초YFAM2F02","문15-22")</f>
        <v>문15-22</v>
      </c>
      <c r="J272" s="209" t="str">
        <f>HYPERLINK("#QN19_e4!q19초YFAM2F02","문16-22")</f>
        <v>문16-22</v>
      </c>
    </row>
    <row r="273" spans="2:10" ht="18" customHeight="1">
      <c r="B273" s="101" t="s">
        <v>1172</v>
      </c>
      <c r="C273" s="101" t="s">
        <v>1193</v>
      </c>
      <c r="D273" s="101" t="s">
        <v>1196</v>
      </c>
      <c r="E273" s="101" t="s">
        <v>1202</v>
      </c>
      <c r="F273" s="101" t="s">
        <v>1302</v>
      </c>
      <c r="G273" s="91" t="s">
        <v>274</v>
      </c>
      <c r="H273" s="208" t="str">
        <f>HYPERLINK("#CB_e4!code초YFAM2F03","YFAM2F03")</f>
        <v>YFAM2F03</v>
      </c>
      <c r="I273" s="209" t="str">
        <f>HYPERLINK("#QN18_e4!q18초YFAM2F03","문15-23")</f>
        <v>문15-23</v>
      </c>
      <c r="J273" s="209" t="str">
        <f>HYPERLINK("#QN19_e4!q19초YFAM2F03","문16-23")</f>
        <v>문16-23</v>
      </c>
    </row>
    <row r="274" spans="2:10" ht="18" customHeight="1" thickBot="1">
      <c r="B274" s="108" t="s">
        <v>1172</v>
      </c>
      <c r="C274" s="108" t="s">
        <v>1193</v>
      </c>
      <c r="D274" s="108" t="s">
        <v>1196</v>
      </c>
      <c r="E274" s="108" t="s">
        <v>1202</v>
      </c>
      <c r="F274" s="108" t="s">
        <v>1302</v>
      </c>
      <c r="G274" s="109" t="s">
        <v>275</v>
      </c>
      <c r="H274" s="213" t="str">
        <f>HYPERLINK("#CB_e4!code초YFAM2F04","YFAM2F04")</f>
        <v>YFAM2F04</v>
      </c>
      <c r="I274" s="214" t="str">
        <f>HYPERLINK("#QN18_e4!q18초YFAM2F04","문15-24")</f>
        <v>문15-24</v>
      </c>
      <c r="J274" s="214" t="str">
        <f>HYPERLINK("#QN19_e4!q19초YFAM2F04","문16-24")</f>
        <v>문16-24</v>
      </c>
    </row>
  </sheetData>
  <sheetProtection algorithmName="SHA-512" hashValue="OOe7V+h8pIavRP/F9NlrcaaSom1iZE5oXCrmNnvJG0z7kSbZ4YbQAv4SkuZanaQk+YD0bnjBviPfqBpBh1KxxQ==" saltValue="xqZoHrxRop8EgS82vGtUvQ==" spinCount="100000" sheet="1" objects="1" scenarios="1"/>
  <mergeCells count="10">
    <mergeCell ref="B1:J2"/>
    <mergeCell ref="B4:B5"/>
    <mergeCell ref="G4:G5"/>
    <mergeCell ref="H4:H5"/>
    <mergeCell ref="C4:C5"/>
    <mergeCell ref="D4:D5"/>
    <mergeCell ref="E4:E5"/>
    <mergeCell ref="F4:F5"/>
    <mergeCell ref="I4:J4"/>
    <mergeCell ref="B3:J3"/>
  </mergeCells>
  <phoneticPr fontId="1" type="noConversion"/>
  <pageMargins left="0.7" right="0.7" top="0.75" bottom="0.7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86"/>
  <sheetViews>
    <sheetView showGridLines="0" zoomScale="90" zoomScaleNormal="90" workbookViewId="0">
      <pane ySplit="5" topLeftCell="A6" activePane="bottomLeft" state="frozen"/>
      <selection pane="bottomLeft" activeCell="B1" sqref="B1:J2"/>
    </sheetView>
  </sheetViews>
  <sheetFormatPr defaultColWidth="9" defaultRowHeight="18" customHeight="1"/>
  <cols>
    <col min="1" max="1" width="2.625" style="87" customWidth="1"/>
    <col min="2" max="2" width="10.625" style="87" bestFit="1" customWidth="1"/>
    <col min="3" max="3" width="20.625" style="87" bestFit="1" customWidth="1"/>
    <col min="4" max="4" width="13.625" style="87" bestFit="1" customWidth="1"/>
    <col min="5" max="5" width="37.125" style="87" bestFit="1" customWidth="1"/>
    <col min="6" max="6" width="17.625" style="87" bestFit="1" customWidth="1"/>
    <col min="7" max="7" width="102.125" style="110" bestFit="1" customWidth="1"/>
    <col min="8" max="8" width="13.875" style="87" customWidth="1"/>
    <col min="9" max="10" width="13.625" style="87" customWidth="1"/>
    <col min="11" max="16384" width="9" style="87"/>
  </cols>
  <sheetData>
    <row r="1" spans="2:10" s="86" customFormat="1" ht="18" customHeight="1">
      <c r="B1" s="269" t="s">
        <v>1757</v>
      </c>
      <c r="C1" s="269"/>
      <c r="D1" s="269"/>
      <c r="E1" s="269"/>
      <c r="F1" s="269"/>
      <c r="G1" s="269"/>
      <c r="H1" s="269"/>
      <c r="I1" s="269"/>
      <c r="J1" s="269"/>
    </row>
    <row r="2" spans="2:10" s="86" customFormat="1" ht="18" customHeight="1" thickBot="1">
      <c r="B2" s="270"/>
      <c r="C2" s="270"/>
      <c r="D2" s="270"/>
      <c r="E2" s="270"/>
      <c r="F2" s="270"/>
      <c r="G2" s="270"/>
      <c r="H2" s="270"/>
      <c r="I2" s="270"/>
      <c r="J2" s="270"/>
    </row>
    <row r="3" spans="2:10" s="86" customFormat="1" ht="18" customHeight="1" thickBot="1">
      <c r="B3" s="277" t="s">
        <v>1068</v>
      </c>
      <c r="C3" s="277"/>
      <c r="D3" s="277"/>
      <c r="E3" s="277"/>
      <c r="F3" s="277"/>
      <c r="G3" s="277"/>
      <c r="H3" s="277"/>
      <c r="I3" s="277"/>
      <c r="J3" s="277"/>
    </row>
    <row r="4" spans="2:10" ht="18" customHeight="1">
      <c r="B4" s="271" t="s">
        <v>1114</v>
      </c>
      <c r="C4" s="273" t="s">
        <v>1115</v>
      </c>
      <c r="D4" s="273" t="s">
        <v>1116</v>
      </c>
      <c r="E4" s="273" t="s">
        <v>1118</v>
      </c>
      <c r="F4" s="273" t="s">
        <v>1117</v>
      </c>
      <c r="G4" s="273" t="s">
        <v>16</v>
      </c>
      <c r="H4" s="278" t="s">
        <v>17</v>
      </c>
      <c r="I4" s="275" t="s">
        <v>18</v>
      </c>
      <c r="J4" s="276"/>
    </row>
    <row r="5" spans="2:10" ht="18" customHeight="1">
      <c r="B5" s="272"/>
      <c r="C5" s="274"/>
      <c r="D5" s="274"/>
      <c r="E5" s="274"/>
      <c r="F5" s="274"/>
      <c r="G5" s="274"/>
      <c r="H5" s="279"/>
      <c r="I5" s="88" t="s">
        <v>1066</v>
      </c>
      <c r="J5" s="88" t="s">
        <v>1578</v>
      </c>
    </row>
    <row r="6" spans="2:10" ht="18" customHeight="1">
      <c r="B6" s="89" t="s">
        <v>1301</v>
      </c>
      <c r="C6" s="90" t="s">
        <v>1301</v>
      </c>
      <c r="D6" s="90" t="s">
        <v>1301</v>
      </c>
      <c r="E6" s="90" t="s">
        <v>1301</v>
      </c>
      <c r="F6" s="90" t="s">
        <v>1304</v>
      </c>
      <c r="G6" s="91" t="s">
        <v>1331</v>
      </c>
      <c r="H6" s="92" t="s">
        <v>1095</v>
      </c>
      <c r="I6" s="93" t="s">
        <v>13</v>
      </c>
      <c r="J6" s="93" t="s">
        <v>15</v>
      </c>
    </row>
    <row r="7" spans="2:10" ht="18" customHeight="1">
      <c r="B7" s="87" t="s">
        <v>1302</v>
      </c>
      <c r="C7" s="92" t="s">
        <v>1301</v>
      </c>
      <c r="D7" s="92" t="s">
        <v>1301</v>
      </c>
      <c r="E7" s="92" t="s">
        <v>1302</v>
      </c>
      <c r="F7" s="92" t="s">
        <v>1301</v>
      </c>
      <c r="G7" s="91" t="s">
        <v>1335</v>
      </c>
      <c r="H7" s="92" t="s">
        <v>1096</v>
      </c>
      <c r="I7" s="93" t="s">
        <v>13</v>
      </c>
      <c r="J7" s="93" t="s">
        <v>1576</v>
      </c>
    </row>
    <row r="8" spans="2:10" ht="18" customHeight="1">
      <c r="B8" s="87" t="s">
        <v>1302</v>
      </c>
      <c r="C8" s="92" t="s">
        <v>1302</v>
      </c>
      <c r="D8" s="92" t="s">
        <v>1302</v>
      </c>
      <c r="E8" s="92" t="s">
        <v>1302</v>
      </c>
      <c r="F8" s="92" t="s">
        <v>1302</v>
      </c>
      <c r="G8" s="91" t="s">
        <v>1332</v>
      </c>
      <c r="H8" s="92" t="s">
        <v>1071</v>
      </c>
      <c r="I8" s="93" t="s">
        <v>14</v>
      </c>
      <c r="J8" s="93" t="s">
        <v>15</v>
      </c>
    </row>
    <row r="9" spans="2:10" ht="18" customHeight="1">
      <c r="B9" s="89" t="s">
        <v>1302</v>
      </c>
      <c r="C9" s="90" t="s">
        <v>1301</v>
      </c>
      <c r="D9" s="90" t="s">
        <v>1301</v>
      </c>
      <c r="E9" s="90" t="s">
        <v>1301</v>
      </c>
      <c r="F9" s="90" t="s">
        <v>1302</v>
      </c>
      <c r="G9" s="161" t="s">
        <v>1694</v>
      </c>
      <c r="H9" s="164" t="s">
        <v>1679</v>
      </c>
      <c r="I9" s="98" t="s">
        <v>14</v>
      </c>
      <c r="J9" s="98" t="s">
        <v>1576</v>
      </c>
    </row>
    <row r="10" spans="2:10" ht="18" customHeight="1">
      <c r="B10" s="87" t="s">
        <v>1302</v>
      </c>
      <c r="C10" s="92" t="s">
        <v>1302</v>
      </c>
      <c r="D10" s="92" t="s">
        <v>1302</v>
      </c>
      <c r="E10" s="92" t="s">
        <v>1302</v>
      </c>
      <c r="F10" s="92" t="s">
        <v>1302</v>
      </c>
      <c r="G10" s="162" t="s">
        <v>1695</v>
      </c>
      <c r="H10" s="165" t="s">
        <v>1680</v>
      </c>
      <c r="I10" s="93" t="s">
        <v>14</v>
      </c>
      <c r="J10" s="93" t="s">
        <v>15</v>
      </c>
    </row>
    <row r="11" spans="2:10" ht="18" customHeight="1">
      <c r="B11" s="87" t="s">
        <v>1302</v>
      </c>
      <c r="C11" s="92" t="s">
        <v>1302</v>
      </c>
      <c r="D11" s="92" t="s">
        <v>1302</v>
      </c>
      <c r="E11" s="92" t="s">
        <v>1302</v>
      </c>
      <c r="F11" s="92" t="s">
        <v>1302</v>
      </c>
      <c r="G11" s="162" t="s">
        <v>1696</v>
      </c>
      <c r="H11" s="165" t="s">
        <v>1681</v>
      </c>
      <c r="I11" s="93"/>
      <c r="J11" s="93" t="s">
        <v>15</v>
      </c>
    </row>
    <row r="12" spans="2:10" ht="18" customHeight="1">
      <c r="B12" s="160" t="s">
        <v>1302</v>
      </c>
      <c r="C12" s="100" t="s">
        <v>1302</v>
      </c>
      <c r="D12" s="100" t="s">
        <v>1302</v>
      </c>
      <c r="E12" s="100" t="s">
        <v>1302</v>
      </c>
      <c r="F12" s="100" t="s">
        <v>1302</v>
      </c>
      <c r="G12" s="163" t="s">
        <v>1697</v>
      </c>
      <c r="H12" s="166" t="s">
        <v>1682</v>
      </c>
      <c r="I12" s="95"/>
      <c r="J12" s="95" t="s">
        <v>15</v>
      </c>
    </row>
    <row r="13" spans="2:10" ht="18" customHeight="1">
      <c r="B13" s="89" t="s">
        <v>1302</v>
      </c>
      <c r="C13" s="90" t="s">
        <v>1302</v>
      </c>
      <c r="D13" s="90" t="s">
        <v>1302</v>
      </c>
      <c r="E13" s="90" t="s">
        <v>1302</v>
      </c>
      <c r="F13" s="90" t="s">
        <v>1302</v>
      </c>
      <c r="G13" s="97" t="s">
        <v>1675</v>
      </c>
      <c r="H13" s="204" t="str">
        <f>HYPERLINK("#CB_m1!code중SIBLING","SIBLING")</f>
        <v>SIBLING</v>
      </c>
      <c r="I13" s="215"/>
      <c r="J13" s="215" t="s">
        <v>15</v>
      </c>
    </row>
    <row r="14" spans="2:10" ht="18" customHeight="1">
      <c r="B14" s="87" t="s">
        <v>1302</v>
      </c>
      <c r="C14" s="92" t="s">
        <v>1302</v>
      </c>
      <c r="D14" s="92" t="s">
        <v>1302</v>
      </c>
      <c r="E14" s="92" t="s">
        <v>1302</v>
      </c>
      <c r="F14" s="92" t="s">
        <v>1302</v>
      </c>
      <c r="G14" s="91" t="s">
        <v>1711</v>
      </c>
      <c r="H14" s="208" t="str">
        <f>HYPERLINK("#CB_m1!code중SIBLING_T","SIBLING_T")</f>
        <v>SIBLING_T</v>
      </c>
      <c r="I14" s="216"/>
      <c r="J14" s="216" t="s">
        <v>15</v>
      </c>
    </row>
    <row r="15" spans="2:10" ht="18" customHeight="1">
      <c r="B15" s="160" t="s">
        <v>1302</v>
      </c>
      <c r="C15" s="100" t="s">
        <v>1302</v>
      </c>
      <c r="D15" s="100" t="s">
        <v>1302</v>
      </c>
      <c r="E15" s="100" t="s">
        <v>1302</v>
      </c>
      <c r="F15" s="100" t="s">
        <v>1302</v>
      </c>
      <c r="G15" s="94" t="s">
        <v>1676</v>
      </c>
      <c r="H15" s="206" t="str">
        <f>HYPERLINK("#CB_m1!code중SGRADE","SGRADE")</f>
        <v>SGRADE</v>
      </c>
      <c r="I15" s="217"/>
      <c r="J15" s="217" t="s">
        <v>15</v>
      </c>
    </row>
    <row r="16" spans="2:10" ht="18" customHeight="1">
      <c r="B16" s="89" t="s">
        <v>1302</v>
      </c>
      <c r="C16" s="90" t="s">
        <v>1301</v>
      </c>
      <c r="D16" s="90" t="s">
        <v>1301</v>
      </c>
      <c r="E16" s="90" t="s">
        <v>1302</v>
      </c>
      <c r="F16" s="90" t="s">
        <v>1301</v>
      </c>
      <c r="G16" s="97" t="s">
        <v>1678</v>
      </c>
      <c r="H16" s="204" t="str">
        <f>HYPERLINK("#CB_m1!code중SURVEY1","SURVEY1")</f>
        <v>SURVEY1</v>
      </c>
      <c r="I16" s="215"/>
      <c r="J16" s="215" t="s">
        <v>1576</v>
      </c>
    </row>
    <row r="17" spans="2:10" ht="18" customHeight="1">
      <c r="B17" s="160" t="s">
        <v>1302</v>
      </c>
      <c r="C17" s="100" t="s">
        <v>1301</v>
      </c>
      <c r="D17" s="100" t="s">
        <v>1301</v>
      </c>
      <c r="E17" s="100" t="s">
        <v>1302</v>
      </c>
      <c r="F17" s="100" t="s">
        <v>1301</v>
      </c>
      <c r="G17" s="94" t="s">
        <v>1677</v>
      </c>
      <c r="H17" s="206" t="str">
        <f>HYPERLINK("#CB_m1!code중SURVEY2","SURVEY2")</f>
        <v>SURVEY2</v>
      </c>
      <c r="I17" s="217"/>
      <c r="J17" s="217" t="s">
        <v>1576</v>
      </c>
    </row>
    <row r="18" spans="2:10" ht="18" customHeight="1">
      <c r="B18" s="87" t="s">
        <v>1302</v>
      </c>
      <c r="C18" s="92" t="s">
        <v>1302</v>
      </c>
      <c r="D18" s="92" t="s">
        <v>1302</v>
      </c>
      <c r="E18" s="92" t="s">
        <v>1302</v>
      </c>
      <c r="F18" s="92" t="s">
        <v>1301</v>
      </c>
      <c r="G18" s="94" t="s">
        <v>1333</v>
      </c>
      <c r="H18" s="212" t="str">
        <f>HYPERLINK("#CB_m1!code중COHORT","COHORT")</f>
        <v>COHORT</v>
      </c>
      <c r="I18" s="217" t="s">
        <v>14</v>
      </c>
      <c r="J18" s="217" t="s">
        <v>1576</v>
      </c>
    </row>
    <row r="19" spans="2:10" ht="18" customHeight="1">
      <c r="B19" s="96" t="s">
        <v>1427</v>
      </c>
      <c r="C19" s="90" t="s">
        <v>1301</v>
      </c>
      <c r="D19" s="90" t="s">
        <v>1301</v>
      </c>
      <c r="E19" s="90" t="s">
        <v>1</v>
      </c>
      <c r="F19" s="90" t="s">
        <v>1</v>
      </c>
      <c r="G19" s="97" t="s">
        <v>1298</v>
      </c>
      <c r="H19" s="210" t="str">
        <f>HYPERLINK("#CB_m1!code중ARA1A","ARA1A")</f>
        <v>ARA1A</v>
      </c>
      <c r="I19" s="215" t="s">
        <v>14</v>
      </c>
      <c r="J19" s="215" t="s">
        <v>14</v>
      </c>
    </row>
    <row r="20" spans="2:10" ht="18" customHeight="1">
      <c r="B20" s="101" t="s">
        <v>1421</v>
      </c>
      <c r="C20" s="92" t="s">
        <v>1</v>
      </c>
      <c r="D20" s="92" t="s">
        <v>1</v>
      </c>
      <c r="E20" s="92" t="s">
        <v>1</v>
      </c>
      <c r="F20" s="92" t="s">
        <v>1</v>
      </c>
      <c r="G20" s="91" t="s">
        <v>1801</v>
      </c>
      <c r="H20" s="208" t="str">
        <f>HYPERLINK("#CB_m1!code중ARA2A","ARA2A")</f>
        <v>ARA2A</v>
      </c>
      <c r="I20" s="216" t="s">
        <v>13</v>
      </c>
      <c r="J20" s="216" t="s">
        <v>13</v>
      </c>
    </row>
    <row r="21" spans="2:10" ht="18" customHeight="1">
      <c r="B21" s="99" t="s">
        <v>1421</v>
      </c>
      <c r="C21" s="100" t="s">
        <v>1301</v>
      </c>
      <c r="D21" s="100" t="s">
        <v>1</v>
      </c>
      <c r="E21" s="100" t="s">
        <v>1428</v>
      </c>
      <c r="F21" s="100" t="s">
        <v>1301</v>
      </c>
      <c r="G21" s="94" t="s">
        <v>1299</v>
      </c>
      <c r="H21" s="212" t="str">
        <f>HYPERLINK("#CB_m1!code중ARA1B","ARA1B")</f>
        <v>ARA1B</v>
      </c>
      <c r="I21" s="217" t="s">
        <v>14</v>
      </c>
      <c r="J21" s="217" t="s">
        <v>14</v>
      </c>
    </row>
    <row r="22" spans="2:10" ht="18" customHeight="1">
      <c r="B22" s="101" t="s">
        <v>1427</v>
      </c>
      <c r="C22" s="92" t="s">
        <v>1301</v>
      </c>
      <c r="D22" s="92" t="s">
        <v>1301</v>
      </c>
      <c r="E22" s="92" t="s">
        <v>1</v>
      </c>
      <c r="F22" s="92" t="s">
        <v>1302</v>
      </c>
      <c r="G22" s="91" t="s">
        <v>1300</v>
      </c>
      <c r="H22" s="212" t="str">
        <f>HYPERLINK("#CB_m1!code중YTWIN","YTWIN")</f>
        <v>YTWIN</v>
      </c>
      <c r="I22" s="216" t="s">
        <v>1110</v>
      </c>
      <c r="J22" s="216" t="s">
        <v>1110</v>
      </c>
    </row>
    <row r="23" spans="2:10" ht="18" customHeight="1">
      <c r="B23" s="96" t="s">
        <v>1427</v>
      </c>
      <c r="C23" s="90" t="s">
        <v>1301</v>
      </c>
      <c r="D23" s="90" t="s">
        <v>1301</v>
      </c>
      <c r="E23" s="90" t="s">
        <v>1428</v>
      </c>
      <c r="F23" s="90" t="s">
        <v>1301</v>
      </c>
      <c r="G23" s="97" t="s">
        <v>19</v>
      </c>
      <c r="H23" s="210" t="str">
        <f>HYPERLINK("#CB_m1!code중YBRT1A","YBRT1A")</f>
        <v>YBRT1A</v>
      </c>
      <c r="I23" s="205" t="str">
        <f>HYPERLINK("#QN18_m1!q18중YBRT1A","SQ1")</f>
        <v>SQ1</v>
      </c>
      <c r="J23" s="205" t="str">
        <f>HYPERLINK("#QN19_m1!q19중YBRT1A","SQ1")</f>
        <v>SQ1</v>
      </c>
    </row>
    <row r="24" spans="2:10" ht="18" customHeight="1">
      <c r="B24" s="99" t="s">
        <v>1427</v>
      </c>
      <c r="C24" s="100" t="s">
        <v>1302</v>
      </c>
      <c r="D24" s="100" t="s">
        <v>1301</v>
      </c>
      <c r="E24" s="100" t="s">
        <v>1428</v>
      </c>
      <c r="F24" s="100" t="s">
        <v>1301</v>
      </c>
      <c r="G24" s="94" t="s">
        <v>20</v>
      </c>
      <c r="H24" s="212" t="str">
        <f>HYPERLINK("#CB_m1!code중YBRT1B","YBRT1B")</f>
        <v>YBRT1B</v>
      </c>
      <c r="I24" s="207" t="str">
        <f>HYPERLINK("#QN18_m1!q18중YBRT1B","SQ1")</f>
        <v>SQ1</v>
      </c>
      <c r="J24" s="207" t="str">
        <f>HYPERLINK("#QN19_m1!q19중YBRT1B","SQ1")</f>
        <v>SQ1</v>
      </c>
    </row>
    <row r="25" spans="2:10" ht="18" customHeight="1">
      <c r="B25" s="99" t="s">
        <v>1427</v>
      </c>
      <c r="C25" s="100" t="s">
        <v>1301</v>
      </c>
      <c r="D25" s="100" t="s">
        <v>1301</v>
      </c>
      <c r="E25" s="100" t="s">
        <v>1</v>
      </c>
      <c r="F25" s="100" t="s">
        <v>1</v>
      </c>
      <c r="G25" s="94" t="s">
        <v>21</v>
      </c>
      <c r="H25" s="212" t="str">
        <f>HYPERLINK("#CB_m1!code중YGENDER","YGENDER")</f>
        <v>YGENDER</v>
      </c>
      <c r="I25" s="207" t="str">
        <f>HYPERLINK("#QN18_m1!q18중YGENDER","SQ2")</f>
        <v>SQ2</v>
      </c>
      <c r="J25" s="207" t="str">
        <f>HYPERLINK("#QN19_m1!q19중YGENDER","SQ2")</f>
        <v>SQ2</v>
      </c>
    </row>
    <row r="26" spans="2:10" ht="18" customHeight="1">
      <c r="B26" s="96" t="s">
        <v>1119</v>
      </c>
      <c r="C26" s="90" t="s">
        <v>1120</v>
      </c>
      <c r="D26" s="90" t="s">
        <v>1121</v>
      </c>
      <c r="E26" s="90" t="s">
        <v>1122</v>
      </c>
      <c r="F26" s="90" t="s">
        <v>1301</v>
      </c>
      <c r="G26" s="97" t="s">
        <v>1203</v>
      </c>
      <c r="H26" s="210" t="str">
        <f>HYPERLINK("#CB_m1!code중YTIM1A01","YTIM1A01")</f>
        <v>YTIM1A01</v>
      </c>
      <c r="I26" s="205" t="str">
        <f>HYPERLINK("#QN18_m1!q18중YTIM1A01","문1-1-1a")</f>
        <v>문1-1-1a</v>
      </c>
      <c r="J26" s="205" t="str">
        <f>HYPERLINK("#QN19_m1!q19중YTIM1A01","문1-1-1a")</f>
        <v>문1-1-1a</v>
      </c>
    </row>
    <row r="27" spans="2:10" ht="18" customHeight="1">
      <c r="B27" s="101" t="s">
        <v>1119</v>
      </c>
      <c r="C27" s="92" t="s">
        <v>1120</v>
      </c>
      <c r="D27" s="92" t="s">
        <v>1121</v>
      </c>
      <c r="E27" s="92" t="s">
        <v>1122</v>
      </c>
      <c r="F27" s="92" t="s">
        <v>1301</v>
      </c>
      <c r="G27" s="91" t="s">
        <v>1204</v>
      </c>
      <c r="H27" s="211" t="str">
        <f>HYPERLINK("#CB_m1!code중YTIM1A02","YTIM1A02")</f>
        <v>YTIM1A02</v>
      </c>
      <c r="I27" s="209" t="str">
        <f>HYPERLINK("#QN18_m1!q18중YTIM1A02","문1-1-1a")</f>
        <v>문1-1-1a</v>
      </c>
      <c r="J27" s="209" t="str">
        <f>HYPERLINK("#QN19_m1!q19중YTIM1A02","문1-1-1a")</f>
        <v>문1-1-1a</v>
      </c>
    </row>
    <row r="28" spans="2:10" ht="18" customHeight="1">
      <c r="B28" s="101" t="s">
        <v>1119</v>
      </c>
      <c r="C28" s="92" t="s">
        <v>1120</v>
      </c>
      <c r="D28" s="92" t="s">
        <v>1121</v>
      </c>
      <c r="E28" s="92" t="s">
        <v>1122</v>
      </c>
      <c r="F28" s="92" t="s">
        <v>1301</v>
      </c>
      <c r="G28" s="91" t="s">
        <v>1205</v>
      </c>
      <c r="H28" s="211" t="str">
        <f>HYPERLINK("#CB_m1!code중YTIM1B01","YTIM1B01")</f>
        <v>YTIM1B01</v>
      </c>
      <c r="I28" s="209" t="str">
        <f>HYPERLINK("#QN18_m1!q18중YTIM1B01","문1-1-2a")</f>
        <v>문1-1-2a</v>
      </c>
      <c r="J28" s="209" t="str">
        <f>HYPERLINK("#QN19_m1!q19중YTIM1B01","문1-1-2a")</f>
        <v>문1-1-2a</v>
      </c>
    </row>
    <row r="29" spans="2:10" ht="18" customHeight="1">
      <c r="B29" s="101" t="s">
        <v>1119</v>
      </c>
      <c r="C29" s="92" t="s">
        <v>1120</v>
      </c>
      <c r="D29" s="92" t="s">
        <v>1121</v>
      </c>
      <c r="E29" s="92" t="s">
        <v>1122</v>
      </c>
      <c r="F29" s="92" t="s">
        <v>1301</v>
      </c>
      <c r="G29" s="91" t="s">
        <v>1206</v>
      </c>
      <c r="H29" s="211" t="str">
        <f>HYPERLINK("#CB_m1!code중YTIM1B02","YTIM1B02")</f>
        <v>YTIM1B02</v>
      </c>
      <c r="I29" s="209" t="str">
        <f>HYPERLINK("#QN18_m1!q18중YTIM1B02","문1-1-2a")</f>
        <v>문1-1-2a</v>
      </c>
      <c r="J29" s="209" t="str">
        <f>HYPERLINK("#QN19_m1!q19중YTIM1B02","문1-1-2a")</f>
        <v>문1-1-2a</v>
      </c>
    </row>
    <row r="30" spans="2:10" ht="18" customHeight="1">
      <c r="B30" s="99" t="s">
        <v>1119</v>
      </c>
      <c r="C30" s="100" t="s">
        <v>1120</v>
      </c>
      <c r="D30" s="100" t="s">
        <v>1121</v>
      </c>
      <c r="E30" s="100" t="s">
        <v>1123</v>
      </c>
      <c r="F30" s="100" t="s">
        <v>1301</v>
      </c>
      <c r="G30" s="94" t="s">
        <v>1207</v>
      </c>
      <c r="H30" s="212" t="str">
        <f>HYPERLINK("#CB_m1!code중YTIM1C01","YTIM1C01")</f>
        <v>YTIM1C01</v>
      </c>
      <c r="I30" s="207" t="str">
        <f>HYPERLINK("#QN18_m1!q18중YTIM1C01","문1-1-3a")</f>
        <v>문1-1-3a</v>
      </c>
      <c r="J30" s="207" t="str">
        <f>HYPERLINK("#QN19_m1!q19중YTIM1C01","문1-1-3a")</f>
        <v>문1-1-3a</v>
      </c>
    </row>
    <row r="31" spans="2:10" ht="18" customHeight="1">
      <c r="B31" s="96" t="s">
        <v>1119</v>
      </c>
      <c r="C31" s="90" t="s">
        <v>1120</v>
      </c>
      <c r="D31" s="90" t="s">
        <v>1121</v>
      </c>
      <c r="E31" s="90" t="s">
        <v>1122</v>
      </c>
      <c r="F31" s="90" t="s">
        <v>1</v>
      </c>
      <c r="G31" s="97" t="s">
        <v>1208</v>
      </c>
      <c r="H31" s="210" t="str">
        <f>HYPERLINK("#CB_m1!code중YTIM1A03","YTIM1A03")</f>
        <v>YTIM1A03</v>
      </c>
      <c r="I31" s="205" t="str">
        <f>HYPERLINK("#QN18_m1!q18중YTIM1A03","문1-1-1b")</f>
        <v>문1-1-1b</v>
      </c>
      <c r="J31" s="205" t="str">
        <f>HYPERLINK("#QN19_m1!q19중YTIM1A03","문1-1-1b")</f>
        <v>문1-1-1b</v>
      </c>
    </row>
    <row r="32" spans="2:10" ht="18" customHeight="1">
      <c r="B32" s="101" t="s">
        <v>1119</v>
      </c>
      <c r="C32" s="92" t="s">
        <v>1120</v>
      </c>
      <c r="D32" s="92" t="s">
        <v>1121</v>
      </c>
      <c r="E32" s="92" t="s">
        <v>1122</v>
      </c>
      <c r="F32" s="92" t="s">
        <v>1301</v>
      </c>
      <c r="G32" s="91" t="s">
        <v>1209</v>
      </c>
      <c r="H32" s="211" t="str">
        <f>HYPERLINK("#CB_m1!code중YTIM1A04","YTIM1A04")</f>
        <v>YTIM1A04</v>
      </c>
      <c r="I32" s="209" t="str">
        <f>HYPERLINK("#QN18_m1!q18중YTIM1A04","문1-1-1b")</f>
        <v>문1-1-1b</v>
      </c>
      <c r="J32" s="209" t="str">
        <f>HYPERLINK("#QN19_m1!q19중YTIM1A04","문1-1-1b")</f>
        <v>문1-1-1b</v>
      </c>
    </row>
    <row r="33" spans="2:10" ht="18" customHeight="1">
      <c r="B33" s="101" t="s">
        <v>1119</v>
      </c>
      <c r="C33" s="92" t="s">
        <v>1120</v>
      </c>
      <c r="D33" s="92" t="s">
        <v>1121</v>
      </c>
      <c r="E33" s="92" t="s">
        <v>1122</v>
      </c>
      <c r="F33" s="92" t="s">
        <v>1301</v>
      </c>
      <c r="G33" s="91" t="s">
        <v>1210</v>
      </c>
      <c r="H33" s="211" t="str">
        <f>HYPERLINK("#CB_m1!code중YTIM1B03","YTIM1B03")</f>
        <v>YTIM1B03</v>
      </c>
      <c r="I33" s="209" t="str">
        <f>HYPERLINK("#QN18_m1!q18중YTIM1B03","문1-1-2b")</f>
        <v>문1-1-2b</v>
      </c>
      <c r="J33" s="209" t="str">
        <f>HYPERLINK("#QN19_m1!q19중YTIM1B03","문1-1-2b")</f>
        <v>문1-1-2b</v>
      </c>
    </row>
    <row r="34" spans="2:10" ht="18" customHeight="1">
      <c r="B34" s="101" t="s">
        <v>1119</v>
      </c>
      <c r="C34" s="92" t="s">
        <v>1120</v>
      </c>
      <c r="D34" s="92" t="s">
        <v>1121</v>
      </c>
      <c r="E34" s="92" t="s">
        <v>1122</v>
      </c>
      <c r="F34" s="92" t="s">
        <v>1301</v>
      </c>
      <c r="G34" s="91" t="s">
        <v>1211</v>
      </c>
      <c r="H34" s="211" t="str">
        <f>HYPERLINK("#CB_m1!code중YTIM1B04","YTIM1B04")</f>
        <v>YTIM1B04</v>
      </c>
      <c r="I34" s="209" t="str">
        <f>HYPERLINK("#QN18_m1!q18중YTIM1B04","문1-1-2b")</f>
        <v>문1-1-2b</v>
      </c>
      <c r="J34" s="209" t="str">
        <f>HYPERLINK("#QN19_m1!q19중YTIM1B04","문1-1-2b")</f>
        <v>문1-1-2b</v>
      </c>
    </row>
    <row r="35" spans="2:10" ht="18" customHeight="1">
      <c r="B35" s="99" t="s">
        <v>1119</v>
      </c>
      <c r="C35" s="100" t="s">
        <v>1120</v>
      </c>
      <c r="D35" s="100" t="s">
        <v>1121</v>
      </c>
      <c r="E35" s="100" t="s">
        <v>1123</v>
      </c>
      <c r="F35" s="100" t="s">
        <v>1302</v>
      </c>
      <c r="G35" s="94" t="s">
        <v>1212</v>
      </c>
      <c r="H35" s="212" t="str">
        <f>HYPERLINK("#CB_m1!code중YTIM1C02","YTIM1C02")</f>
        <v>YTIM1C02</v>
      </c>
      <c r="I35" s="207" t="str">
        <f>HYPERLINK("#QN18_m1!q18중YTIM1C02","문1-1-3b")</f>
        <v>문1-1-3b</v>
      </c>
      <c r="J35" s="207" t="str">
        <f>HYPERLINK("#QN19_m1!q19중YTIM1C02","문1-1-3b")</f>
        <v>문1-1-3b</v>
      </c>
    </row>
    <row r="36" spans="2:10" ht="18" customHeight="1">
      <c r="B36" s="96" t="s">
        <v>1119</v>
      </c>
      <c r="C36" s="90" t="s">
        <v>1120</v>
      </c>
      <c r="D36" s="90" t="s">
        <v>1121</v>
      </c>
      <c r="E36" s="90" t="s">
        <v>1124</v>
      </c>
      <c r="F36" s="90" t="s">
        <v>1</v>
      </c>
      <c r="G36" s="97" t="s">
        <v>1213</v>
      </c>
      <c r="H36" s="210" t="str">
        <f>HYPERLINK("#CB_m1!code중YTIM1D01","YTIM1D01")</f>
        <v>YTIM1D01</v>
      </c>
      <c r="I36" s="205" t="str">
        <f>HYPERLINK("#QN18_m1!q18중YTIM1D01","문1-2")</f>
        <v>문1-2</v>
      </c>
      <c r="J36" s="205" t="str">
        <f>HYPERLINK("#QN19_m1!q19중YTIM1D01","문1-2")</f>
        <v>문1-2</v>
      </c>
    </row>
    <row r="37" spans="2:10" ht="18" customHeight="1">
      <c r="B37" s="99" t="s">
        <v>1119</v>
      </c>
      <c r="C37" s="100" t="s">
        <v>1120</v>
      </c>
      <c r="D37" s="100" t="s">
        <v>1121</v>
      </c>
      <c r="E37" s="100" t="s">
        <v>1124</v>
      </c>
      <c r="F37" s="100" t="s">
        <v>1301</v>
      </c>
      <c r="G37" s="94" t="s">
        <v>1214</v>
      </c>
      <c r="H37" s="212" t="str">
        <f>HYPERLINK("#CB_m1!code중YTIM1D02","YTIM1D02")</f>
        <v>YTIM1D02</v>
      </c>
      <c r="I37" s="207" t="str">
        <f>HYPERLINK("#QN18_m1!q18중YTIM1D02","문1-2")</f>
        <v>문1-2</v>
      </c>
      <c r="J37" s="207" t="str">
        <f>HYPERLINK("#QN19_m1!q19중YTIM1D02","문1-2")</f>
        <v>문1-2</v>
      </c>
    </row>
    <row r="38" spans="2:10" ht="18" customHeight="1">
      <c r="B38" s="96" t="s">
        <v>1119</v>
      </c>
      <c r="C38" s="90" t="s">
        <v>1120</v>
      </c>
      <c r="D38" s="90" t="s">
        <v>1121</v>
      </c>
      <c r="E38" s="90" t="s">
        <v>1125</v>
      </c>
      <c r="F38" s="90" t="s">
        <v>1301</v>
      </c>
      <c r="G38" s="97" t="s">
        <v>1215</v>
      </c>
      <c r="H38" s="210" t="str">
        <f>HYPERLINK("#CB_m1!code중YTIM1E01","YTIM1E01")</f>
        <v>YTIM1E01</v>
      </c>
      <c r="I38" s="205" t="str">
        <f>HYPERLINK("#QN18_m1!q18중YTIM1E01","문1-3")</f>
        <v>문1-3</v>
      </c>
      <c r="J38" s="205" t="str">
        <f>HYPERLINK("#QN19_m1!q19중YTIM1E01","문1-3")</f>
        <v>문1-3</v>
      </c>
    </row>
    <row r="39" spans="2:10" ht="18" customHeight="1">
      <c r="B39" s="101" t="s">
        <v>1119</v>
      </c>
      <c r="C39" s="92" t="s">
        <v>1120</v>
      </c>
      <c r="D39" s="92" t="s">
        <v>1121</v>
      </c>
      <c r="E39" s="92" t="s">
        <v>1125</v>
      </c>
      <c r="F39" s="92" t="s">
        <v>1301</v>
      </c>
      <c r="G39" s="91" t="s">
        <v>1216</v>
      </c>
      <c r="H39" s="211" t="str">
        <f>HYPERLINK("#CB_m1!code중YTIM1E02","YTIM1E02")</f>
        <v>YTIM1E02</v>
      </c>
      <c r="I39" s="209" t="str">
        <f>HYPERLINK("#QN18_m1!q18중YTIM1E02","문1-3")</f>
        <v>문1-3</v>
      </c>
      <c r="J39" s="209" t="str">
        <f>HYPERLINK("#QN19_m1!q19중YTIM1E02","문1-3")</f>
        <v>문1-3</v>
      </c>
    </row>
    <row r="40" spans="2:10" ht="18" customHeight="1">
      <c r="B40" s="101" t="s">
        <v>1119</v>
      </c>
      <c r="C40" s="92" t="s">
        <v>1120</v>
      </c>
      <c r="D40" s="92" t="s">
        <v>1121</v>
      </c>
      <c r="E40" s="92" t="s">
        <v>1125</v>
      </c>
      <c r="F40" s="92" t="s">
        <v>1301</v>
      </c>
      <c r="G40" s="91" t="s">
        <v>1217</v>
      </c>
      <c r="H40" s="211" t="str">
        <f>HYPERLINK("#CB_m1!code중YTIM1F01","YTIM1F01")</f>
        <v>YTIM1F01</v>
      </c>
      <c r="I40" s="209" t="str">
        <f>HYPERLINK("#QN18_m1!q18중YTIM1F01","문1-4")</f>
        <v>문1-4</v>
      </c>
      <c r="J40" s="209" t="str">
        <f>HYPERLINK("#QN19_m1!q19중YTIM1F01","문1-4")</f>
        <v>문1-4</v>
      </c>
    </row>
    <row r="41" spans="2:10" ht="18" customHeight="1">
      <c r="B41" s="101" t="s">
        <v>1119</v>
      </c>
      <c r="C41" s="92" t="s">
        <v>1120</v>
      </c>
      <c r="D41" s="92" t="s">
        <v>1121</v>
      </c>
      <c r="E41" s="92" t="s">
        <v>1125</v>
      </c>
      <c r="F41" s="92" t="s">
        <v>1301</v>
      </c>
      <c r="G41" s="91" t="s">
        <v>1218</v>
      </c>
      <c r="H41" s="211" t="str">
        <f>HYPERLINK("#CB_m1!code중YTIM1F02","YTIM1F02")</f>
        <v>YTIM1F02</v>
      </c>
      <c r="I41" s="209" t="str">
        <f>HYPERLINK("#QN18_m1!q18중YTIM1F02","문1-4")</f>
        <v>문1-4</v>
      </c>
      <c r="J41" s="209" t="str">
        <f>HYPERLINK("#QN19_m1!q19중YTIM1F02","문1-4")</f>
        <v>문1-4</v>
      </c>
    </row>
    <row r="42" spans="2:10" ht="18" customHeight="1">
      <c r="B42" s="101" t="s">
        <v>1119</v>
      </c>
      <c r="C42" s="92" t="s">
        <v>1120</v>
      </c>
      <c r="D42" s="92" t="s">
        <v>1121</v>
      </c>
      <c r="E42" s="92" t="s">
        <v>1125</v>
      </c>
      <c r="F42" s="92" t="s">
        <v>1302</v>
      </c>
      <c r="G42" s="91" t="s">
        <v>1219</v>
      </c>
      <c r="H42" s="211" t="str">
        <f>HYPERLINK("#CB_m1!code중YTIM1G01","YTIM1G01")</f>
        <v>YTIM1G01</v>
      </c>
      <c r="I42" s="209" t="str">
        <f>HYPERLINK("#QN18_m1!q18중YTIM1G01","문1-5")</f>
        <v>문1-5</v>
      </c>
      <c r="J42" s="209" t="str">
        <f>HYPERLINK("#QN19_m1!q19중YTIM1G01","문1-5")</f>
        <v>문1-5</v>
      </c>
    </row>
    <row r="43" spans="2:10" ht="18" customHeight="1">
      <c r="B43" s="101" t="s">
        <v>1119</v>
      </c>
      <c r="C43" s="92" t="s">
        <v>1120</v>
      </c>
      <c r="D43" s="92" t="s">
        <v>1121</v>
      </c>
      <c r="E43" s="92" t="s">
        <v>1125</v>
      </c>
      <c r="F43" s="92" t="s">
        <v>1301</v>
      </c>
      <c r="G43" s="91" t="s">
        <v>1220</v>
      </c>
      <c r="H43" s="211" t="str">
        <f>HYPERLINK("#CB_m1!code중YTIM1G02","YTIM1G02")</f>
        <v>YTIM1G02</v>
      </c>
      <c r="I43" s="209" t="str">
        <f>HYPERLINK("#QN18_m1!q18중YTIM1G02","문1-5")</f>
        <v>문1-5</v>
      </c>
      <c r="J43" s="209" t="str">
        <f>HYPERLINK("#QN19_m1!q19중YTIM1G02","문1-5")</f>
        <v>문1-5</v>
      </c>
    </row>
    <row r="44" spans="2:10" ht="18" customHeight="1">
      <c r="B44" s="101" t="s">
        <v>1119</v>
      </c>
      <c r="C44" s="92" t="s">
        <v>1120</v>
      </c>
      <c r="D44" s="92" t="s">
        <v>1121</v>
      </c>
      <c r="E44" s="92" t="s">
        <v>1125</v>
      </c>
      <c r="F44" s="92" t="s">
        <v>1302</v>
      </c>
      <c r="G44" s="91" t="s">
        <v>1221</v>
      </c>
      <c r="H44" s="211" t="str">
        <f>HYPERLINK("#CB_m1!code중YTIM1H01","YTIM1H01")</f>
        <v>YTIM1H01</v>
      </c>
      <c r="I44" s="209" t="str">
        <f>HYPERLINK("#QN18_m1!q18중YTIM1H01","문1-6")</f>
        <v>문1-6</v>
      </c>
      <c r="J44" s="209" t="str">
        <f>HYPERLINK("#QN19_m1!q19중YTIM1H01","문1-6")</f>
        <v>문1-6</v>
      </c>
    </row>
    <row r="45" spans="2:10" ht="18" customHeight="1">
      <c r="B45" s="99" t="s">
        <v>1119</v>
      </c>
      <c r="C45" s="100" t="s">
        <v>1120</v>
      </c>
      <c r="D45" s="100" t="s">
        <v>1121</v>
      </c>
      <c r="E45" s="100" t="s">
        <v>1125</v>
      </c>
      <c r="F45" s="100" t="s">
        <v>1302</v>
      </c>
      <c r="G45" s="94" t="s">
        <v>1222</v>
      </c>
      <c r="H45" s="212" t="str">
        <f>HYPERLINK("#CB_m1!code중YTIM1H02","YTIM1H02")</f>
        <v>YTIM1H02</v>
      </c>
      <c r="I45" s="207" t="str">
        <f>HYPERLINK("#QN18_m1!q18중YTIM1H02","문1-6")</f>
        <v>문1-6</v>
      </c>
      <c r="J45" s="207" t="str">
        <f>HYPERLINK("#QN19_m1!q19중YTIM1H02","문1-6")</f>
        <v>문1-6</v>
      </c>
    </row>
    <row r="46" spans="2:10" ht="18" customHeight="1">
      <c r="B46" s="96" t="s">
        <v>1119</v>
      </c>
      <c r="C46" s="90" t="s">
        <v>1120</v>
      </c>
      <c r="D46" s="90" t="s">
        <v>1121</v>
      </c>
      <c r="E46" s="90" t="s">
        <v>1126</v>
      </c>
      <c r="F46" s="90" t="s">
        <v>1303</v>
      </c>
      <c r="G46" s="97" t="s">
        <v>1223</v>
      </c>
      <c r="H46" s="210" t="str">
        <f>HYPERLINK("#CB_m1!code중YTIM1I01","YTIM1I01")</f>
        <v>YTIM1I01</v>
      </c>
      <c r="I46" s="205" t="str">
        <f>HYPERLINK("#QN18_m1!q18중YTIM1I01","문1-7")</f>
        <v>문1-7</v>
      </c>
      <c r="J46" s="205" t="str">
        <f>HYPERLINK("#QN19_m1!q19중YTIM1I01","문1-7")</f>
        <v>문1-7</v>
      </c>
    </row>
    <row r="47" spans="2:10" ht="18" customHeight="1">
      <c r="B47" s="101" t="s">
        <v>1119</v>
      </c>
      <c r="C47" s="92" t="s">
        <v>1120</v>
      </c>
      <c r="D47" s="92" t="s">
        <v>1121</v>
      </c>
      <c r="E47" s="92" t="s">
        <v>1126</v>
      </c>
      <c r="F47" s="92" t="s">
        <v>1302</v>
      </c>
      <c r="G47" s="91" t="s">
        <v>1224</v>
      </c>
      <c r="H47" s="211" t="str">
        <f>HYPERLINK("#CB_m1!code중YTIM1I02","YTIM1I02")</f>
        <v>YTIM1I02</v>
      </c>
      <c r="I47" s="209" t="str">
        <f>HYPERLINK("#QN18_m1!q18중YTIM1I02","문1-7")</f>
        <v>문1-7</v>
      </c>
      <c r="J47" s="209" t="str">
        <f>HYPERLINK("#QN19_m1!q19중YTIM1I02","문1-7")</f>
        <v>문1-7</v>
      </c>
    </row>
    <row r="48" spans="2:10" ht="18" customHeight="1">
      <c r="B48" s="101" t="s">
        <v>1119</v>
      </c>
      <c r="C48" s="92" t="s">
        <v>1120</v>
      </c>
      <c r="D48" s="92" t="s">
        <v>1121</v>
      </c>
      <c r="E48" s="92" t="s">
        <v>1126</v>
      </c>
      <c r="F48" s="92" t="s">
        <v>1301</v>
      </c>
      <c r="G48" s="91" t="s">
        <v>1225</v>
      </c>
      <c r="H48" s="211" t="str">
        <f>HYPERLINK("#CB_m1!code중YTIM1J01","YTIM1J01")</f>
        <v>YTIM1J01</v>
      </c>
      <c r="I48" s="209" t="str">
        <f>HYPERLINK("#QN18_m1!q18중YTIM1J01","문1-8")</f>
        <v>문1-8</v>
      </c>
      <c r="J48" s="209" t="str">
        <f>HYPERLINK("#QN19_m1!q19중YTIM1J01","문1-8")</f>
        <v>문1-8</v>
      </c>
    </row>
    <row r="49" spans="2:10" ht="18" customHeight="1">
      <c r="B49" s="101" t="s">
        <v>1119</v>
      </c>
      <c r="C49" s="92" t="s">
        <v>1120</v>
      </c>
      <c r="D49" s="92" t="s">
        <v>1121</v>
      </c>
      <c r="E49" s="92" t="s">
        <v>1126</v>
      </c>
      <c r="F49" s="92" t="s">
        <v>1302</v>
      </c>
      <c r="G49" s="91" t="s">
        <v>1226</v>
      </c>
      <c r="H49" s="211" t="str">
        <f>HYPERLINK("#CB_m1!code중YTIM1J02","YTIM1J02")</f>
        <v>YTIM1J02</v>
      </c>
      <c r="I49" s="209" t="str">
        <f>HYPERLINK("#QN18_m1!q18중YTIM1J02","문1-8")</f>
        <v>문1-8</v>
      </c>
      <c r="J49" s="209" t="str">
        <f>HYPERLINK("#QN19_m1!q19중YTIM1J02","문1-8")</f>
        <v>문1-8</v>
      </c>
    </row>
    <row r="50" spans="2:10" ht="18" customHeight="1">
      <c r="B50" s="101" t="s">
        <v>1119</v>
      </c>
      <c r="C50" s="92" t="s">
        <v>1120</v>
      </c>
      <c r="D50" s="92" t="s">
        <v>1121</v>
      </c>
      <c r="E50" s="92" t="s">
        <v>1126</v>
      </c>
      <c r="F50" s="92" t="s">
        <v>1301</v>
      </c>
      <c r="G50" s="91" t="s">
        <v>1227</v>
      </c>
      <c r="H50" s="211" t="str">
        <f>HYPERLINK("#CB_m1!code중YTIM1K01","YTIM1K01")</f>
        <v>YTIM1K01</v>
      </c>
      <c r="I50" s="209" t="str">
        <f>HYPERLINK("#QN18_m1!q18중YTIM1K01","문1-9")</f>
        <v>문1-9</v>
      </c>
      <c r="J50" s="209" t="str">
        <f>HYPERLINK("#QN19_m1!q19중YTIM1K01","문1-9")</f>
        <v>문1-9</v>
      </c>
    </row>
    <row r="51" spans="2:10" ht="18" customHeight="1">
      <c r="B51" s="101" t="s">
        <v>1119</v>
      </c>
      <c r="C51" s="92" t="s">
        <v>1120</v>
      </c>
      <c r="D51" s="92" t="s">
        <v>1121</v>
      </c>
      <c r="E51" s="92" t="s">
        <v>1126</v>
      </c>
      <c r="F51" s="92" t="s">
        <v>1302</v>
      </c>
      <c r="G51" s="91" t="s">
        <v>1228</v>
      </c>
      <c r="H51" s="211" t="str">
        <f>HYPERLINK("#CB_m1!code중YTIM1K02","YTIM1K02")</f>
        <v>YTIM1K02</v>
      </c>
      <c r="I51" s="209" t="str">
        <f>HYPERLINK("#QN18_m1!q18중YTIM1K02","문1-9")</f>
        <v>문1-9</v>
      </c>
      <c r="J51" s="209" t="str">
        <f>HYPERLINK("#QN19_m1!q19중YTIM1K02","문1-9")</f>
        <v>문1-9</v>
      </c>
    </row>
    <row r="52" spans="2:10" ht="18" customHeight="1">
      <c r="B52" s="101" t="s">
        <v>1119</v>
      </c>
      <c r="C52" s="92" t="s">
        <v>1120</v>
      </c>
      <c r="D52" s="92" t="s">
        <v>1121</v>
      </c>
      <c r="E52" s="92" t="s">
        <v>1126</v>
      </c>
      <c r="F52" s="92" t="s">
        <v>1302</v>
      </c>
      <c r="G52" s="91" t="s">
        <v>1229</v>
      </c>
      <c r="H52" s="211" t="str">
        <f>HYPERLINK("#CB_m1!code중YTIM1L01","YTIM1L01")</f>
        <v>YTIM1L01</v>
      </c>
      <c r="I52" s="209" t="str">
        <f>HYPERLINK("#QN18_m1!q18중YTIM1L01","문1-10")</f>
        <v>문1-10</v>
      </c>
      <c r="J52" s="209" t="str">
        <f>HYPERLINK("#QN19_m1!q19중YTIM1L01","문1-10")</f>
        <v>문1-10</v>
      </c>
    </row>
    <row r="53" spans="2:10" ht="18" customHeight="1">
      <c r="B53" s="101" t="s">
        <v>1119</v>
      </c>
      <c r="C53" s="92" t="s">
        <v>1120</v>
      </c>
      <c r="D53" s="92" t="s">
        <v>1121</v>
      </c>
      <c r="E53" s="92" t="s">
        <v>1126</v>
      </c>
      <c r="F53" s="92" t="s">
        <v>1302</v>
      </c>
      <c r="G53" s="91" t="s">
        <v>1230</v>
      </c>
      <c r="H53" s="211" t="str">
        <f>HYPERLINK("#CB_m1!code중YTIM1L02","YTIM1L02")</f>
        <v>YTIM1L02</v>
      </c>
      <c r="I53" s="209" t="str">
        <f>HYPERLINK("#QN18_m1!q18중YTIM1L02","문1-10")</f>
        <v>문1-10</v>
      </c>
      <c r="J53" s="209" t="str">
        <f>HYPERLINK("#QN19_m1!q19중YTIM1L02","문1-10")</f>
        <v>문1-10</v>
      </c>
    </row>
    <row r="54" spans="2:10" ht="18" customHeight="1">
      <c r="B54" s="101" t="s">
        <v>1119</v>
      </c>
      <c r="C54" s="92" t="s">
        <v>1120</v>
      </c>
      <c r="D54" s="92" t="s">
        <v>1121</v>
      </c>
      <c r="E54" s="92" t="s">
        <v>1126</v>
      </c>
      <c r="F54" s="92" t="s">
        <v>1301</v>
      </c>
      <c r="G54" s="91" t="s">
        <v>1231</v>
      </c>
      <c r="H54" s="211" t="str">
        <f>HYPERLINK("#CB_m1!code중YTIM1M01","YTIM1M01")</f>
        <v>YTIM1M01</v>
      </c>
      <c r="I54" s="209" t="str">
        <f>HYPERLINK("#QN18_m1!q18중YTIM1M01","문1-11")</f>
        <v>문1-11</v>
      </c>
      <c r="J54" s="209" t="str">
        <f>HYPERLINK("#QN19_m1!q19중YTIM1M01","문1-11")</f>
        <v>문1-11</v>
      </c>
    </row>
    <row r="55" spans="2:10" ht="18" customHeight="1">
      <c r="B55" s="101" t="s">
        <v>1119</v>
      </c>
      <c r="C55" s="92" t="s">
        <v>1120</v>
      </c>
      <c r="D55" s="92" t="s">
        <v>1121</v>
      </c>
      <c r="E55" s="92" t="s">
        <v>1126</v>
      </c>
      <c r="F55" s="92" t="s">
        <v>1302</v>
      </c>
      <c r="G55" s="91" t="s">
        <v>1232</v>
      </c>
      <c r="H55" s="211" t="str">
        <f>HYPERLINK("#CB_m1!code중YTIM1M02","YTIM1M02")</f>
        <v>YTIM1M02</v>
      </c>
      <c r="I55" s="209" t="str">
        <f>HYPERLINK("#QN18_m1!q18중YTIM1M02","문1-11")</f>
        <v>문1-11</v>
      </c>
      <c r="J55" s="209" t="str">
        <f>HYPERLINK("#QN19_m1!q19중YTIM1M02","문1-11")</f>
        <v>문1-11</v>
      </c>
    </row>
    <row r="56" spans="2:10" ht="18" customHeight="1">
      <c r="B56" s="101" t="s">
        <v>1119</v>
      </c>
      <c r="C56" s="92" t="s">
        <v>1120</v>
      </c>
      <c r="D56" s="92" t="s">
        <v>1121</v>
      </c>
      <c r="E56" s="92" t="s">
        <v>1126</v>
      </c>
      <c r="F56" s="92" t="s">
        <v>1301</v>
      </c>
      <c r="G56" s="91" t="s">
        <v>1233</v>
      </c>
      <c r="H56" s="211" t="str">
        <f>HYPERLINK("#CB_m1!code중YTIM1N01","YTIM1N01")</f>
        <v>YTIM1N01</v>
      </c>
      <c r="I56" s="209" t="str">
        <f>HYPERLINK("#QN18_m1!q18중YTIM1N01","문1-12")</f>
        <v>문1-12</v>
      </c>
      <c r="J56" s="209" t="str">
        <f>HYPERLINK("#QN19_m1!q19중YTIM1N01","문1-12")</f>
        <v>문1-12</v>
      </c>
    </row>
    <row r="57" spans="2:10" ht="18" customHeight="1">
      <c r="B57" s="99" t="s">
        <v>1119</v>
      </c>
      <c r="C57" s="100" t="s">
        <v>1120</v>
      </c>
      <c r="D57" s="100" t="s">
        <v>1121</v>
      </c>
      <c r="E57" s="100" t="s">
        <v>1126</v>
      </c>
      <c r="F57" s="100" t="s">
        <v>1301</v>
      </c>
      <c r="G57" s="94" t="s">
        <v>1234</v>
      </c>
      <c r="H57" s="212" t="str">
        <f>HYPERLINK("#CB_m1!code중YTIM1N02","YTIM1N02")</f>
        <v>YTIM1N02</v>
      </c>
      <c r="I57" s="207" t="str">
        <f>HYPERLINK("#QN18_m1!q18중YTIM1N02","문1-12")</f>
        <v>문1-12</v>
      </c>
      <c r="J57" s="207" t="str">
        <f>HYPERLINK("#QN19_m1!q19중YTIM1N02","문1-12")</f>
        <v>문1-12</v>
      </c>
    </row>
    <row r="58" spans="2:10" ht="18" customHeight="1">
      <c r="B58" s="96" t="s">
        <v>1119</v>
      </c>
      <c r="C58" s="90" t="s">
        <v>1127</v>
      </c>
      <c r="D58" s="90" t="s">
        <v>1128</v>
      </c>
      <c r="E58" s="90" t="s">
        <v>1129</v>
      </c>
      <c r="F58" s="90" t="s">
        <v>1302</v>
      </c>
      <c r="G58" s="97" t="s">
        <v>1235</v>
      </c>
      <c r="H58" s="210" t="str">
        <f>HYPERLINK("#CB_m1!code중YINT1A00","YINT1A00")</f>
        <v>YINT1A00</v>
      </c>
      <c r="I58" s="205" t="str">
        <f>HYPERLINK("#QN18_m1!q18중YINT1A00","문6")</f>
        <v>문6</v>
      </c>
      <c r="J58" s="205" t="str">
        <f>HYPERLINK("#QN19_m1!q19중YINT1A00","문6")</f>
        <v>문6</v>
      </c>
    </row>
    <row r="59" spans="2:10" ht="18" customHeight="1">
      <c r="B59" s="99" t="s">
        <v>1119</v>
      </c>
      <c r="C59" s="100" t="s">
        <v>1127</v>
      </c>
      <c r="D59" s="100" t="s">
        <v>1128</v>
      </c>
      <c r="E59" s="100" t="s">
        <v>1130</v>
      </c>
      <c r="F59" s="100" t="s">
        <v>1302</v>
      </c>
      <c r="G59" s="94" t="s">
        <v>1236</v>
      </c>
      <c r="H59" s="212" t="str">
        <f>HYPERLINK("#CB_m1!code중YINT1B00","YINT1B00")</f>
        <v>YINT1B00</v>
      </c>
      <c r="I59" s="207" t="str">
        <f>HYPERLINK("#QN18_m1!q18중YINT1B00","문7")</f>
        <v>문7</v>
      </c>
      <c r="J59" s="207" t="str">
        <f>HYPERLINK("#QN19_m1!q19중YINT1B00","문7")</f>
        <v>문7</v>
      </c>
    </row>
    <row r="60" spans="2:10" ht="18" customHeight="1">
      <c r="B60" s="96" t="s">
        <v>1119</v>
      </c>
      <c r="C60" s="92" t="s">
        <v>1127</v>
      </c>
      <c r="D60" s="92" t="s">
        <v>1131</v>
      </c>
      <c r="E60" s="92" t="s">
        <v>1132</v>
      </c>
      <c r="F60" s="92" t="s">
        <v>1306</v>
      </c>
      <c r="G60" s="91" t="s">
        <v>137</v>
      </c>
      <c r="H60" s="210" t="str">
        <f>HYPERLINK("#CB_m1!code중YINT2A01","YINT2A01")</f>
        <v>YINT2A01</v>
      </c>
      <c r="I60" s="205" t="str">
        <f>HYPERLINK("#QN18_m1!q18중YINT2A01","문9-1")</f>
        <v>문9-1</v>
      </c>
      <c r="J60" s="205" t="str">
        <f>HYPERLINK("#QN19_m1!q19중YINT2A01","문9-1")</f>
        <v>문9-1</v>
      </c>
    </row>
    <row r="61" spans="2:10" ht="18" customHeight="1">
      <c r="B61" s="101" t="s">
        <v>1119</v>
      </c>
      <c r="C61" s="92" t="s">
        <v>1127</v>
      </c>
      <c r="D61" s="92" t="s">
        <v>1131</v>
      </c>
      <c r="E61" s="92" t="s">
        <v>1132</v>
      </c>
      <c r="F61" s="92" t="s">
        <v>1307</v>
      </c>
      <c r="G61" s="91" t="s">
        <v>138</v>
      </c>
      <c r="H61" s="211" t="str">
        <f>HYPERLINK("#CB_m1!code중YINT2A02","YINT2A02")</f>
        <v>YINT2A02</v>
      </c>
      <c r="I61" s="209" t="str">
        <f>HYPERLINK("#QN18_m1!q18중YINT2A02","문9-2")</f>
        <v>문9-2</v>
      </c>
      <c r="J61" s="209" t="str">
        <f>HYPERLINK("#QN19_m1!q19중YINT2A02","문9-2")</f>
        <v>문9-2</v>
      </c>
    </row>
    <row r="62" spans="2:10" ht="18" customHeight="1">
      <c r="B62" s="101" t="s">
        <v>1119</v>
      </c>
      <c r="C62" s="92" t="s">
        <v>1127</v>
      </c>
      <c r="D62" s="92" t="s">
        <v>1131</v>
      </c>
      <c r="E62" s="92" t="s">
        <v>1132</v>
      </c>
      <c r="F62" s="92" t="s">
        <v>1307</v>
      </c>
      <c r="G62" s="91" t="s">
        <v>139</v>
      </c>
      <c r="H62" s="211" t="str">
        <f>HYPERLINK("#CB_m1!code중YINT2A03","YINT2A03")</f>
        <v>YINT2A03</v>
      </c>
      <c r="I62" s="209" t="str">
        <f>HYPERLINK("#QN18_m1!q18중YINT2A03","문9-3")</f>
        <v>문9-3</v>
      </c>
      <c r="J62" s="209" t="str">
        <f>HYPERLINK("#QN19_m1!q19중YINT2A03","문9-3")</f>
        <v>문9-3</v>
      </c>
    </row>
    <row r="63" spans="2:10" ht="18" customHeight="1">
      <c r="B63" s="101" t="s">
        <v>1119</v>
      </c>
      <c r="C63" s="92" t="s">
        <v>1127</v>
      </c>
      <c r="D63" s="92" t="s">
        <v>1131</v>
      </c>
      <c r="E63" s="92" t="s">
        <v>1132</v>
      </c>
      <c r="F63" s="92" t="s">
        <v>1307</v>
      </c>
      <c r="G63" s="91" t="s">
        <v>140</v>
      </c>
      <c r="H63" s="211" t="str">
        <f>HYPERLINK("#CB_m1!code중YINT2A04","YINT2A04")</f>
        <v>YINT2A04</v>
      </c>
      <c r="I63" s="209" t="str">
        <f>HYPERLINK("#QN18_m1!q18중YINT2A04","문9-4")</f>
        <v>문9-4</v>
      </c>
      <c r="J63" s="209" t="str">
        <f>HYPERLINK("#QN19_m1!q19중YINT2A04","문9-4")</f>
        <v>문9-4</v>
      </c>
    </row>
    <row r="64" spans="2:10" ht="18" customHeight="1">
      <c r="B64" s="101" t="s">
        <v>1119</v>
      </c>
      <c r="C64" s="92" t="s">
        <v>1127</v>
      </c>
      <c r="D64" s="92" t="s">
        <v>1131</v>
      </c>
      <c r="E64" s="92" t="s">
        <v>1132</v>
      </c>
      <c r="F64" s="92" t="s">
        <v>1310</v>
      </c>
      <c r="G64" s="91" t="s">
        <v>141</v>
      </c>
      <c r="H64" s="211" t="str">
        <f>HYPERLINK("#CB_m1!code중YINT2A05","YINT2A05")</f>
        <v>YINT2A05</v>
      </c>
      <c r="I64" s="209" t="str">
        <f>HYPERLINK("#QN18_m1!q18중YINT2A05","문9-5")</f>
        <v>문9-5</v>
      </c>
      <c r="J64" s="209" t="str">
        <f>HYPERLINK("#QN19_m1!q19중YINT2A05","문9-5")</f>
        <v>문9-5</v>
      </c>
    </row>
    <row r="65" spans="2:10" ht="18" customHeight="1">
      <c r="B65" s="101" t="s">
        <v>1119</v>
      </c>
      <c r="C65" s="92" t="s">
        <v>1127</v>
      </c>
      <c r="D65" s="92" t="s">
        <v>1131</v>
      </c>
      <c r="E65" s="92" t="s">
        <v>1132</v>
      </c>
      <c r="F65" s="92" t="s">
        <v>1310</v>
      </c>
      <c r="G65" s="91" t="s">
        <v>142</v>
      </c>
      <c r="H65" s="211" t="str">
        <f>HYPERLINK("#CB_m1!code중YINT2A06","YINT2A06")</f>
        <v>YINT2A06</v>
      </c>
      <c r="I65" s="209" t="str">
        <f>HYPERLINK("#QN18_m1!q18중YINT2A06","문9-6")</f>
        <v>문9-6</v>
      </c>
      <c r="J65" s="209" t="str">
        <f>HYPERLINK("#QN19_m1!q19중YINT2A06","문9-6")</f>
        <v>문9-6</v>
      </c>
    </row>
    <row r="66" spans="2:10" ht="18" customHeight="1">
      <c r="B66" s="101" t="s">
        <v>1119</v>
      </c>
      <c r="C66" s="92" t="s">
        <v>1127</v>
      </c>
      <c r="D66" s="92" t="s">
        <v>1131</v>
      </c>
      <c r="E66" s="92" t="s">
        <v>1132</v>
      </c>
      <c r="F66" s="92" t="s">
        <v>1310</v>
      </c>
      <c r="G66" s="91" t="s">
        <v>143</v>
      </c>
      <c r="H66" s="211" t="str">
        <f>HYPERLINK("#CB_m1!code중YINT2A07","YINT2A07")</f>
        <v>YINT2A07</v>
      </c>
      <c r="I66" s="209" t="str">
        <f>HYPERLINK("#QN18_m1!q18중YINT2A07","문9-7")</f>
        <v>문9-7</v>
      </c>
      <c r="J66" s="209" t="str">
        <f>HYPERLINK("#QN19_m1!q19중YINT2A07","문9-7")</f>
        <v>문9-7</v>
      </c>
    </row>
    <row r="67" spans="2:10" ht="18" customHeight="1">
      <c r="B67" s="101" t="s">
        <v>1119</v>
      </c>
      <c r="C67" s="92" t="s">
        <v>1127</v>
      </c>
      <c r="D67" s="92" t="s">
        <v>1131</v>
      </c>
      <c r="E67" s="92" t="s">
        <v>1132</v>
      </c>
      <c r="F67" s="92" t="s">
        <v>1310</v>
      </c>
      <c r="G67" s="91" t="s">
        <v>144</v>
      </c>
      <c r="H67" s="211" t="str">
        <f>HYPERLINK("#CB_m1!code중YINT2A08","YINT2A08")</f>
        <v>YINT2A08</v>
      </c>
      <c r="I67" s="209" t="str">
        <f>HYPERLINK("#QN18_m1!q18중YINT2A08","문9-8")</f>
        <v>문9-8</v>
      </c>
      <c r="J67" s="209" t="str">
        <f>HYPERLINK("#QN19_m1!q19중YINT2A08","문9-8")</f>
        <v>문9-8</v>
      </c>
    </row>
    <row r="68" spans="2:10" ht="18" customHeight="1">
      <c r="B68" s="101" t="s">
        <v>1119</v>
      </c>
      <c r="C68" s="92" t="s">
        <v>1127</v>
      </c>
      <c r="D68" s="92" t="s">
        <v>1131</v>
      </c>
      <c r="E68" s="92" t="s">
        <v>1132</v>
      </c>
      <c r="F68" s="92" t="s">
        <v>1308</v>
      </c>
      <c r="G68" s="91" t="s">
        <v>145</v>
      </c>
      <c r="H68" s="211" t="str">
        <f>HYPERLINK("#CB_m1!code중YINT2A09","YINT2A09")</f>
        <v>YINT2A09</v>
      </c>
      <c r="I68" s="209" t="str">
        <f>HYPERLINK("#QN18_m1!q18중YINT2A09","문9-9")</f>
        <v>문9-9</v>
      </c>
      <c r="J68" s="209" t="str">
        <f>HYPERLINK("#QN19_m1!q19중YINT2A09","문9-9")</f>
        <v>문9-9</v>
      </c>
    </row>
    <row r="69" spans="2:10" ht="18" customHeight="1">
      <c r="B69" s="101" t="s">
        <v>1119</v>
      </c>
      <c r="C69" s="92" t="s">
        <v>1127</v>
      </c>
      <c r="D69" s="92" t="s">
        <v>1131</v>
      </c>
      <c r="E69" s="92" t="s">
        <v>1132</v>
      </c>
      <c r="F69" s="92" t="s">
        <v>1308</v>
      </c>
      <c r="G69" s="91" t="s">
        <v>146</v>
      </c>
      <c r="H69" s="211" t="str">
        <f>HYPERLINK("#CB_m1!code중YINT2A10","YINT2A10")</f>
        <v>YINT2A10</v>
      </c>
      <c r="I69" s="209" t="str">
        <f>HYPERLINK("#QN18_m1!q18중YINT2A10","문9-10")</f>
        <v>문9-10</v>
      </c>
      <c r="J69" s="209" t="str">
        <f>HYPERLINK("#QN19_m1!q19중YINT2A10","문9-10")</f>
        <v>문9-10</v>
      </c>
    </row>
    <row r="70" spans="2:10" ht="18" customHeight="1">
      <c r="B70" s="101" t="s">
        <v>1119</v>
      </c>
      <c r="C70" s="92" t="s">
        <v>1127</v>
      </c>
      <c r="D70" s="92" t="s">
        <v>1131</v>
      </c>
      <c r="E70" s="92" t="s">
        <v>1132</v>
      </c>
      <c r="F70" s="92" t="s">
        <v>1308</v>
      </c>
      <c r="G70" s="91" t="s">
        <v>147</v>
      </c>
      <c r="H70" s="211" t="str">
        <f>HYPERLINK("#CB_m1!code중YINT2A11","YINT2A11")</f>
        <v>YINT2A11</v>
      </c>
      <c r="I70" s="209" t="str">
        <f>HYPERLINK("#QN18_m1!q18중YINT2A11","문9-11")</f>
        <v>문9-11</v>
      </c>
      <c r="J70" s="209" t="str">
        <f>HYPERLINK("#QN19_m1!q19중YINT2A11","문9-11")</f>
        <v>문9-11</v>
      </c>
    </row>
    <row r="71" spans="2:10" ht="18" customHeight="1">
      <c r="B71" s="101" t="s">
        <v>1119</v>
      </c>
      <c r="C71" s="92" t="s">
        <v>1127</v>
      </c>
      <c r="D71" s="92" t="s">
        <v>1131</v>
      </c>
      <c r="E71" s="92" t="s">
        <v>1132</v>
      </c>
      <c r="F71" s="92" t="s">
        <v>1308</v>
      </c>
      <c r="G71" s="91" t="s">
        <v>148</v>
      </c>
      <c r="H71" s="211" t="str">
        <f>HYPERLINK("#CB_m1!code중YINT2A12","YINT2A12")</f>
        <v>YINT2A12</v>
      </c>
      <c r="I71" s="209" t="str">
        <f>HYPERLINK("#QN18_m1!q18중YINT2A12","문9-12")</f>
        <v>문9-12</v>
      </c>
      <c r="J71" s="209" t="str">
        <f>HYPERLINK("#QN19_m1!q19중YINT2A12","문9-12")</f>
        <v>문9-12</v>
      </c>
    </row>
    <row r="72" spans="2:10" ht="18" customHeight="1">
      <c r="B72" s="101" t="s">
        <v>1119</v>
      </c>
      <c r="C72" s="92" t="s">
        <v>1127</v>
      </c>
      <c r="D72" s="92" t="s">
        <v>1131</v>
      </c>
      <c r="E72" s="92" t="s">
        <v>1132</v>
      </c>
      <c r="F72" s="92" t="s">
        <v>1309</v>
      </c>
      <c r="G72" s="91" t="s">
        <v>149</v>
      </c>
      <c r="H72" s="211" t="str">
        <f>HYPERLINK("#CB_m1!code중YINT2A13","YINT2A13")</f>
        <v>YINT2A13</v>
      </c>
      <c r="I72" s="209" t="str">
        <f>HYPERLINK("#QN18_m1!q18중YINT2A13","문9-13")</f>
        <v>문9-13</v>
      </c>
      <c r="J72" s="209" t="str">
        <f>HYPERLINK("#QN19_m1!q19중YINT2A13","문9-13")</f>
        <v>문9-13</v>
      </c>
    </row>
    <row r="73" spans="2:10" ht="18" customHeight="1">
      <c r="B73" s="101" t="s">
        <v>1119</v>
      </c>
      <c r="C73" s="92" t="s">
        <v>1127</v>
      </c>
      <c r="D73" s="92" t="s">
        <v>1131</v>
      </c>
      <c r="E73" s="92" t="s">
        <v>1132</v>
      </c>
      <c r="F73" s="92" t="s">
        <v>1309</v>
      </c>
      <c r="G73" s="91" t="s">
        <v>1237</v>
      </c>
      <c r="H73" s="211" t="str">
        <f>HYPERLINK("#CB_m1!code중YINT2A14","YINT2A14")</f>
        <v>YINT2A14</v>
      </c>
      <c r="I73" s="209" t="str">
        <f>HYPERLINK("#QN18_m1!q18중YINT2A14","문9-14")</f>
        <v>문9-14</v>
      </c>
      <c r="J73" s="209" t="str">
        <f>HYPERLINK("#QN19_m1!q19중YINT2A14","문9-14")</f>
        <v>문9-14</v>
      </c>
    </row>
    <row r="74" spans="2:10" ht="18" customHeight="1">
      <c r="B74" s="101" t="s">
        <v>1119</v>
      </c>
      <c r="C74" s="92" t="s">
        <v>1127</v>
      </c>
      <c r="D74" s="92" t="s">
        <v>1131</v>
      </c>
      <c r="E74" s="92" t="s">
        <v>1132</v>
      </c>
      <c r="F74" s="92" t="s">
        <v>1309</v>
      </c>
      <c r="G74" s="91" t="s">
        <v>151</v>
      </c>
      <c r="H74" s="211" t="str">
        <f>HYPERLINK("#CB_m1!code중YINT2A15","YINT2A15")</f>
        <v>YINT2A15</v>
      </c>
      <c r="I74" s="209" t="str">
        <f>HYPERLINK("#QN18_m1!q18중YINT2A15","문9-15")</f>
        <v>문9-15</v>
      </c>
      <c r="J74" s="209" t="str">
        <f>HYPERLINK("#QN19_m1!q19중YINT2A15","문9-15")</f>
        <v>문9-15</v>
      </c>
    </row>
    <row r="75" spans="2:10" ht="18" customHeight="1">
      <c r="B75" s="99" t="s">
        <v>1119</v>
      </c>
      <c r="C75" s="100" t="s">
        <v>1127</v>
      </c>
      <c r="D75" s="100" t="s">
        <v>1131</v>
      </c>
      <c r="E75" s="100" t="s">
        <v>1132</v>
      </c>
      <c r="F75" s="100" t="s">
        <v>1309</v>
      </c>
      <c r="G75" s="94" t="s">
        <v>152</v>
      </c>
      <c r="H75" s="212" t="str">
        <f>HYPERLINK("#CB_m1!code중YINT2A16","YINT2A16")</f>
        <v>YINT2A16</v>
      </c>
      <c r="I75" s="207" t="str">
        <f>HYPERLINK("#QN18_m1!q18중YINT2A16","문9-16")</f>
        <v>문9-16</v>
      </c>
      <c r="J75" s="207" t="str">
        <f>HYPERLINK("#QN19_m1!q19중YINT2A16","문9-16")</f>
        <v>문9-16</v>
      </c>
    </row>
    <row r="76" spans="2:10" ht="18" customHeight="1">
      <c r="B76" s="96" t="s">
        <v>1119</v>
      </c>
      <c r="C76" s="90" t="s">
        <v>1127</v>
      </c>
      <c r="D76" s="90" t="s">
        <v>1131</v>
      </c>
      <c r="E76" s="90" t="s">
        <v>1133</v>
      </c>
      <c r="F76" s="90" t="s">
        <v>1311</v>
      </c>
      <c r="G76" s="97" t="s">
        <v>358</v>
      </c>
      <c r="H76" s="210" t="str">
        <f>HYPERLINK("#CB_m1!code중YINT2B01","YINT2B01")</f>
        <v>YINT2B01</v>
      </c>
      <c r="I76" s="205" t="str">
        <f>HYPERLINK("#QN18_m1!q18중YINT2B01","문10-1")</f>
        <v>문10-1</v>
      </c>
      <c r="J76" s="205" t="str">
        <f>HYPERLINK("#QN19_m1!q19중YINT2B01","문10-1")</f>
        <v>문10-1</v>
      </c>
    </row>
    <row r="77" spans="2:10" ht="18" customHeight="1">
      <c r="B77" s="101" t="s">
        <v>1119</v>
      </c>
      <c r="C77" s="92" t="s">
        <v>1127</v>
      </c>
      <c r="D77" s="92" t="s">
        <v>1131</v>
      </c>
      <c r="E77" s="92" t="s">
        <v>1133</v>
      </c>
      <c r="F77" s="92" t="s">
        <v>1312</v>
      </c>
      <c r="G77" s="91" t="s">
        <v>359</v>
      </c>
      <c r="H77" s="211" t="str">
        <f>HYPERLINK("#CB_m1!code중YINT2B02","YINT2B02")</f>
        <v>YINT2B02</v>
      </c>
      <c r="I77" s="209" t="str">
        <f>HYPERLINK("#QN18_m1!q18중YINT2B02","문10-2")</f>
        <v>문10-2</v>
      </c>
      <c r="J77" s="209" t="str">
        <f>HYPERLINK("#QN19_m1!q19중YINT2B02","문10-2")</f>
        <v>문10-2</v>
      </c>
    </row>
    <row r="78" spans="2:10" ht="18" customHeight="1">
      <c r="B78" s="101" t="s">
        <v>1119</v>
      </c>
      <c r="C78" s="92" t="s">
        <v>1127</v>
      </c>
      <c r="D78" s="92" t="s">
        <v>1131</v>
      </c>
      <c r="E78" s="92" t="s">
        <v>1133</v>
      </c>
      <c r="F78" s="92" t="s">
        <v>1312</v>
      </c>
      <c r="G78" s="91" t="s">
        <v>360</v>
      </c>
      <c r="H78" s="211" t="str">
        <f>HYPERLINK("#CB_m1!code중YINT2B03","YINT2B03")</f>
        <v>YINT2B03</v>
      </c>
      <c r="I78" s="209" t="str">
        <f>HYPERLINK("#QN18_m1!q18중YINT2B03","문10-3")</f>
        <v>문10-3</v>
      </c>
      <c r="J78" s="209" t="str">
        <f>HYPERLINK("#QN19_m1!q19중YINT2B03","문10-3")</f>
        <v>문10-3</v>
      </c>
    </row>
    <row r="79" spans="2:10" ht="18" customHeight="1">
      <c r="B79" s="101" t="s">
        <v>1119</v>
      </c>
      <c r="C79" s="92" t="s">
        <v>1127</v>
      </c>
      <c r="D79" s="92" t="s">
        <v>1131</v>
      </c>
      <c r="E79" s="92" t="s">
        <v>1133</v>
      </c>
      <c r="F79" s="92" t="s">
        <v>1312</v>
      </c>
      <c r="G79" s="91" t="s">
        <v>361</v>
      </c>
      <c r="H79" s="211" t="str">
        <f>HYPERLINK("#CB_m1!code중YINT2B04","YINT2B04")</f>
        <v>YINT2B04</v>
      </c>
      <c r="I79" s="209" t="str">
        <f>HYPERLINK("#QN18_m1!q18중YINT2B04","문10-4")</f>
        <v>문10-4</v>
      </c>
      <c r="J79" s="209" t="str">
        <f>HYPERLINK("#QN19_m1!q19중YINT2B04","문10-4")</f>
        <v>문10-4</v>
      </c>
    </row>
    <row r="80" spans="2:10" ht="18" customHeight="1">
      <c r="B80" s="101" t="s">
        <v>1119</v>
      </c>
      <c r="C80" s="92" t="s">
        <v>1127</v>
      </c>
      <c r="D80" s="92" t="s">
        <v>1131</v>
      </c>
      <c r="E80" s="92" t="s">
        <v>1133</v>
      </c>
      <c r="F80" s="92" t="s">
        <v>1313</v>
      </c>
      <c r="G80" s="91" t="s">
        <v>362</v>
      </c>
      <c r="H80" s="211" t="str">
        <f>HYPERLINK("#CB_m1!code중YINT2B05","YINT2B05")</f>
        <v>YINT2B05</v>
      </c>
      <c r="I80" s="209" t="str">
        <f>HYPERLINK("#QN18_m1!q18중YINT2B05","문10-5")</f>
        <v>문10-5</v>
      </c>
      <c r="J80" s="209" t="str">
        <f>HYPERLINK("#QN19_m1!q19중YINT2B05","문10-5")</f>
        <v>문10-5</v>
      </c>
    </row>
    <row r="81" spans="2:10" ht="18" customHeight="1">
      <c r="B81" s="101" t="s">
        <v>1119</v>
      </c>
      <c r="C81" s="92" t="s">
        <v>1127</v>
      </c>
      <c r="D81" s="92" t="s">
        <v>1131</v>
      </c>
      <c r="E81" s="92" t="s">
        <v>1133</v>
      </c>
      <c r="F81" s="92" t="s">
        <v>1313</v>
      </c>
      <c r="G81" s="91" t="s">
        <v>363</v>
      </c>
      <c r="H81" s="211" t="str">
        <f>HYPERLINK("#CB_m1!code중YINT2B06","YINT2B06")</f>
        <v>YINT2B06</v>
      </c>
      <c r="I81" s="209" t="str">
        <f>HYPERLINK("#QN18_m1!q18중YINT2B06","문10-6")</f>
        <v>문10-6</v>
      </c>
      <c r="J81" s="209" t="str">
        <f>HYPERLINK("#QN19_m1!q19중YINT2B06","문10-6")</f>
        <v>문10-6</v>
      </c>
    </row>
    <row r="82" spans="2:10" ht="18" customHeight="1">
      <c r="B82" s="101" t="s">
        <v>1119</v>
      </c>
      <c r="C82" s="92" t="s">
        <v>1127</v>
      </c>
      <c r="D82" s="92" t="s">
        <v>1131</v>
      </c>
      <c r="E82" s="92" t="s">
        <v>1133</v>
      </c>
      <c r="F82" s="92" t="s">
        <v>1313</v>
      </c>
      <c r="G82" s="91" t="s">
        <v>364</v>
      </c>
      <c r="H82" s="211" t="str">
        <f>HYPERLINK("#CB_m1!code중YINT2B07","YINT2B07")</f>
        <v>YINT2B07</v>
      </c>
      <c r="I82" s="209" t="str">
        <f>HYPERLINK("#QN18_m1!q18중YINT2B07","문10-7")</f>
        <v>문10-7</v>
      </c>
      <c r="J82" s="209" t="str">
        <f>HYPERLINK("#QN19_m1!q19중YINT2B07","문10-7")</f>
        <v>문10-7</v>
      </c>
    </row>
    <row r="83" spans="2:10" ht="18" customHeight="1">
      <c r="B83" s="101" t="s">
        <v>1119</v>
      </c>
      <c r="C83" s="92" t="s">
        <v>1127</v>
      </c>
      <c r="D83" s="92" t="s">
        <v>1131</v>
      </c>
      <c r="E83" s="92" t="s">
        <v>1133</v>
      </c>
      <c r="F83" s="92" t="s">
        <v>1313</v>
      </c>
      <c r="G83" s="91" t="s">
        <v>365</v>
      </c>
      <c r="H83" s="211" t="str">
        <f>HYPERLINK("#CB_m1!code중YINT2B08","YINT2B08")</f>
        <v>YINT2B08</v>
      </c>
      <c r="I83" s="209" t="str">
        <f>HYPERLINK("#QN18_m1!q18중YINT2B08","문10-8")</f>
        <v>문10-8</v>
      </c>
      <c r="J83" s="209" t="str">
        <f>HYPERLINK("#QN19_m1!q19중YINT2B08","문10-8")</f>
        <v>문10-8</v>
      </c>
    </row>
    <row r="84" spans="2:10" ht="18" customHeight="1">
      <c r="B84" s="101" t="s">
        <v>1119</v>
      </c>
      <c r="C84" s="92" t="s">
        <v>1127</v>
      </c>
      <c r="D84" s="92" t="s">
        <v>1131</v>
      </c>
      <c r="E84" s="92" t="s">
        <v>1133</v>
      </c>
      <c r="F84" s="92" t="s">
        <v>1314</v>
      </c>
      <c r="G84" s="91" t="s">
        <v>366</v>
      </c>
      <c r="H84" s="211" t="str">
        <f>HYPERLINK("#CB_m1!code중YINT2B09","YINT2B09")</f>
        <v>YINT2B09</v>
      </c>
      <c r="I84" s="209" t="str">
        <f>HYPERLINK("#QN18_m1!q18중YINT2B09","문10-9")</f>
        <v>문10-9</v>
      </c>
      <c r="J84" s="209" t="str">
        <f>HYPERLINK("#QN19_m1!q19중YINT2B09","문10-9")</f>
        <v>문10-9</v>
      </c>
    </row>
    <row r="85" spans="2:10" ht="18" customHeight="1">
      <c r="B85" s="101" t="s">
        <v>1119</v>
      </c>
      <c r="C85" s="92" t="s">
        <v>1127</v>
      </c>
      <c r="D85" s="92" t="s">
        <v>1131</v>
      </c>
      <c r="E85" s="92" t="s">
        <v>1133</v>
      </c>
      <c r="F85" s="92" t="s">
        <v>1314</v>
      </c>
      <c r="G85" s="91" t="s">
        <v>367</v>
      </c>
      <c r="H85" s="211" t="str">
        <f>HYPERLINK("#CB_m1!code중YINT2B10","YINT2B10")</f>
        <v>YINT2B10</v>
      </c>
      <c r="I85" s="209" t="str">
        <f>HYPERLINK("#QN18_m1!q18중YINT2B10","문10-10")</f>
        <v>문10-10</v>
      </c>
      <c r="J85" s="209" t="str">
        <f>HYPERLINK("#QN19_m1!q19중YINT2B10","문10-10")</f>
        <v>문10-10</v>
      </c>
    </row>
    <row r="86" spans="2:10" ht="18" customHeight="1">
      <c r="B86" s="101" t="s">
        <v>1119</v>
      </c>
      <c r="C86" s="92" t="s">
        <v>1127</v>
      </c>
      <c r="D86" s="92" t="s">
        <v>1131</v>
      </c>
      <c r="E86" s="92" t="s">
        <v>1133</v>
      </c>
      <c r="F86" s="92" t="s">
        <v>1314</v>
      </c>
      <c r="G86" s="91" t="s">
        <v>368</v>
      </c>
      <c r="H86" s="211" t="str">
        <f>HYPERLINK("#CB_m1!code중YINT2B11","YINT2B11")</f>
        <v>YINT2B11</v>
      </c>
      <c r="I86" s="209" t="str">
        <f>HYPERLINK("#QN18_m1!q18중YINT2B11","문10-11")</f>
        <v>문10-11</v>
      </c>
      <c r="J86" s="209" t="str">
        <f>HYPERLINK("#QN19_m1!q19중YINT2B11","문10-11")</f>
        <v>문10-11</v>
      </c>
    </row>
    <row r="87" spans="2:10" ht="18" customHeight="1">
      <c r="B87" s="101" t="s">
        <v>1119</v>
      </c>
      <c r="C87" s="92" t="s">
        <v>1127</v>
      </c>
      <c r="D87" s="92" t="s">
        <v>1131</v>
      </c>
      <c r="E87" s="92" t="s">
        <v>1133</v>
      </c>
      <c r="F87" s="92" t="s">
        <v>1314</v>
      </c>
      <c r="G87" s="91" t="s">
        <v>369</v>
      </c>
      <c r="H87" s="211" t="str">
        <f>HYPERLINK("#CB_m1!code중YINT2B12","YINT2B12")</f>
        <v>YINT2B12</v>
      </c>
      <c r="I87" s="209" t="str">
        <f>HYPERLINK("#QN18_m1!q18중YINT2B12","문10-12")</f>
        <v>문10-12</v>
      </c>
      <c r="J87" s="209" t="str">
        <f>HYPERLINK("#QN19_m1!q19중YINT2B12","문10-12")</f>
        <v>문10-12</v>
      </c>
    </row>
    <row r="88" spans="2:10" ht="18" customHeight="1">
      <c r="B88" s="101" t="s">
        <v>1119</v>
      </c>
      <c r="C88" s="92" t="s">
        <v>1127</v>
      </c>
      <c r="D88" s="92" t="s">
        <v>1131</v>
      </c>
      <c r="E88" s="92" t="s">
        <v>1133</v>
      </c>
      <c r="F88" s="92" t="s">
        <v>1315</v>
      </c>
      <c r="G88" s="91" t="s">
        <v>370</v>
      </c>
      <c r="H88" s="211" t="str">
        <f>HYPERLINK("#CB_m1!code중YINT2B13","YINT2B13")</f>
        <v>YINT2B13</v>
      </c>
      <c r="I88" s="209" t="str">
        <f>HYPERLINK("#QN18_m1!q18중YINT2B13","문10-13")</f>
        <v>문10-13</v>
      </c>
      <c r="J88" s="209" t="str">
        <f>HYPERLINK("#QN19_m1!q19중YINT2B13","문10-13")</f>
        <v>문10-13</v>
      </c>
    </row>
    <row r="89" spans="2:10" ht="18" customHeight="1">
      <c r="B89" s="101" t="s">
        <v>1119</v>
      </c>
      <c r="C89" s="92" t="s">
        <v>1127</v>
      </c>
      <c r="D89" s="92" t="s">
        <v>1131</v>
      </c>
      <c r="E89" s="92" t="s">
        <v>1133</v>
      </c>
      <c r="F89" s="92" t="s">
        <v>1315</v>
      </c>
      <c r="G89" s="91" t="s">
        <v>371</v>
      </c>
      <c r="H89" s="211" t="str">
        <f>HYPERLINK("#CB_m1!code중YINT2B14","YINT2B14")</f>
        <v>YINT2B14</v>
      </c>
      <c r="I89" s="209" t="str">
        <f>HYPERLINK("#QN18_m1!q18중YINT2B14","문10-14")</f>
        <v>문10-14</v>
      </c>
      <c r="J89" s="209" t="str">
        <f>HYPERLINK("#QN19_m1!q19중YINT2B14","문10-14")</f>
        <v>문10-14</v>
      </c>
    </row>
    <row r="90" spans="2:10" ht="18" customHeight="1">
      <c r="B90" s="101" t="s">
        <v>1119</v>
      </c>
      <c r="C90" s="92" t="s">
        <v>1127</v>
      </c>
      <c r="D90" s="92" t="s">
        <v>1131</v>
      </c>
      <c r="E90" s="92" t="s">
        <v>1133</v>
      </c>
      <c r="F90" s="92" t="s">
        <v>1315</v>
      </c>
      <c r="G90" s="91" t="s">
        <v>372</v>
      </c>
      <c r="H90" s="211" t="str">
        <f>HYPERLINK("#CB_m1!code중YINT2B15","YINT2B15")</f>
        <v>YINT2B15</v>
      </c>
      <c r="I90" s="209" t="str">
        <f>HYPERLINK("#QN18_m1!q18중YINT2B15","문10-15")</f>
        <v>문10-15</v>
      </c>
      <c r="J90" s="209" t="str">
        <f>HYPERLINK("#QN19_m1!q19중YINT2B15","문10-15")</f>
        <v>문10-15</v>
      </c>
    </row>
    <row r="91" spans="2:10" ht="18" customHeight="1">
      <c r="B91" s="99" t="s">
        <v>1119</v>
      </c>
      <c r="C91" s="100" t="s">
        <v>1127</v>
      </c>
      <c r="D91" s="100" t="s">
        <v>1131</v>
      </c>
      <c r="E91" s="100" t="s">
        <v>1133</v>
      </c>
      <c r="F91" s="100" t="s">
        <v>1316</v>
      </c>
      <c r="G91" s="94" t="s">
        <v>373</v>
      </c>
      <c r="H91" s="212" t="str">
        <f>HYPERLINK("#CB_m1!code중YINT2B16","YINT2B16")</f>
        <v>YINT2B16</v>
      </c>
      <c r="I91" s="207" t="str">
        <f>HYPERLINK("#QN18_m1!q18중YINT2B16","문10-16")</f>
        <v>문10-16</v>
      </c>
      <c r="J91" s="207" t="str">
        <f>HYPERLINK("#QN19_m1!q19중YINT2B16","문10-16")</f>
        <v>문10-16</v>
      </c>
    </row>
    <row r="92" spans="2:10" ht="18" customHeight="1">
      <c r="B92" s="96" t="s">
        <v>1119</v>
      </c>
      <c r="C92" s="90" t="s">
        <v>1134</v>
      </c>
      <c r="D92" s="90" t="s">
        <v>1135</v>
      </c>
      <c r="E92" s="90" t="s">
        <v>1136</v>
      </c>
      <c r="F92" s="90" t="s">
        <v>1301</v>
      </c>
      <c r="G92" s="97" t="s">
        <v>1238</v>
      </c>
      <c r="H92" s="210" t="str">
        <f>HYPERLINK("#CB_m1!code중YFUR1A00","YFUR1A00")</f>
        <v>YFUR1A00</v>
      </c>
      <c r="I92" s="205" t="str">
        <f>HYPERLINK("#QN18_m1!q18중YFUR1A00","문11")</f>
        <v>문11</v>
      </c>
      <c r="J92" s="205" t="str">
        <f>HYPERLINK("#QN19_m1!q19중YFUR1A00","문11")</f>
        <v>문11</v>
      </c>
    </row>
    <row r="93" spans="2:10" ht="18" customHeight="1">
      <c r="B93" s="99" t="s">
        <v>1119</v>
      </c>
      <c r="C93" s="100" t="s">
        <v>1134</v>
      </c>
      <c r="D93" s="100" t="s">
        <v>1135</v>
      </c>
      <c r="E93" s="100" t="s">
        <v>1137</v>
      </c>
      <c r="F93" s="100" t="s">
        <v>1301</v>
      </c>
      <c r="G93" s="94" t="s">
        <v>1239</v>
      </c>
      <c r="H93" s="212" t="str">
        <f>HYPERLINK("#CB_m1!code중YFUR1B00","YFUR1B00")</f>
        <v>YFUR1B00</v>
      </c>
      <c r="I93" s="207" t="str">
        <f>HYPERLINK("#QN18_m1!q18중YFUR1B00","문12")</f>
        <v>문12</v>
      </c>
      <c r="J93" s="207" t="str">
        <f>HYPERLINK("#QN19_m1!q19중YFUR1B00","문12")</f>
        <v>문12</v>
      </c>
    </row>
    <row r="94" spans="2:10" ht="18" customHeight="1">
      <c r="B94" s="96" t="s">
        <v>1119</v>
      </c>
      <c r="C94" s="90" t="s">
        <v>1134</v>
      </c>
      <c r="D94" s="90" t="s">
        <v>1138</v>
      </c>
      <c r="E94" s="90" t="s">
        <v>1139</v>
      </c>
      <c r="F94" s="90" t="s">
        <v>1301</v>
      </c>
      <c r="G94" s="97" t="s">
        <v>154</v>
      </c>
      <c r="H94" s="210" t="str">
        <f>HYPERLINK("#CB_m1!code중YFUR2A01","YFUR2A01")</f>
        <v>YFUR2A01</v>
      </c>
      <c r="I94" s="205" t="str">
        <f>HYPERLINK("#QN18_m1!q18중YFUR2A01","문13-1")</f>
        <v>문13-1</v>
      </c>
      <c r="J94" s="205" t="str">
        <f>HYPERLINK("#QN19_m1!q19중YFUR2A01","문13-1")</f>
        <v>문13-1</v>
      </c>
    </row>
    <row r="95" spans="2:10" ht="18" customHeight="1">
      <c r="B95" s="101" t="s">
        <v>1119</v>
      </c>
      <c r="C95" s="92" t="s">
        <v>1134</v>
      </c>
      <c r="D95" s="92" t="s">
        <v>1138</v>
      </c>
      <c r="E95" s="92" t="s">
        <v>1139</v>
      </c>
      <c r="F95" s="92" t="s">
        <v>1301</v>
      </c>
      <c r="G95" s="91" t="s">
        <v>159</v>
      </c>
      <c r="H95" s="211" t="str">
        <f>HYPERLINK("#CB_m1!code중YFUR2A02","YFUR2A02")</f>
        <v>YFUR2A02</v>
      </c>
      <c r="I95" s="209" t="str">
        <f>HYPERLINK("#QN18_m1!q18중YFUR2A02","문13-2")</f>
        <v>문13-2</v>
      </c>
      <c r="J95" s="209" t="str">
        <f>HYPERLINK("#QN19_m1!q19중YFUR2A02","문13-2")</f>
        <v>문13-2</v>
      </c>
    </row>
    <row r="96" spans="2:10" ht="18" customHeight="1">
      <c r="B96" s="101" t="s">
        <v>1119</v>
      </c>
      <c r="C96" s="92" t="s">
        <v>1134</v>
      </c>
      <c r="D96" s="92" t="s">
        <v>1138</v>
      </c>
      <c r="E96" s="92" t="s">
        <v>1139</v>
      </c>
      <c r="F96" s="92" t="s">
        <v>1304</v>
      </c>
      <c r="G96" s="91" t="s">
        <v>1240</v>
      </c>
      <c r="H96" s="211" t="str">
        <f>HYPERLINK("#CB_m1!code중YFUR2A03","YFUR2A03")</f>
        <v>YFUR2A03</v>
      </c>
      <c r="I96" s="209" t="str">
        <f>HYPERLINK("#QN18_m1!q18중YFUR2A03","문13-3")</f>
        <v>문13-3</v>
      </c>
      <c r="J96" s="209" t="str">
        <f>HYPERLINK("#QN19_m1!q19중YFUR2A03","문13-3")</f>
        <v>문13-3</v>
      </c>
    </row>
    <row r="97" spans="2:10" ht="18" customHeight="1">
      <c r="B97" s="101" t="s">
        <v>1119</v>
      </c>
      <c r="C97" s="92" t="s">
        <v>1134</v>
      </c>
      <c r="D97" s="92" t="s">
        <v>1138</v>
      </c>
      <c r="E97" s="92" t="s">
        <v>1139</v>
      </c>
      <c r="F97" s="92" t="s">
        <v>1301</v>
      </c>
      <c r="G97" s="91" t="s">
        <v>1241</v>
      </c>
      <c r="H97" s="211" t="str">
        <f>HYPERLINK("#CB_m1!code중YFUR2A04","YFUR2A04")</f>
        <v>YFUR2A04</v>
      </c>
      <c r="I97" s="209" t="str">
        <f>HYPERLINK("#QN18_m1!q18중YFUR2A04","문13-4")</f>
        <v>문13-4</v>
      </c>
      <c r="J97" s="209" t="str">
        <f>HYPERLINK("#QN19_m1!q19중YFUR2A04","문13-4")</f>
        <v>문13-4</v>
      </c>
    </row>
    <row r="98" spans="2:10" ht="18" customHeight="1">
      <c r="B98" s="101" t="s">
        <v>1119</v>
      </c>
      <c r="C98" s="92" t="s">
        <v>1134</v>
      </c>
      <c r="D98" s="92" t="s">
        <v>1138</v>
      </c>
      <c r="E98" s="92" t="s">
        <v>1139</v>
      </c>
      <c r="F98" s="92" t="s">
        <v>1301</v>
      </c>
      <c r="G98" s="91" t="s">
        <v>160</v>
      </c>
      <c r="H98" s="211" t="str">
        <f>HYPERLINK("#CB_m1!code중YFUR2A05","YFUR2A05")</f>
        <v>YFUR2A05</v>
      </c>
      <c r="I98" s="209" t="str">
        <f>HYPERLINK("#QN18_m1!q18중YFUR2A05","문13-5")</f>
        <v>문13-5</v>
      </c>
      <c r="J98" s="209" t="str">
        <f>HYPERLINK("#QN19_m1!q19중YFUR2A05","문13-5")</f>
        <v>문13-5</v>
      </c>
    </row>
    <row r="99" spans="2:10" ht="18" customHeight="1">
      <c r="B99" s="101" t="s">
        <v>1119</v>
      </c>
      <c r="C99" s="92" t="s">
        <v>1134</v>
      </c>
      <c r="D99" s="92" t="s">
        <v>1138</v>
      </c>
      <c r="E99" s="92" t="s">
        <v>1139</v>
      </c>
      <c r="F99" s="92" t="s">
        <v>1301</v>
      </c>
      <c r="G99" s="91" t="s">
        <v>161</v>
      </c>
      <c r="H99" s="211" t="str">
        <f>HYPERLINK("#CB_m1!code중YFUR2A06","YFUR2A06")</f>
        <v>YFUR2A06</v>
      </c>
      <c r="I99" s="209" t="str">
        <f>HYPERLINK("#QN18_m1!q18중YFUR2A06","문13-6")</f>
        <v>문13-6</v>
      </c>
      <c r="J99" s="209" t="str">
        <f>HYPERLINK("#QN19_m1!q19중YFUR2A06","문13-6")</f>
        <v>문13-6</v>
      </c>
    </row>
    <row r="100" spans="2:10" ht="18" customHeight="1">
      <c r="B100" s="101" t="s">
        <v>1119</v>
      </c>
      <c r="C100" s="92" t="s">
        <v>1134</v>
      </c>
      <c r="D100" s="92" t="s">
        <v>1138</v>
      </c>
      <c r="E100" s="92" t="s">
        <v>1139</v>
      </c>
      <c r="F100" s="92" t="s">
        <v>1301</v>
      </c>
      <c r="G100" s="91" t="s">
        <v>162</v>
      </c>
      <c r="H100" s="211" t="str">
        <f>HYPERLINK("#CB_m1!code중YFUR2A07","YFUR2A07")</f>
        <v>YFUR2A07</v>
      </c>
      <c r="I100" s="209" t="str">
        <f>HYPERLINK("#QN18_m1!q18중YFUR2A07","문13-7")</f>
        <v>문13-7</v>
      </c>
      <c r="J100" s="209" t="str">
        <f>HYPERLINK("#QN19_m1!q19중YFUR2A07","문13-7")</f>
        <v>문13-7</v>
      </c>
    </row>
    <row r="101" spans="2:10" ht="18" customHeight="1">
      <c r="B101" s="101" t="s">
        <v>1119</v>
      </c>
      <c r="C101" s="92" t="s">
        <v>1134</v>
      </c>
      <c r="D101" s="92" t="s">
        <v>1138</v>
      </c>
      <c r="E101" s="92" t="s">
        <v>1139</v>
      </c>
      <c r="F101" s="92" t="s">
        <v>1301</v>
      </c>
      <c r="G101" s="91" t="s">
        <v>101</v>
      </c>
      <c r="H101" s="211" t="str">
        <f>HYPERLINK("#CB_m1!code중YFUR2A08","YFUR2A08")</f>
        <v>YFUR2A08</v>
      </c>
      <c r="I101" s="209" t="str">
        <f>HYPERLINK("#QN18_m1!q18중YFUR2A08","문13-8")</f>
        <v>문13-8</v>
      </c>
      <c r="J101" s="209" t="str">
        <f>HYPERLINK("#QN19_m1!q19중YFUR2A08","문13-8")</f>
        <v>문13-8</v>
      </c>
    </row>
    <row r="102" spans="2:10" ht="18" customHeight="1">
      <c r="B102" s="99" t="s">
        <v>1119</v>
      </c>
      <c r="C102" s="100" t="s">
        <v>1134</v>
      </c>
      <c r="D102" s="100" t="s">
        <v>1138</v>
      </c>
      <c r="E102" s="100" t="s">
        <v>1139</v>
      </c>
      <c r="F102" s="100" t="s">
        <v>1301</v>
      </c>
      <c r="G102" s="94" t="s">
        <v>1242</v>
      </c>
      <c r="H102" s="212" t="str">
        <f>HYPERLINK("#CB_m1!code중YFUR2A08_T","YFUR2A08_T")</f>
        <v>YFUR2A08_T</v>
      </c>
      <c r="I102" s="207" t="str">
        <f>HYPERLINK("#QN18_m1!q18중YFUR2A08_T","문13-8_T")</f>
        <v>문13-8_T</v>
      </c>
      <c r="J102" s="207" t="str">
        <f>HYPERLINK("#QN19_m1!q19중YFUR2A08_T","문13-8_T")</f>
        <v>문13-8_T</v>
      </c>
    </row>
    <row r="103" spans="2:10" ht="18" customHeight="1">
      <c r="B103" s="96" t="s">
        <v>1119</v>
      </c>
      <c r="C103" s="90" t="s">
        <v>1140</v>
      </c>
      <c r="D103" s="90" t="s">
        <v>1141</v>
      </c>
      <c r="E103" s="90" t="s">
        <v>1142</v>
      </c>
      <c r="F103" s="90" t="s">
        <v>1301</v>
      </c>
      <c r="G103" s="97" t="s">
        <v>164</v>
      </c>
      <c r="H103" s="210" t="str">
        <f>HYPERLINK("#CB_m1!code중YPSY1A01","YPSY1A01")</f>
        <v>YPSY1A01</v>
      </c>
      <c r="I103" s="205" t="str">
        <f>HYPERLINK("#QN18_m1!q18중YPSY1A01","문14-1")</f>
        <v>문14-1</v>
      </c>
      <c r="J103" s="205" t="str">
        <f>HYPERLINK("#QN19_m1!q19중YPSY1A01","문14-1")</f>
        <v>문14-1</v>
      </c>
    </row>
    <row r="104" spans="2:10" ht="18" customHeight="1">
      <c r="B104" s="101" t="s">
        <v>1119</v>
      </c>
      <c r="C104" s="92" t="s">
        <v>1140</v>
      </c>
      <c r="D104" s="92" t="s">
        <v>1141</v>
      </c>
      <c r="E104" s="92" t="s">
        <v>1142</v>
      </c>
      <c r="F104" s="92" t="s">
        <v>1302</v>
      </c>
      <c r="G104" s="91" t="s">
        <v>165</v>
      </c>
      <c r="H104" s="211" t="str">
        <f>HYPERLINK("#CB_m1!code중YPSY1A02","YPSY1A02")</f>
        <v>YPSY1A02</v>
      </c>
      <c r="I104" s="209" t="str">
        <f>HYPERLINK("#QN18_m1!q18중YPSY1A02","문14-2")</f>
        <v>문14-2</v>
      </c>
      <c r="J104" s="209" t="str">
        <f>HYPERLINK("#QN19_m1!q19중YPSY1A02","문14-2")</f>
        <v>문14-2</v>
      </c>
    </row>
    <row r="105" spans="2:10" ht="18" customHeight="1">
      <c r="B105" s="101" t="s">
        <v>1119</v>
      </c>
      <c r="C105" s="92" t="s">
        <v>1140</v>
      </c>
      <c r="D105" s="92" t="s">
        <v>1141</v>
      </c>
      <c r="E105" s="92" t="s">
        <v>1142</v>
      </c>
      <c r="F105" s="92" t="s">
        <v>1301</v>
      </c>
      <c r="G105" s="91" t="s">
        <v>166</v>
      </c>
      <c r="H105" s="211" t="str">
        <f>HYPERLINK("#CB_m1!code중YPSY1A03","YPSY1A03")</f>
        <v>YPSY1A03</v>
      </c>
      <c r="I105" s="209" t="str">
        <f>HYPERLINK("#QN18_m1!q18중YPSY1A03","문14-3")</f>
        <v>문14-3</v>
      </c>
      <c r="J105" s="209" t="str">
        <f>HYPERLINK("#QN19_m1!q19중YPSY1A03","문14-3")</f>
        <v>문14-3</v>
      </c>
    </row>
    <row r="106" spans="2:10" ht="18" customHeight="1">
      <c r="B106" s="101" t="s">
        <v>1119</v>
      </c>
      <c r="C106" s="92" t="s">
        <v>1140</v>
      </c>
      <c r="D106" s="92" t="s">
        <v>1141</v>
      </c>
      <c r="E106" s="92" t="s">
        <v>1142</v>
      </c>
      <c r="F106" s="92" t="s">
        <v>1301</v>
      </c>
      <c r="G106" s="91" t="s">
        <v>167</v>
      </c>
      <c r="H106" s="211" t="str">
        <f>HYPERLINK("#CB_m1!code중YPSY1A04","YPSY1A04")</f>
        <v>YPSY1A04</v>
      </c>
      <c r="I106" s="209" t="str">
        <f>HYPERLINK("#QN18_m1!q18중YPSY1A04","문14-4")</f>
        <v>문14-4</v>
      </c>
      <c r="J106" s="209" t="str">
        <f>HYPERLINK("#QN19_m1!q19중YPSY1A04","문14-4")</f>
        <v>문14-4</v>
      </c>
    </row>
    <row r="107" spans="2:10" ht="18" customHeight="1">
      <c r="B107" s="99" t="s">
        <v>1119</v>
      </c>
      <c r="C107" s="100" t="s">
        <v>1140</v>
      </c>
      <c r="D107" s="100" t="s">
        <v>1141</v>
      </c>
      <c r="E107" s="100" t="s">
        <v>1142</v>
      </c>
      <c r="F107" s="100" t="s">
        <v>1302</v>
      </c>
      <c r="G107" s="94" t="s">
        <v>168</v>
      </c>
      <c r="H107" s="212" t="str">
        <f>HYPERLINK("#CB_m1!code중YPSY1A05","YPSY1A05")</f>
        <v>YPSY1A05</v>
      </c>
      <c r="I107" s="207" t="str">
        <f>HYPERLINK("#QN18_m1!q18중YPSY1A05","문14-5")</f>
        <v>문14-5</v>
      </c>
      <c r="J107" s="207" t="str">
        <f>HYPERLINK("#QN19_m1!q19중YPSY1A05","문14-5")</f>
        <v>문14-5</v>
      </c>
    </row>
    <row r="108" spans="2:10" ht="18" customHeight="1">
      <c r="B108" s="96" t="s">
        <v>1119</v>
      </c>
      <c r="C108" s="90" t="s">
        <v>1140</v>
      </c>
      <c r="D108" s="90" t="s">
        <v>1143</v>
      </c>
      <c r="E108" s="90" t="s">
        <v>1144</v>
      </c>
      <c r="F108" s="90" t="s">
        <v>1301</v>
      </c>
      <c r="G108" s="97" t="s">
        <v>1243</v>
      </c>
      <c r="H108" s="210" t="str">
        <f>HYPERLINK("#CB_m1!code중YPSY2A01","YPSY2A01")</f>
        <v>YPSY2A01</v>
      </c>
      <c r="I108" s="205" t="str">
        <f>HYPERLINK("#QN18_m1!q18중YPSY2A01","문15a-1")</f>
        <v>문15a-1</v>
      </c>
      <c r="J108" s="205" t="str">
        <f>HYPERLINK("#QN19_m1!q19중YPSY2A01","문15a-1")</f>
        <v>문15a-1</v>
      </c>
    </row>
    <row r="109" spans="2:10" ht="18" customHeight="1">
      <c r="B109" s="101" t="s">
        <v>1119</v>
      </c>
      <c r="C109" s="92" t="s">
        <v>1140</v>
      </c>
      <c r="D109" s="92" t="s">
        <v>1143</v>
      </c>
      <c r="E109" s="92" t="s">
        <v>1144</v>
      </c>
      <c r="F109" s="92" t="s">
        <v>1301</v>
      </c>
      <c r="G109" s="91" t="s">
        <v>1244</v>
      </c>
      <c r="H109" s="211" t="str">
        <f>HYPERLINK("#CB_m1!code중YPSY2A02","YPSY2A02")</f>
        <v>YPSY2A02</v>
      </c>
      <c r="I109" s="209" t="str">
        <f>HYPERLINK("#QN18_m1!q18중YPSY2A02","문15a-2")</f>
        <v>문15a-2</v>
      </c>
      <c r="J109" s="209" t="str">
        <f>HYPERLINK("#QN19_m1!q19중YPSY2A02","문15a-2")</f>
        <v>문15a-2</v>
      </c>
    </row>
    <row r="110" spans="2:10" ht="18" customHeight="1">
      <c r="B110" s="101" t="s">
        <v>1119</v>
      </c>
      <c r="C110" s="92" t="s">
        <v>1140</v>
      </c>
      <c r="D110" s="92" t="s">
        <v>1143</v>
      </c>
      <c r="E110" s="92" t="s">
        <v>1144</v>
      </c>
      <c r="F110" s="92" t="s">
        <v>1301</v>
      </c>
      <c r="G110" s="91" t="s">
        <v>1245</v>
      </c>
      <c r="H110" s="211" t="str">
        <f>HYPERLINK("#CB_m1!code중YPSY2A03","YPSY2A03")</f>
        <v>YPSY2A03</v>
      </c>
      <c r="I110" s="209" t="str">
        <f>HYPERLINK("#QN18_m1!q18중YPSY2A03","문15b-1")</f>
        <v>문15b-1</v>
      </c>
      <c r="J110" s="209" t="str">
        <f>HYPERLINK("#QN19_m1!q19중YPSY2A03","문15b-1")</f>
        <v>문15b-1</v>
      </c>
    </row>
    <row r="111" spans="2:10" ht="18" customHeight="1">
      <c r="B111" s="99" t="s">
        <v>1119</v>
      </c>
      <c r="C111" s="100" t="s">
        <v>1140</v>
      </c>
      <c r="D111" s="100" t="s">
        <v>1143</v>
      </c>
      <c r="E111" s="100" t="s">
        <v>1144</v>
      </c>
      <c r="F111" s="100" t="s">
        <v>1301</v>
      </c>
      <c r="G111" s="94" t="s">
        <v>1246</v>
      </c>
      <c r="H111" s="212" t="str">
        <f>HYPERLINK("#CB_m1!code중YPSY2A04","YPSY2A04")</f>
        <v>YPSY2A04</v>
      </c>
      <c r="I111" s="207" t="str">
        <f>HYPERLINK("#QN18_m1!q18중YPSY2A04","문15b-2")</f>
        <v>문15b-2</v>
      </c>
      <c r="J111" s="207" t="str">
        <f>HYPERLINK("#QN19_m1!q19중YPSY2A04","문15b-2")</f>
        <v>문15b-2</v>
      </c>
    </row>
    <row r="112" spans="2:10" ht="18" customHeight="1">
      <c r="B112" s="96" t="s">
        <v>1119</v>
      </c>
      <c r="C112" s="90" t="s">
        <v>1140</v>
      </c>
      <c r="D112" s="90" t="s">
        <v>1145</v>
      </c>
      <c r="E112" s="90" t="s">
        <v>1146</v>
      </c>
      <c r="F112" s="90" t="s">
        <v>1301</v>
      </c>
      <c r="G112" s="97" t="s">
        <v>178</v>
      </c>
      <c r="H112" s="210" t="str">
        <f>HYPERLINK("#CB_m1!code중YPSY3A01","YPSY3A01")</f>
        <v>YPSY3A01</v>
      </c>
      <c r="I112" s="205" t="str">
        <f>HYPERLINK("#QN18_m1!q18중YPSY3A01","문16-1")</f>
        <v>문16-1</v>
      </c>
      <c r="J112" s="205" t="str">
        <f>HYPERLINK("#QN19_m1!q19중YPSY3A01","문16-1")</f>
        <v>문16-1</v>
      </c>
    </row>
    <row r="113" spans="2:10" ht="18" customHeight="1">
      <c r="B113" s="101" t="s">
        <v>1119</v>
      </c>
      <c r="C113" s="92" t="s">
        <v>1140</v>
      </c>
      <c r="D113" s="92" t="s">
        <v>1145</v>
      </c>
      <c r="E113" s="92" t="s">
        <v>1146</v>
      </c>
      <c r="F113" s="92" t="s">
        <v>1301</v>
      </c>
      <c r="G113" s="91" t="s">
        <v>179</v>
      </c>
      <c r="H113" s="211" t="str">
        <f>HYPERLINK("#CB_m1!code중YPSY3A02","YPSY3A02")</f>
        <v>YPSY3A02</v>
      </c>
      <c r="I113" s="209" t="str">
        <f>HYPERLINK("#QN18_m1!q18중YPSY3A02","문16-2")</f>
        <v>문16-2</v>
      </c>
      <c r="J113" s="209" t="str">
        <f>HYPERLINK("#QN19_m1!q19중YPSY3A02","문16-2")</f>
        <v>문16-2</v>
      </c>
    </row>
    <row r="114" spans="2:10" ht="18" customHeight="1">
      <c r="B114" s="101" t="s">
        <v>1119</v>
      </c>
      <c r="C114" s="92" t="s">
        <v>1140</v>
      </c>
      <c r="D114" s="92" t="s">
        <v>1145</v>
      </c>
      <c r="E114" s="92" t="s">
        <v>1146</v>
      </c>
      <c r="F114" s="92" t="s">
        <v>1301</v>
      </c>
      <c r="G114" s="91" t="s">
        <v>180</v>
      </c>
      <c r="H114" s="211" t="str">
        <f>HYPERLINK("#CB_m1!code중YPSY3A03","YPSY3A03")</f>
        <v>YPSY3A03</v>
      </c>
      <c r="I114" s="209" t="str">
        <f>HYPERLINK("#QN18_m1!q18중YPSY3A03","문16-3")</f>
        <v>문16-3</v>
      </c>
      <c r="J114" s="209" t="str">
        <f>HYPERLINK("#QN19_m1!q19중YPSY3A03","문16-3")</f>
        <v>문16-3</v>
      </c>
    </row>
    <row r="115" spans="2:10" ht="18" customHeight="1">
      <c r="B115" s="101" t="s">
        <v>1119</v>
      </c>
      <c r="C115" s="92" t="s">
        <v>1140</v>
      </c>
      <c r="D115" s="92" t="s">
        <v>1145</v>
      </c>
      <c r="E115" s="92" t="s">
        <v>1146</v>
      </c>
      <c r="F115" s="92" t="s">
        <v>1301</v>
      </c>
      <c r="G115" s="91" t="s">
        <v>181</v>
      </c>
      <c r="H115" s="211" t="str">
        <f>HYPERLINK("#CB_m1!code중YPSY3A04","YPSY3A04")</f>
        <v>YPSY3A04</v>
      </c>
      <c r="I115" s="209" t="str">
        <f>HYPERLINK("#QN18_m1!q18중YPSY3A04","문16-4")</f>
        <v>문16-4</v>
      </c>
      <c r="J115" s="209" t="str">
        <f>HYPERLINK("#QN19_m1!q19중YPSY3A04","문16-4")</f>
        <v>문16-4</v>
      </c>
    </row>
    <row r="116" spans="2:10" ht="18" customHeight="1">
      <c r="B116" s="101" t="s">
        <v>1119</v>
      </c>
      <c r="C116" s="92" t="s">
        <v>1140</v>
      </c>
      <c r="D116" s="92" t="s">
        <v>1145</v>
      </c>
      <c r="E116" s="92" t="s">
        <v>1146</v>
      </c>
      <c r="F116" s="92" t="s">
        <v>1301</v>
      </c>
      <c r="G116" s="91" t="s">
        <v>182</v>
      </c>
      <c r="H116" s="211" t="str">
        <f>HYPERLINK("#CB_m1!code중YPSY3A05","YPSY3A05")</f>
        <v>YPSY3A05</v>
      </c>
      <c r="I116" s="209" t="str">
        <f>HYPERLINK("#QN18_m1!q18중YPSY3A05","문16-5")</f>
        <v>문16-5</v>
      </c>
      <c r="J116" s="209" t="str">
        <f>HYPERLINK("#QN19_m1!q19중YPSY3A05","문16-5")</f>
        <v>문16-5</v>
      </c>
    </row>
    <row r="117" spans="2:10" ht="18" customHeight="1">
      <c r="B117" s="101" t="s">
        <v>1119</v>
      </c>
      <c r="C117" s="92" t="s">
        <v>1140</v>
      </c>
      <c r="D117" s="92" t="s">
        <v>1145</v>
      </c>
      <c r="E117" s="92" t="s">
        <v>1146</v>
      </c>
      <c r="F117" s="92" t="s">
        <v>1301</v>
      </c>
      <c r="G117" s="91" t="s">
        <v>183</v>
      </c>
      <c r="H117" s="211" t="str">
        <f>HYPERLINK("#CB_m1!code중YPSY3A06","YPSY3A06")</f>
        <v>YPSY3A06</v>
      </c>
      <c r="I117" s="209" t="str">
        <f>HYPERLINK("#QN18_m1!q18중YPSY3A06","문16-6")</f>
        <v>문16-6</v>
      </c>
      <c r="J117" s="209" t="str">
        <f>HYPERLINK("#QN19_m1!q19중YPSY3A06","문16-6")</f>
        <v>문16-6</v>
      </c>
    </row>
    <row r="118" spans="2:10" ht="18" customHeight="1">
      <c r="B118" s="101" t="s">
        <v>1119</v>
      </c>
      <c r="C118" s="92" t="s">
        <v>1140</v>
      </c>
      <c r="D118" s="92" t="s">
        <v>1145</v>
      </c>
      <c r="E118" s="92" t="s">
        <v>1146</v>
      </c>
      <c r="F118" s="92" t="s">
        <v>1301</v>
      </c>
      <c r="G118" s="91" t="s">
        <v>184</v>
      </c>
      <c r="H118" s="211" t="str">
        <f>HYPERLINK("#CB_m1!code중YPSY3A07","YPSY3A07")</f>
        <v>YPSY3A07</v>
      </c>
      <c r="I118" s="209" t="str">
        <f>HYPERLINK("#QN18_m1!q18중YPSY3A07","문16-7")</f>
        <v>문16-7</v>
      </c>
      <c r="J118" s="209" t="str">
        <f>HYPERLINK("#QN19_m1!q19중YPSY3A07","문16-7")</f>
        <v>문16-7</v>
      </c>
    </row>
    <row r="119" spans="2:10" ht="18" customHeight="1">
      <c r="B119" s="101" t="s">
        <v>1119</v>
      </c>
      <c r="C119" s="92" t="s">
        <v>1140</v>
      </c>
      <c r="D119" s="92" t="s">
        <v>1145</v>
      </c>
      <c r="E119" s="92" t="s">
        <v>1146</v>
      </c>
      <c r="F119" s="92" t="s">
        <v>1301</v>
      </c>
      <c r="G119" s="91" t="s">
        <v>185</v>
      </c>
      <c r="H119" s="211" t="str">
        <f>HYPERLINK("#CB_m1!code중YPSY3A08","YPSY3A08")</f>
        <v>YPSY3A08</v>
      </c>
      <c r="I119" s="209" t="str">
        <f>HYPERLINK("#QN18_m1!q18중YPSY3A08","문16-8")</f>
        <v>문16-8</v>
      </c>
      <c r="J119" s="209" t="str">
        <f>HYPERLINK("#QN19_m1!q19중YPSY3A08","문16-8")</f>
        <v>문16-8</v>
      </c>
    </row>
    <row r="120" spans="2:10" ht="18" customHeight="1">
      <c r="B120" s="101" t="s">
        <v>1119</v>
      </c>
      <c r="C120" s="92" t="s">
        <v>1140</v>
      </c>
      <c r="D120" s="92" t="s">
        <v>1145</v>
      </c>
      <c r="E120" s="92" t="s">
        <v>1146</v>
      </c>
      <c r="F120" s="92" t="s">
        <v>1302</v>
      </c>
      <c r="G120" s="91" t="s">
        <v>186</v>
      </c>
      <c r="H120" s="211" t="str">
        <f>HYPERLINK("#CB_m1!code중YPSY3A09","YPSY3A09")</f>
        <v>YPSY3A09</v>
      </c>
      <c r="I120" s="209" t="str">
        <f>HYPERLINK("#QN18_m1!q18중YPSY3A09","문16-9")</f>
        <v>문16-9</v>
      </c>
      <c r="J120" s="209" t="str">
        <f>HYPERLINK("#QN19_m1!q19중YPSY3A09","문16-9")</f>
        <v>문16-9</v>
      </c>
    </row>
    <row r="121" spans="2:10" ht="18" customHeight="1">
      <c r="B121" s="99" t="s">
        <v>1119</v>
      </c>
      <c r="C121" s="100" t="s">
        <v>1140</v>
      </c>
      <c r="D121" s="100" t="s">
        <v>1145</v>
      </c>
      <c r="E121" s="100" t="s">
        <v>1146</v>
      </c>
      <c r="F121" s="100" t="s">
        <v>1301</v>
      </c>
      <c r="G121" s="94" t="s">
        <v>187</v>
      </c>
      <c r="H121" s="212" t="str">
        <f>HYPERLINK("#CB_m1!code중YPSY3A10","YPSY3A10")</f>
        <v>YPSY3A10</v>
      </c>
      <c r="I121" s="207" t="str">
        <f>HYPERLINK("#QN18_m1!q18중YPSY3A10","문16-10")</f>
        <v>문16-10</v>
      </c>
      <c r="J121" s="207" t="str">
        <f>HYPERLINK("#QN19_m1!q19중YPSY3A10","문16-10")</f>
        <v>문16-10</v>
      </c>
    </row>
    <row r="122" spans="2:10" ht="18" customHeight="1">
      <c r="B122" s="96" t="s">
        <v>1119</v>
      </c>
      <c r="C122" s="90" t="s">
        <v>1140</v>
      </c>
      <c r="D122" s="90" t="s">
        <v>1147</v>
      </c>
      <c r="E122" s="90" t="s">
        <v>1148</v>
      </c>
      <c r="F122" s="90" t="s">
        <v>1302</v>
      </c>
      <c r="G122" s="97" t="s">
        <v>188</v>
      </c>
      <c r="H122" s="210" t="str">
        <f>HYPERLINK("#CB_m1!code중YPSY4A01","YPSY4A01")</f>
        <v>YPSY4A01</v>
      </c>
      <c r="I122" s="205" t="str">
        <f>HYPERLINK("#QN18_m1!q18중YPSY4A01","문17-1")</f>
        <v>문17-1</v>
      </c>
      <c r="J122" s="205" t="str">
        <f>HYPERLINK("#QN19_m1!q19중YPSY4A01","문17-1")</f>
        <v>문17-1</v>
      </c>
    </row>
    <row r="123" spans="2:10" ht="18" customHeight="1">
      <c r="B123" s="101" t="s">
        <v>1119</v>
      </c>
      <c r="C123" s="92" t="s">
        <v>1140</v>
      </c>
      <c r="D123" s="92" t="s">
        <v>1147</v>
      </c>
      <c r="E123" s="92" t="s">
        <v>1148</v>
      </c>
      <c r="F123" s="92" t="s">
        <v>1302</v>
      </c>
      <c r="G123" s="91" t="s">
        <v>189</v>
      </c>
      <c r="H123" s="211" t="str">
        <f>HYPERLINK("#CB_m1!code중YPSY4A02","YPSY4A02")</f>
        <v>YPSY4A02</v>
      </c>
      <c r="I123" s="209" t="str">
        <f>HYPERLINK("#QN18_m1!q18중YPSY4A02","문17-2")</f>
        <v>문17-2</v>
      </c>
      <c r="J123" s="209" t="str">
        <f>HYPERLINK("#QN19_m1!q19중YPSY4A02","문17-2")</f>
        <v>문17-2</v>
      </c>
    </row>
    <row r="124" spans="2:10" ht="18" customHeight="1">
      <c r="B124" s="101" t="s">
        <v>1119</v>
      </c>
      <c r="C124" s="92" t="s">
        <v>1140</v>
      </c>
      <c r="D124" s="92" t="s">
        <v>1147</v>
      </c>
      <c r="E124" s="92" t="s">
        <v>1148</v>
      </c>
      <c r="F124" s="92" t="s">
        <v>1301</v>
      </c>
      <c r="G124" s="91" t="s">
        <v>190</v>
      </c>
      <c r="H124" s="211" t="str">
        <f>HYPERLINK("#CB_m1!code중YPSY4A03","YPSY4A03")</f>
        <v>YPSY4A03</v>
      </c>
      <c r="I124" s="209" t="str">
        <f>HYPERLINK("#QN18_m1!q18중YPSY4A03","문17-3")</f>
        <v>문17-3</v>
      </c>
      <c r="J124" s="209" t="str">
        <f>HYPERLINK("#QN19_m1!q19중YPSY4A03","문17-3")</f>
        <v>문17-3</v>
      </c>
    </row>
    <row r="125" spans="2:10" ht="18" customHeight="1">
      <c r="B125" s="101" t="s">
        <v>1119</v>
      </c>
      <c r="C125" s="92" t="s">
        <v>1140</v>
      </c>
      <c r="D125" s="92" t="s">
        <v>1147</v>
      </c>
      <c r="E125" s="92" t="s">
        <v>1148</v>
      </c>
      <c r="F125" s="92" t="s">
        <v>1301</v>
      </c>
      <c r="G125" s="91" t="s">
        <v>191</v>
      </c>
      <c r="H125" s="211" t="str">
        <f>HYPERLINK("#CB_m1!code중YPSY4A04","YPSY4A04")</f>
        <v>YPSY4A04</v>
      </c>
      <c r="I125" s="209" t="str">
        <f>HYPERLINK("#QN18_m1!q18중YPSY4A04","문17-4")</f>
        <v>문17-4</v>
      </c>
      <c r="J125" s="209" t="str">
        <f>HYPERLINK("#QN19_m1!q19중YPSY4A04","문17-4")</f>
        <v>문17-4</v>
      </c>
    </row>
    <row r="126" spans="2:10" ht="18" customHeight="1">
      <c r="B126" s="101" t="s">
        <v>1119</v>
      </c>
      <c r="C126" s="92" t="s">
        <v>1140</v>
      </c>
      <c r="D126" s="92" t="s">
        <v>1147</v>
      </c>
      <c r="E126" s="92" t="s">
        <v>1148</v>
      </c>
      <c r="F126" s="92" t="s">
        <v>1301</v>
      </c>
      <c r="G126" s="91" t="s">
        <v>192</v>
      </c>
      <c r="H126" s="211" t="str">
        <f>HYPERLINK("#CB_m1!code중YPSY4A05","YPSY4A05")</f>
        <v>YPSY4A05</v>
      </c>
      <c r="I126" s="209" t="str">
        <f>HYPERLINK("#QN18_m1!q18중YPSY4A05","문17-5")</f>
        <v>문17-5</v>
      </c>
      <c r="J126" s="209" t="str">
        <f>HYPERLINK("#QN19_m1!q19중YPSY4A05","문17-5")</f>
        <v>문17-5</v>
      </c>
    </row>
    <row r="127" spans="2:10" ht="18" customHeight="1">
      <c r="B127" s="101" t="s">
        <v>1119</v>
      </c>
      <c r="C127" s="92" t="s">
        <v>1140</v>
      </c>
      <c r="D127" s="92" t="s">
        <v>1147</v>
      </c>
      <c r="E127" s="92" t="s">
        <v>1148</v>
      </c>
      <c r="F127" s="92" t="s">
        <v>1302</v>
      </c>
      <c r="G127" s="91" t="s">
        <v>193</v>
      </c>
      <c r="H127" s="211" t="str">
        <f>HYPERLINK("#CB_m1!code중YPSY4A06","YPSY4A06")</f>
        <v>YPSY4A06</v>
      </c>
      <c r="I127" s="209" t="str">
        <f>HYPERLINK("#QN18_m1!q18중YPSY4A06","문17-6")</f>
        <v>문17-6</v>
      </c>
      <c r="J127" s="209" t="str">
        <f>HYPERLINK("#QN19_m1!q19중YPSY4A06","문17-6")</f>
        <v>문17-6</v>
      </c>
    </row>
    <row r="128" spans="2:10" ht="18" customHeight="1">
      <c r="B128" s="99" t="s">
        <v>1119</v>
      </c>
      <c r="C128" s="100" t="s">
        <v>1140</v>
      </c>
      <c r="D128" s="100" t="s">
        <v>1147</v>
      </c>
      <c r="E128" s="100" t="s">
        <v>1148</v>
      </c>
      <c r="F128" s="100" t="s">
        <v>1302</v>
      </c>
      <c r="G128" s="94" t="s">
        <v>194</v>
      </c>
      <c r="H128" s="212" t="str">
        <f>HYPERLINK("#CB_m1!code중YPSY4A07","YPSY4A07")</f>
        <v>YPSY4A07</v>
      </c>
      <c r="I128" s="207" t="str">
        <f>HYPERLINK("#QN18_m1!q18중YPSY4A07","문17-7")</f>
        <v>문17-7</v>
      </c>
      <c r="J128" s="207" t="str">
        <f>HYPERLINK("#QN19_m1!q19중YPSY4A07","문17-7")</f>
        <v>문17-7</v>
      </c>
    </row>
    <row r="129" spans="2:10" ht="18" customHeight="1">
      <c r="B129" s="96" t="s">
        <v>1119</v>
      </c>
      <c r="C129" s="90" t="s">
        <v>1140</v>
      </c>
      <c r="D129" s="90" t="s">
        <v>1147</v>
      </c>
      <c r="E129" s="90" t="s">
        <v>1149</v>
      </c>
      <c r="F129" s="90" t="s">
        <v>1301</v>
      </c>
      <c r="G129" s="97" t="s">
        <v>195</v>
      </c>
      <c r="H129" s="210" t="str">
        <f>HYPERLINK("#CB_m1!code중YPSY4B01","YPSY4B01")</f>
        <v>YPSY4B01</v>
      </c>
      <c r="I129" s="205" t="str">
        <f>HYPERLINK("#QN18_m1!q18중YPSY4B01","문17-8")</f>
        <v>문17-8</v>
      </c>
      <c r="J129" s="205" t="str">
        <f>HYPERLINK("#QN19_m1!q19중YPSY4B01","문17-8")</f>
        <v>문17-8</v>
      </c>
    </row>
    <row r="130" spans="2:10" ht="18" customHeight="1">
      <c r="B130" s="101" t="s">
        <v>1119</v>
      </c>
      <c r="C130" s="92" t="s">
        <v>1140</v>
      </c>
      <c r="D130" s="92" t="s">
        <v>1147</v>
      </c>
      <c r="E130" s="92" t="s">
        <v>1149</v>
      </c>
      <c r="F130" s="92" t="s">
        <v>1301</v>
      </c>
      <c r="G130" s="91" t="s">
        <v>196</v>
      </c>
      <c r="H130" s="211" t="str">
        <f>HYPERLINK("#CB_m1!code중YPSY4B02","YPSY4B02")</f>
        <v>YPSY4B02</v>
      </c>
      <c r="I130" s="209" t="str">
        <f>HYPERLINK("#QN18_m1!q18중YPSY4B02","문17-9")</f>
        <v>문17-9</v>
      </c>
      <c r="J130" s="209" t="str">
        <f>HYPERLINK("#QN19_m1!q19중YPSY4B02","문17-9")</f>
        <v>문17-9</v>
      </c>
    </row>
    <row r="131" spans="2:10" ht="18" customHeight="1">
      <c r="B131" s="101" t="s">
        <v>1119</v>
      </c>
      <c r="C131" s="92" t="s">
        <v>1140</v>
      </c>
      <c r="D131" s="92" t="s">
        <v>1147</v>
      </c>
      <c r="E131" s="92" t="s">
        <v>1149</v>
      </c>
      <c r="F131" s="92" t="s">
        <v>1302</v>
      </c>
      <c r="G131" s="91" t="s">
        <v>197</v>
      </c>
      <c r="H131" s="211" t="str">
        <f>HYPERLINK("#CB_m1!code중YPSY4B03","YPSY4B03")</f>
        <v>YPSY4B03</v>
      </c>
      <c r="I131" s="209" t="str">
        <f>HYPERLINK("#QN18_m1!q18중YPSY4B03","문17-10")</f>
        <v>문17-10</v>
      </c>
      <c r="J131" s="209" t="str">
        <f>HYPERLINK("#QN19_m1!q19중YPSY4B03","문17-10")</f>
        <v>문17-10</v>
      </c>
    </row>
    <row r="132" spans="2:10" ht="18" customHeight="1">
      <c r="B132" s="101" t="s">
        <v>1119</v>
      </c>
      <c r="C132" s="92" t="s">
        <v>1140</v>
      </c>
      <c r="D132" s="92" t="s">
        <v>1147</v>
      </c>
      <c r="E132" s="92" t="s">
        <v>1149</v>
      </c>
      <c r="F132" s="92" t="s">
        <v>1301</v>
      </c>
      <c r="G132" s="91" t="s">
        <v>198</v>
      </c>
      <c r="H132" s="211" t="str">
        <f>HYPERLINK("#CB_m1!code중YPSY4B04","YPSY4B04")</f>
        <v>YPSY4B04</v>
      </c>
      <c r="I132" s="209" t="str">
        <f>HYPERLINK("#QN18_m1!q18중YPSY4B04","문17-11")</f>
        <v>문17-11</v>
      </c>
      <c r="J132" s="209" t="str">
        <f>HYPERLINK("#QN19_m1!q19중YPSY4B04","문17-11")</f>
        <v>문17-11</v>
      </c>
    </row>
    <row r="133" spans="2:10" ht="18" customHeight="1">
      <c r="B133" s="101" t="s">
        <v>1119</v>
      </c>
      <c r="C133" s="92" t="s">
        <v>1140</v>
      </c>
      <c r="D133" s="92" t="s">
        <v>1147</v>
      </c>
      <c r="E133" s="92" t="s">
        <v>1149</v>
      </c>
      <c r="F133" s="92" t="s">
        <v>1302</v>
      </c>
      <c r="G133" s="91" t="s">
        <v>199</v>
      </c>
      <c r="H133" s="211" t="str">
        <f>HYPERLINK("#CB_m1!code중YPSY4B05","YPSY4B05")</f>
        <v>YPSY4B05</v>
      </c>
      <c r="I133" s="209" t="str">
        <f>HYPERLINK("#QN18_m1!q18중YPSY4B05","문17-12")</f>
        <v>문17-12</v>
      </c>
      <c r="J133" s="209" t="str">
        <f>HYPERLINK("#QN19_m1!q19중YPSY4B05","문17-12")</f>
        <v>문17-12</v>
      </c>
    </row>
    <row r="134" spans="2:10" ht="18" customHeight="1">
      <c r="B134" s="99" t="s">
        <v>1119</v>
      </c>
      <c r="C134" s="100" t="s">
        <v>1140</v>
      </c>
      <c r="D134" s="100" t="s">
        <v>1147</v>
      </c>
      <c r="E134" s="100" t="s">
        <v>1149</v>
      </c>
      <c r="F134" s="100" t="s">
        <v>1302</v>
      </c>
      <c r="G134" s="94" t="s">
        <v>200</v>
      </c>
      <c r="H134" s="212" t="str">
        <f>HYPERLINK("#CB_m1!code중YPSY4B06","YPSY4B06")</f>
        <v>YPSY4B06</v>
      </c>
      <c r="I134" s="207" t="str">
        <f>HYPERLINK("#QN18_m1!q18중YPSY4B06","문17-13")</f>
        <v>문17-13</v>
      </c>
      <c r="J134" s="207" t="str">
        <f>HYPERLINK("#QN19_m1!q19중YPSY4B06","문17-13")</f>
        <v>문17-13</v>
      </c>
    </row>
    <row r="135" spans="2:10" ht="18" customHeight="1">
      <c r="B135" s="96" t="s">
        <v>1119</v>
      </c>
      <c r="C135" s="90" t="s">
        <v>1140</v>
      </c>
      <c r="D135" s="90" t="s">
        <v>1147</v>
      </c>
      <c r="E135" s="90" t="s">
        <v>1150</v>
      </c>
      <c r="F135" s="90" t="s">
        <v>1</v>
      </c>
      <c r="G135" s="97" t="s">
        <v>201</v>
      </c>
      <c r="H135" s="210" t="str">
        <f>HYPERLINK("#CB_m1!code중YPSY4C01","YPSY4C01")</f>
        <v>YPSY4C01</v>
      </c>
      <c r="I135" s="205" t="str">
        <f>HYPERLINK("#QN18_m1!q18중YPSY4C01","문17-14")</f>
        <v>문17-14</v>
      </c>
      <c r="J135" s="205" t="str">
        <f>HYPERLINK("#QN19_m1!q19중YPSY4C01","문17-14")</f>
        <v>문17-14</v>
      </c>
    </row>
    <row r="136" spans="2:10" ht="18" customHeight="1">
      <c r="B136" s="101" t="s">
        <v>1119</v>
      </c>
      <c r="C136" s="92" t="s">
        <v>1140</v>
      </c>
      <c r="D136" s="92" t="s">
        <v>1147</v>
      </c>
      <c r="E136" s="92" t="s">
        <v>1150</v>
      </c>
      <c r="F136" s="92" t="s">
        <v>1302</v>
      </c>
      <c r="G136" s="91" t="s">
        <v>202</v>
      </c>
      <c r="H136" s="211" t="str">
        <f>HYPERLINK("#CB_m1!code중YPSY4C02","YPSY4C02")</f>
        <v>YPSY4C02</v>
      </c>
      <c r="I136" s="209" t="str">
        <f>HYPERLINK("#QN18_m1!q18중YPSY4C02","문17-15")</f>
        <v>문17-15</v>
      </c>
      <c r="J136" s="209" t="str">
        <f>HYPERLINK("#QN19_m1!q19중YPSY4C02","문17-15")</f>
        <v>문17-15</v>
      </c>
    </row>
    <row r="137" spans="2:10" ht="18" customHeight="1">
      <c r="B137" s="101" t="s">
        <v>1119</v>
      </c>
      <c r="C137" s="92" t="s">
        <v>1140</v>
      </c>
      <c r="D137" s="92" t="s">
        <v>1147</v>
      </c>
      <c r="E137" s="92" t="s">
        <v>1150</v>
      </c>
      <c r="F137" s="92" t="s">
        <v>1301</v>
      </c>
      <c r="G137" s="91" t="s">
        <v>203</v>
      </c>
      <c r="H137" s="211" t="str">
        <f>HYPERLINK("#CB_m1!code중YPSY4C03","YPSY4C03")</f>
        <v>YPSY4C03</v>
      </c>
      <c r="I137" s="209" t="str">
        <f>HYPERLINK("#QN18_m1!q18중YPSY4C03","문17-16")</f>
        <v>문17-16</v>
      </c>
      <c r="J137" s="209" t="str">
        <f>HYPERLINK("#QN19_m1!q19중YPSY4C03","문17-16")</f>
        <v>문17-16</v>
      </c>
    </row>
    <row r="138" spans="2:10" ht="18" customHeight="1">
      <c r="B138" s="101" t="s">
        <v>1119</v>
      </c>
      <c r="C138" s="92" t="s">
        <v>1140</v>
      </c>
      <c r="D138" s="92" t="s">
        <v>1147</v>
      </c>
      <c r="E138" s="92" t="s">
        <v>1150</v>
      </c>
      <c r="F138" s="92" t="s">
        <v>1302</v>
      </c>
      <c r="G138" s="91" t="s">
        <v>204</v>
      </c>
      <c r="H138" s="211" t="str">
        <f>HYPERLINK("#CB_m1!code중YPSY4C04","YPSY4C04")</f>
        <v>YPSY4C04</v>
      </c>
      <c r="I138" s="209" t="str">
        <f>HYPERLINK("#QN18_m1!q18중YPSY4C04","문17-17")</f>
        <v>문17-17</v>
      </c>
      <c r="J138" s="209" t="str">
        <f>HYPERLINK("#QN19_m1!q19중YPSY4C04","문17-17")</f>
        <v>문17-17</v>
      </c>
    </row>
    <row r="139" spans="2:10" ht="18" customHeight="1">
      <c r="B139" s="101" t="s">
        <v>1119</v>
      </c>
      <c r="C139" s="92" t="s">
        <v>1140</v>
      </c>
      <c r="D139" s="92" t="s">
        <v>1147</v>
      </c>
      <c r="E139" s="92" t="s">
        <v>1150</v>
      </c>
      <c r="F139" s="92" t="s">
        <v>1302</v>
      </c>
      <c r="G139" s="91" t="s">
        <v>205</v>
      </c>
      <c r="H139" s="211" t="str">
        <f>HYPERLINK("#CB_m1!code중YPSY4C05","YPSY4C05")</f>
        <v>YPSY4C05</v>
      </c>
      <c r="I139" s="209" t="str">
        <f>HYPERLINK("#QN18_m1!q18중YPSY4C05","문17-18")</f>
        <v>문17-18</v>
      </c>
      <c r="J139" s="209" t="str">
        <f>HYPERLINK("#QN19_m1!q19중YPSY4C05","문17-18")</f>
        <v>문17-18</v>
      </c>
    </row>
    <row r="140" spans="2:10" ht="18" customHeight="1">
      <c r="B140" s="101" t="s">
        <v>1119</v>
      </c>
      <c r="C140" s="92" t="s">
        <v>1140</v>
      </c>
      <c r="D140" s="92" t="s">
        <v>1147</v>
      </c>
      <c r="E140" s="92" t="s">
        <v>1150</v>
      </c>
      <c r="F140" s="92" t="s">
        <v>1302</v>
      </c>
      <c r="G140" s="91" t="s">
        <v>206</v>
      </c>
      <c r="H140" s="211" t="str">
        <f>HYPERLINK("#CB_m1!code중YPSY4C06","YPSY4C06")</f>
        <v>YPSY4C06</v>
      </c>
      <c r="I140" s="209" t="str">
        <f>HYPERLINK("#QN18_m1!q18중YPSY4C06","문17-19")</f>
        <v>문17-19</v>
      </c>
      <c r="J140" s="209" t="str">
        <f>HYPERLINK("#QN19_m1!q19중YPSY4C06","문17-19")</f>
        <v>문17-19</v>
      </c>
    </row>
    <row r="141" spans="2:10" ht="18" customHeight="1">
      <c r="B141" s="101" t="s">
        <v>1119</v>
      </c>
      <c r="C141" s="92" t="s">
        <v>1140</v>
      </c>
      <c r="D141" s="92" t="s">
        <v>1147</v>
      </c>
      <c r="E141" s="92" t="s">
        <v>1150</v>
      </c>
      <c r="F141" s="92" t="s">
        <v>1302</v>
      </c>
      <c r="G141" s="91" t="s">
        <v>207</v>
      </c>
      <c r="H141" s="211" t="str">
        <f>HYPERLINK("#CB_m1!code중YPSY4C07","YPSY4C07")</f>
        <v>YPSY4C07</v>
      </c>
      <c r="I141" s="209" t="str">
        <f>HYPERLINK("#QN18_m1!q18중YPSY4C07","문17-20")</f>
        <v>문17-20</v>
      </c>
      <c r="J141" s="209" t="str">
        <f>HYPERLINK("#QN19_m1!q19중YPSY4C07","문17-20")</f>
        <v>문17-20</v>
      </c>
    </row>
    <row r="142" spans="2:10" ht="18" customHeight="1">
      <c r="B142" s="99" t="s">
        <v>1119</v>
      </c>
      <c r="C142" s="100" t="s">
        <v>1140</v>
      </c>
      <c r="D142" s="100" t="s">
        <v>1147</v>
      </c>
      <c r="E142" s="100" t="s">
        <v>1150</v>
      </c>
      <c r="F142" s="100" t="s">
        <v>1301</v>
      </c>
      <c r="G142" s="94" t="s">
        <v>208</v>
      </c>
      <c r="H142" s="212" t="str">
        <f>HYPERLINK("#CB_m1!code중YPSY4C08","YPSY4C08")</f>
        <v>YPSY4C08</v>
      </c>
      <c r="I142" s="207" t="str">
        <f>HYPERLINK("#QN18_m1!q18중YPSY4C08","문17-21")</f>
        <v>문17-21</v>
      </c>
      <c r="J142" s="207" t="str">
        <f>HYPERLINK("#QN19_m1!q19중YPSY4C08","문17-21")</f>
        <v>문17-21</v>
      </c>
    </row>
    <row r="143" spans="2:10" ht="18" customHeight="1">
      <c r="B143" s="96" t="s">
        <v>1119</v>
      </c>
      <c r="C143" s="90" t="s">
        <v>1140</v>
      </c>
      <c r="D143" s="90" t="s">
        <v>1147</v>
      </c>
      <c r="E143" s="90" t="s">
        <v>1151</v>
      </c>
      <c r="F143" s="90" t="s">
        <v>1302</v>
      </c>
      <c r="G143" s="97" t="s">
        <v>209</v>
      </c>
      <c r="H143" s="210" t="str">
        <f>HYPERLINK("#CB_m1!code중YPSY4D01","YPSY4D01")</f>
        <v>YPSY4D01</v>
      </c>
      <c r="I143" s="205" t="str">
        <f>HYPERLINK("#QN18_m1!q18중YPSY4D01","문17-22")</f>
        <v>문17-22</v>
      </c>
      <c r="J143" s="205" t="str">
        <f>HYPERLINK("#QN19_m1!q19중YPSY4D01","문17-22")</f>
        <v>문17-22</v>
      </c>
    </row>
    <row r="144" spans="2:10" ht="18" customHeight="1">
      <c r="B144" s="101" t="s">
        <v>1119</v>
      </c>
      <c r="C144" s="92" t="s">
        <v>1140</v>
      </c>
      <c r="D144" s="92" t="s">
        <v>1147</v>
      </c>
      <c r="E144" s="92" t="s">
        <v>1151</v>
      </c>
      <c r="F144" s="92" t="s">
        <v>1301</v>
      </c>
      <c r="G144" s="91" t="s">
        <v>210</v>
      </c>
      <c r="H144" s="211" t="str">
        <f>HYPERLINK("#CB_m1!code중YPSY4D02","YPSY4D02")</f>
        <v>YPSY4D02</v>
      </c>
      <c r="I144" s="209" t="str">
        <f>HYPERLINK("#QN18_m1!q18중YPSY4D02","문17-23")</f>
        <v>문17-23</v>
      </c>
      <c r="J144" s="209" t="str">
        <f>HYPERLINK("#QN19_m1!q19중YPSY4D02","문17-23")</f>
        <v>문17-23</v>
      </c>
    </row>
    <row r="145" spans="2:10" ht="18" customHeight="1">
      <c r="B145" s="101" t="s">
        <v>1119</v>
      </c>
      <c r="C145" s="92" t="s">
        <v>1140</v>
      </c>
      <c r="D145" s="92" t="s">
        <v>1147</v>
      </c>
      <c r="E145" s="92" t="s">
        <v>1151</v>
      </c>
      <c r="F145" s="92" t="s">
        <v>1302</v>
      </c>
      <c r="G145" s="91" t="s">
        <v>211</v>
      </c>
      <c r="H145" s="211" t="str">
        <f>HYPERLINK("#CB_m1!code중YPSY4D03","YPSY4D03")</f>
        <v>YPSY4D03</v>
      </c>
      <c r="I145" s="209" t="str">
        <f>HYPERLINK("#QN18_m1!q18중YPSY4D03","문17-24")</f>
        <v>문17-24</v>
      </c>
      <c r="J145" s="209" t="str">
        <f>HYPERLINK("#QN19_m1!q19중YPSY4D03","문17-24")</f>
        <v>문17-24</v>
      </c>
    </row>
    <row r="146" spans="2:10" ht="18" customHeight="1">
      <c r="B146" s="101" t="s">
        <v>1119</v>
      </c>
      <c r="C146" s="92" t="s">
        <v>1140</v>
      </c>
      <c r="D146" s="92" t="s">
        <v>1147</v>
      </c>
      <c r="E146" s="92" t="s">
        <v>1151</v>
      </c>
      <c r="F146" s="92" t="s">
        <v>1301</v>
      </c>
      <c r="G146" s="91" t="s">
        <v>212</v>
      </c>
      <c r="H146" s="211" t="str">
        <f>HYPERLINK("#CB_m1!code중YPSY4D04","YPSY4D04")</f>
        <v>YPSY4D04</v>
      </c>
      <c r="I146" s="209" t="str">
        <f>HYPERLINK("#QN18_m1!q18중YPSY4D04","문17-25")</f>
        <v>문17-25</v>
      </c>
      <c r="J146" s="209" t="str">
        <f>HYPERLINK("#QN19_m1!q19중YPSY4D04","문17-25")</f>
        <v>문17-25</v>
      </c>
    </row>
    <row r="147" spans="2:10" ht="18" customHeight="1">
      <c r="B147" s="99" t="s">
        <v>1119</v>
      </c>
      <c r="C147" s="100" t="s">
        <v>1140</v>
      </c>
      <c r="D147" s="100" t="s">
        <v>1147</v>
      </c>
      <c r="E147" s="100" t="s">
        <v>1151</v>
      </c>
      <c r="F147" s="100" t="s">
        <v>1302</v>
      </c>
      <c r="G147" s="94" t="s">
        <v>213</v>
      </c>
      <c r="H147" s="212" t="str">
        <f>HYPERLINK("#CB_m1!code중YPSY4D05","YPSY4D05")</f>
        <v>YPSY4D05</v>
      </c>
      <c r="I147" s="207" t="str">
        <f>HYPERLINK("#QN18_m1!q18중YPSY4D05","문17-26")</f>
        <v>문17-26</v>
      </c>
      <c r="J147" s="207" t="str">
        <f>HYPERLINK("#QN19_m1!q19중YPSY4D05","문17-26")</f>
        <v>문17-26</v>
      </c>
    </row>
    <row r="148" spans="2:10" ht="18" customHeight="1">
      <c r="B148" s="96" t="s">
        <v>1119</v>
      </c>
      <c r="C148" s="90" t="s">
        <v>1140</v>
      </c>
      <c r="D148" s="90" t="s">
        <v>1147</v>
      </c>
      <c r="E148" s="90" t="s">
        <v>1152</v>
      </c>
      <c r="F148" s="90" t="s">
        <v>1301</v>
      </c>
      <c r="G148" s="97" t="s">
        <v>214</v>
      </c>
      <c r="H148" s="210" t="str">
        <f>HYPERLINK("#CB_m1!code중YPSY4E01","YPSY4E01")</f>
        <v>YPSY4E01</v>
      </c>
      <c r="I148" s="205" t="str">
        <f>HYPERLINK("#QN18_m1!q18중YPSY4E01","문17-27")</f>
        <v>문17-27</v>
      </c>
      <c r="J148" s="205" t="str">
        <f>HYPERLINK("#QN19_m1!q19중YPSY4E01","문17-27")</f>
        <v>문17-27</v>
      </c>
    </row>
    <row r="149" spans="2:10" ht="18" customHeight="1">
      <c r="B149" s="101" t="s">
        <v>1119</v>
      </c>
      <c r="C149" s="92" t="s">
        <v>1140</v>
      </c>
      <c r="D149" s="92" t="s">
        <v>1147</v>
      </c>
      <c r="E149" s="92" t="s">
        <v>1152</v>
      </c>
      <c r="F149" s="92" t="s">
        <v>1302</v>
      </c>
      <c r="G149" s="91" t="s">
        <v>215</v>
      </c>
      <c r="H149" s="211" t="str">
        <f>HYPERLINK("#CB_m1!code중YPSY4E02","YPSY4E02")</f>
        <v>YPSY4E02</v>
      </c>
      <c r="I149" s="209" t="str">
        <f>HYPERLINK("#QN18_m1!q18중YPSY4E02","문17-28")</f>
        <v>문17-28</v>
      </c>
      <c r="J149" s="209" t="str">
        <f>HYPERLINK("#QN19_m1!q19중YPSY4E02","문17-28")</f>
        <v>문17-28</v>
      </c>
    </row>
    <row r="150" spans="2:10" ht="18" customHeight="1">
      <c r="B150" s="101" t="s">
        <v>1119</v>
      </c>
      <c r="C150" s="92" t="s">
        <v>1140</v>
      </c>
      <c r="D150" s="92" t="s">
        <v>1147</v>
      </c>
      <c r="E150" s="92" t="s">
        <v>1152</v>
      </c>
      <c r="F150" s="92" t="s">
        <v>1302</v>
      </c>
      <c r="G150" s="91" t="s">
        <v>216</v>
      </c>
      <c r="H150" s="211" t="str">
        <f>HYPERLINK("#CB_m1!code중YPSY4E03","YPSY4E03")</f>
        <v>YPSY4E03</v>
      </c>
      <c r="I150" s="209" t="str">
        <f>HYPERLINK("#QN18_m1!q18중YPSY4E03","문17-29")</f>
        <v>문17-29</v>
      </c>
      <c r="J150" s="209" t="str">
        <f>HYPERLINK("#QN19_m1!q19중YPSY4E03","문17-29")</f>
        <v>문17-29</v>
      </c>
    </row>
    <row r="151" spans="2:10" ht="18" customHeight="1">
      <c r="B151" s="101" t="s">
        <v>1119</v>
      </c>
      <c r="C151" s="92" t="s">
        <v>1140</v>
      </c>
      <c r="D151" s="92" t="s">
        <v>1147</v>
      </c>
      <c r="E151" s="92" t="s">
        <v>1152</v>
      </c>
      <c r="F151" s="92" t="s">
        <v>1302</v>
      </c>
      <c r="G151" s="91" t="s">
        <v>217</v>
      </c>
      <c r="H151" s="211" t="str">
        <f>HYPERLINK("#CB_m1!code중YPSY4E04","YPSY4E04")</f>
        <v>YPSY4E04</v>
      </c>
      <c r="I151" s="209" t="str">
        <f>HYPERLINK("#QN18_m1!q18중YPSY4E04","문17-30")</f>
        <v>문17-30</v>
      </c>
      <c r="J151" s="209" t="str">
        <f>HYPERLINK("#QN19_m1!q19중YPSY4E04","문17-30")</f>
        <v>문17-30</v>
      </c>
    </row>
    <row r="152" spans="2:10" ht="18" customHeight="1">
      <c r="B152" s="101" t="s">
        <v>1119</v>
      </c>
      <c r="C152" s="92" t="s">
        <v>1140</v>
      </c>
      <c r="D152" s="92" t="s">
        <v>1147</v>
      </c>
      <c r="E152" s="92" t="s">
        <v>1152</v>
      </c>
      <c r="F152" s="92" t="s">
        <v>1302</v>
      </c>
      <c r="G152" s="91" t="s">
        <v>218</v>
      </c>
      <c r="H152" s="211" t="str">
        <f>HYPERLINK("#CB_m1!code중YPSY4E05","YPSY4E05")</f>
        <v>YPSY4E05</v>
      </c>
      <c r="I152" s="209" t="str">
        <f>HYPERLINK("#QN18_m1!q18중YPSY4E05","문17-31")</f>
        <v>문17-31</v>
      </c>
      <c r="J152" s="209" t="str">
        <f>HYPERLINK("#QN19_m1!q19중YPSY4E05","문17-31")</f>
        <v>문17-31</v>
      </c>
    </row>
    <row r="153" spans="2:10" ht="18" customHeight="1">
      <c r="B153" s="101" t="s">
        <v>1119</v>
      </c>
      <c r="C153" s="92" t="s">
        <v>1140</v>
      </c>
      <c r="D153" s="92" t="s">
        <v>1147</v>
      </c>
      <c r="E153" s="92" t="s">
        <v>1152</v>
      </c>
      <c r="F153" s="92" t="s">
        <v>1302</v>
      </c>
      <c r="G153" s="91" t="s">
        <v>219</v>
      </c>
      <c r="H153" s="211" t="str">
        <f>HYPERLINK("#CB_m1!code중YPSY4E06","YPSY4E06")</f>
        <v>YPSY4E06</v>
      </c>
      <c r="I153" s="209" t="str">
        <f>HYPERLINK("#QN18_m1!q18중YPSY4E06","문17-32")</f>
        <v>문17-32</v>
      </c>
      <c r="J153" s="209" t="str">
        <f>HYPERLINK("#QN19_m1!q19중YPSY4E06","문17-32")</f>
        <v>문17-32</v>
      </c>
    </row>
    <row r="154" spans="2:10" ht="18" customHeight="1">
      <c r="B154" s="101" t="s">
        <v>1119</v>
      </c>
      <c r="C154" s="92" t="s">
        <v>1140</v>
      </c>
      <c r="D154" s="92" t="s">
        <v>1147</v>
      </c>
      <c r="E154" s="92" t="s">
        <v>1152</v>
      </c>
      <c r="F154" s="92" t="s">
        <v>1302</v>
      </c>
      <c r="G154" s="91" t="s">
        <v>220</v>
      </c>
      <c r="H154" s="211" t="str">
        <f>HYPERLINK("#CB_m1!code중YPSY4E07","YPSY4E07")</f>
        <v>YPSY4E07</v>
      </c>
      <c r="I154" s="209" t="str">
        <f>HYPERLINK("#QN18_m1!q18중YPSY4E07","문17-33")</f>
        <v>문17-33</v>
      </c>
      <c r="J154" s="209" t="str">
        <f>HYPERLINK("#QN19_m1!q19중YPSY4E07","문17-33")</f>
        <v>문17-33</v>
      </c>
    </row>
    <row r="155" spans="2:10" ht="18" customHeight="1">
      <c r="B155" s="101" t="s">
        <v>1119</v>
      </c>
      <c r="C155" s="92" t="s">
        <v>1140</v>
      </c>
      <c r="D155" s="92" t="s">
        <v>1147</v>
      </c>
      <c r="E155" s="92" t="s">
        <v>1152</v>
      </c>
      <c r="F155" s="92" t="s">
        <v>1302</v>
      </c>
      <c r="G155" s="91" t="s">
        <v>221</v>
      </c>
      <c r="H155" s="211" t="str">
        <f>HYPERLINK("#CB_m1!code중YPSY4E08","YPSY4E08")</f>
        <v>YPSY4E08</v>
      </c>
      <c r="I155" s="209" t="str">
        <f>HYPERLINK("#QN18_m1!q18중YPSY4E08","문17-34")</f>
        <v>문17-34</v>
      </c>
      <c r="J155" s="209" t="str">
        <f>HYPERLINK("#QN19_m1!q19중YPSY4E08","문17-34")</f>
        <v>문17-34</v>
      </c>
    </row>
    <row r="156" spans="2:10" ht="18" customHeight="1">
      <c r="B156" s="101" t="s">
        <v>1119</v>
      </c>
      <c r="C156" s="92" t="s">
        <v>1140</v>
      </c>
      <c r="D156" s="92" t="s">
        <v>1147</v>
      </c>
      <c r="E156" s="92" t="s">
        <v>1152</v>
      </c>
      <c r="F156" s="92" t="s">
        <v>1302</v>
      </c>
      <c r="G156" s="91" t="s">
        <v>222</v>
      </c>
      <c r="H156" s="211" t="str">
        <f>HYPERLINK("#CB_m1!code중YPSY4E09","YPSY4E09")</f>
        <v>YPSY4E09</v>
      </c>
      <c r="I156" s="209" t="str">
        <f>HYPERLINK("#QN18_m1!q18중YPSY4E09","문17-35")</f>
        <v>문17-35</v>
      </c>
      <c r="J156" s="209" t="str">
        <f>HYPERLINK("#QN19_m1!q19중YPSY4E09","문17-35")</f>
        <v>문17-35</v>
      </c>
    </row>
    <row r="157" spans="2:10" ht="18" customHeight="1">
      <c r="B157" s="99" t="s">
        <v>1119</v>
      </c>
      <c r="C157" s="100" t="s">
        <v>1140</v>
      </c>
      <c r="D157" s="100" t="s">
        <v>1147</v>
      </c>
      <c r="E157" s="100" t="s">
        <v>1152</v>
      </c>
      <c r="F157" s="100" t="s">
        <v>1301</v>
      </c>
      <c r="G157" s="94" t="s">
        <v>223</v>
      </c>
      <c r="H157" s="212" t="str">
        <f>HYPERLINK("#CB_m1!code중YPSY4E10","YPSY4E10")</f>
        <v>YPSY4E10</v>
      </c>
      <c r="I157" s="207" t="str">
        <f>HYPERLINK("#QN18_m1!q18중YPSY4E10","문17-36")</f>
        <v>문17-36</v>
      </c>
      <c r="J157" s="207" t="str">
        <f>HYPERLINK("#QN19_m1!q19중YPSY4E10","문17-36")</f>
        <v>문17-36</v>
      </c>
    </row>
    <row r="158" spans="2:10" ht="18" customHeight="1">
      <c r="B158" s="96" t="s">
        <v>1119</v>
      </c>
      <c r="C158" s="90" t="s">
        <v>1140</v>
      </c>
      <c r="D158" s="90" t="s">
        <v>1153</v>
      </c>
      <c r="E158" s="90" t="s">
        <v>1154</v>
      </c>
      <c r="F158" s="96" t="s">
        <v>1412</v>
      </c>
      <c r="G158" s="97" t="s">
        <v>1247</v>
      </c>
      <c r="H158" s="210" t="str">
        <f>HYPERLINK("#CB_m1!code중YPSY5A01","YPSY5A01")</f>
        <v>YPSY5A01</v>
      </c>
      <c r="I158" s="205" t="str">
        <f>HYPERLINK("#QN18_m1!q18중YPSY5A01","문18-1")</f>
        <v>문18-1</v>
      </c>
      <c r="J158" s="205" t="str">
        <f>HYPERLINK("#QN19_m1!q19중YPSY5A01","문18-1")</f>
        <v>문18-1</v>
      </c>
    </row>
    <row r="159" spans="2:10" ht="18" customHeight="1">
      <c r="B159" s="101" t="s">
        <v>1119</v>
      </c>
      <c r="C159" s="92" t="s">
        <v>1140</v>
      </c>
      <c r="D159" s="92" t="s">
        <v>1153</v>
      </c>
      <c r="E159" s="92" t="s">
        <v>1154</v>
      </c>
      <c r="F159" s="101" t="s">
        <v>1413</v>
      </c>
      <c r="G159" s="91" t="s">
        <v>1248</v>
      </c>
      <c r="H159" s="211" t="str">
        <f>HYPERLINK("#CB_m1!code중YPSY5A02","YPSY5A02")</f>
        <v>YPSY5A02</v>
      </c>
      <c r="I159" s="209" t="str">
        <f>HYPERLINK("#QN18_m1!q18중YPSY5A02","문18-2")</f>
        <v>문18-2</v>
      </c>
      <c r="J159" s="209" t="str">
        <f>HYPERLINK("#QN19_m1!q19중YPSY5A02","문18-2")</f>
        <v>문18-2</v>
      </c>
    </row>
    <row r="160" spans="2:10" ht="18" customHeight="1">
      <c r="B160" s="101" t="s">
        <v>1119</v>
      </c>
      <c r="C160" s="92" t="s">
        <v>1140</v>
      </c>
      <c r="D160" s="92" t="s">
        <v>1153</v>
      </c>
      <c r="E160" s="92" t="s">
        <v>1154</v>
      </c>
      <c r="F160" s="101" t="s">
        <v>1413</v>
      </c>
      <c r="G160" s="91" t="s">
        <v>1249</v>
      </c>
      <c r="H160" s="211" t="str">
        <f>HYPERLINK("#CB_m1!code중YPSY5A03","YPSY5A03")</f>
        <v>YPSY5A03</v>
      </c>
      <c r="I160" s="209" t="str">
        <f>HYPERLINK("#QN18_m1!q18중YPSY5A03","문18-3")</f>
        <v>문18-3</v>
      </c>
      <c r="J160" s="209" t="str">
        <f>HYPERLINK("#QN19_m1!q19중YPSY5A03","문18-3")</f>
        <v>문18-3</v>
      </c>
    </row>
    <row r="161" spans="2:10" ht="18" customHeight="1">
      <c r="B161" s="101" t="s">
        <v>1119</v>
      </c>
      <c r="C161" s="92" t="s">
        <v>1140</v>
      </c>
      <c r="D161" s="92" t="s">
        <v>1153</v>
      </c>
      <c r="E161" s="92" t="s">
        <v>1154</v>
      </c>
      <c r="F161" s="101" t="s">
        <v>1413</v>
      </c>
      <c r="G161" s="91" t="s">
        <v>1250</v>
      </c>
      <c r="H161" s="211" t="str">
        <f>HYPERLINK("#CB_m1!code중YPSY5A04","YPSY5A04")</f>
        <v>YPSY5A04</v>
      </c>
      <c r="I161" s="209" t="str">
        <f>HYPERLINK("#QN18_m1!q18중YPSY5A04","문18-4")</f>
        <v>문18-4</v>
      </c>
      <c r="J161" s="209" t="str">
        <f>HYPERLINK("#QN19_m1!q19중YPSY5A04","문18-4")</f>
        <v>문18-4</v>
      </c>
    </row>
    <row r="162" spans="2:10" ht="18" customHeight="1">
      <c r="B162" s="101" t="s">
        <v>1119</v>
      </c>
      <c r="C162" s="92" t="s">
        <v>1140</v>
      </c>
      <c r="D162" s="92" t="s">
        <v>1153</v>
      </c>
      <c r="E162" s="92" t="s">
        <v>1154</v>
      </c>
      <c r="F162" s="101" t="s">
        <v>1413</v>
      </c>
      <c r="G162" s="91" t="s">
        <v>1251</v>
      </c>
      <c r="H162" s="211" t="str">
        <f>HYPERLINK("#CB_m1!code중YPSY5A05","YPSY5A05")</f>
        <v>YPSY5A05</v>
      </c>
      <c r="I162" s="209" t="str">
        <f>HYPERLINK("#QN18_m1!q18중YPSY5A05","문18-5")</f>
        <v>문18-5</v>
      </c>
      <c r="J162" s="209" t="str">
        <f>HYPERLINK("#QN19_m1!q19중YPSY5A05","문18-5")</f>
        <v>문18-5</v>
      </c>
    </row>
    <row r="163" spans="2:10" ht="18" customHeight="1">
      <c r="B163" s="101" t="s">
        <v>1119</v>
      </c>
      <c r="C163" s="92" t="s">
        <v>1140</v>
      </c>
      <c r="D163" s="92" t="s">
        <v>1153</v>
      </c>
      <c r="E163" s="92" t="s">
        <v>1154</v>
      </c>
      <c r="F163" s="101" t="s">
        <v>1413</v>
      </c>
      <c r="G163" s="91" t="s">
        <v>1252</v>
      </c>
      <c r="H163" s="211" t="str">
        <f>HYPERLINK("#CB_m1!code중YPSY5A06","YPSY5A06")</f>
        <v>YPSY5A06</v>
      </c>
      <c r="I163" s="209" t="str">
        <f>HYPERLINK("#QN18_m1!q18중YPSY5A06","문18-6")</f>
        <v>문18-6</v>
      </c>
      <c r="J163" s="209" t="str">
        <f>HYPERLINK("#QN19_m1!q19중YPSY5A06","문18-6")</f>
        <v>문18-6</v>
      </c>
    </row>
    <row r="164" spans="2:10" ht="18" customHeight="1">
      <c r="B164" s="101" t="s">
        <v>1119</v>
      </c>
      <c r="C164" s="92" t="s">
        <v>1140</v>
      </c>
      <c r="D164" s="92" t="s">
        <v>1153</v>
      </c>
      <c r="E164" s="92" t="s">
        <v>1154</v>
      </c>
      <c r="F164" s="101" t="s">
        <v>1414</v>
      </c>
      <c r="G164" s="91" t="s">
        <v>1253</v>
      </c>
      <c r="H164" s="211" t="str">
        <f>HYPERLINK("#CB_m1!code중YPSY5A07","YPSY5A07")</f>
        <v>YPSY5A07</v>
      </c>
      <c r="I164" s="209" t="str">
        <f>HYPERLINK("#QN18_m1!q18중YPSY5A07","문18-7")</f>
        <v>문18-7</v>
      </c>
      <c r="J164" s="209" t="str">
        <f>HYPERLINK("#QN19_m1!q19중YPSY5A07","문18-7")</f>
        <v>문18-7</v>
      </c>
    </row>
    <row r="165" spans="2:10" ht="18" customHeight="1">
      <c r="B165" s="101" t="s">
        <v>1119</v>
      </c>
      <c r="C165" s="92" t="s">
        <v>1140</v>
      </c>
      <c r="D165" s="92" t="s">
        <v>1153</v>
      </c>
      <c r="E165" s="92" t="s">
        <v>1154</v>
      </c>
      <c r="F165" s="101" t="s">
        <v>1414</v>
      </c>
      <c r="G165" s="91" t="s">
        <v>1254</v>
      </c>
      <c r="H165" s="211" t="str">
        <f>HYPERLINK("#CB_m1!code중YPSY5A08","YPSY5A08")</f>
        <v>YPSY5A08</v>
      </c>
      <c r="I165" s="209" t="str">
        <f>HYPERLINK("#QN18_m1!q18중YPSY5A08","문18-8")</f>
        <v>문18-8</v>
      </c>
      <c r="J165" s="209" t="str">
        <f>HYPERLINK("#QN19_m1!q19중YPSY5A08","문18-8")</f>
        <v>문18-8</v>
      </c>
    </row>
    <row r="166" spans="2:10" ht="18" customHeight="1">
      <c r="B166" s="101" t="s">
        <v>1119</v>
      </c>
      <c r="C166" s="92" t="s">
        <v>1140</v>
      </c>
      <c r="D166" s="92" t="s">
        <v>1153</v>
      </c>
      <c r="E166" s="92" t="s">
        <v>1154</v>
      </c>
      <c r="F166" s="101" t="s">
        <v>1414</v>
      </c>
      <c r="G166" s="91" t="s">
        <v>1255</v>
      </c>
      <c r="H166" s="211" t="str">
        <f>HYPERLINK("#CB_m1!code중YPSY5A09","YPSY5A09")</f>
        <v>YPSY5A09</v>
      </c>
      <c r="I166" s="209" t="str">
        <f>HYPERLINK("#QN18_m1!q18중YPSY5A09","문18-9")</f>
        <v>문18-9</v>
      </c>
      <c r="J166" s="209" t="str">
        <f>HYPERLINK("#QN19_m1!q19중YPSY5A09","문18-9")</f>
        <v>문18-9</v>
      </c>
    </row>
    <row r="167" spans="2:10" ht="18" customHeight="1">
      <c r="B167" s="101" t="s">
        <v>1119</v>
      </c>
      <c r="C167" s="92" t="s">
        <v>1140</v>
      </c>
      <c r="D167" s="92" t="s">
        <v>1153</v>
      </c>
      <c r="E167" s="92" t="s">
        <v>1154</v>
      </c>
      <c r="F167" s="101" t="s">
        <v>1415</v>
      </c>
      <c r="G167" s="91" t="s">
        <v>1256</v>
      </c>
      <c r="H167" s="211" t="str">
        <f>HYPERLINK("#CB_m1!code중YPSY5A10","YPSY5A10")</f>
        <v>YPSY5A10</v>
      </c>
      <c r="I167" s="209" t="str">
        <f>HYPERLINK("#QN18_m1!q18중YPSY5A10","문18-10")</f>
        <v>문18-10</v>
      </c>
      <c r="J167" s="209" t="str">
        <f>HYPERLINK("#QN19_m1!q19중YPSY5A10","문18-10")</f>
        <v>문18-10</v>
      </c>
    </row>
    <row r="168" spans="2:10" ht="18" customHeight="1">
      <c r="B168" s="101" t="s">
        <v>1119</v>
      </c>
      <c r="C168" s="92" t="s">
        <v>1140</v>
      </c>
      <c r="D168" s="92" t="s">
        <v>1153</v>
      </c>
      <c r="E168" s="92" t="s">
        <v>1154</v>
      </c>
      <c r="F168" s="101" t="s">
        <v>1415</v>
      </c>
      <c r="G168" s="91" t="s">
        <v>1257</v>
      </c>
      <c r="H168" s="211" t="str">
        <f>HYPERLINK("#CB_m1!code중YPSY5A11","YPSY5A11")</f>
        <v>YPSY5A11</v>
      </c>
      <c r="I168" s="209" t="str">
        <f>HYPERLINK("#QN18_m1!q18중YPSY5A11","문18-11")</f>
        <v>문18-11</v>
      </c>
      <c r="J168" s="209" t="str">
        <f>HYPERLINK("#QN19_m1!q19중YPSY5A11","문18-11")</f>
        <v>문18-11</v>
      </c>
    </row>
    <row r="169" spans="2:10" ht="18" customHeight="1">
      <c r="B169" s="101" t="s">
        <v>1119</v>
      </c>
      <c r="C169" s="92" t="s">
        <v>1140</v>
      </c>
      <c r="D169" s="92" t="s">
        <v>1153</v>
      </c>
      <c r="E169" s="92" t="s">
        <v>1154</v>
      </c>
      <c r="F169" s="101" t="s">
        <v>1415</v>
      </c>
      <c r="G169" s="91" t="s">
        <v>1258</v>
      </c>
      <c r="H169" s="211" t="str">
        <f>HYPERLINK("#CB_m1!code중YPSY5A12","YPSY5A12")</f>
        <v>YPSY5A12</v>
      </c>
      <c r="I169" s="209" t="str">
        <f>HYPERLINK("#QN18_m1!q18중YPSY5A12","문18-12")</f>
        <v>문18-12</v>
      </c>
      <c r="J169" s="209" t="str">
        <f>HYPERLINK("#QN19_m1!q19중YPSY5A12","문18-12")</f>
        <v>문18-12</v>
      </c>
    </row>
    <row r="170" spans="2:10" ht="18" customHeight="1">
      <c r="B170" s="101" t="s">
        <v>1119</v>
      </c>
      <c r="C170" s="92" t="s">
        <v>1140</v>
      </c>
      <c r="D170" s="92" t="s">
        <v>1153</v>
      </c>
      <c r="E170" s="92" t="s">
        <v>1154</v>
      </c>
      <c r="F170" s="101" t="s">
        <v>1415</v>
      </c>
      <c r="G170" s="91" t="s">
        <v>1259</v>
      </c>
      <c r="H170" s="211" t="str">
        <f>HYPERLINK("#CB_m1!code중YPSY5A13","YPSY5A13")</f>
        <v>YPSY5A13</v>
      </c>
      <c r="I170" s="209" t="str">
        <f>HYPERLINK("#QN18_m1!q18중YPSY5A13","문18-13")</f>
        <v>문18-13</v>
      </c>
      <c r="J170" s="209" t="str">
        <f>HYPERLINK("#QN19_m1!q19중YPSY5A13","문18-13")</f>
        <v>문18-13</v>
      </c>
    </row>
    <row r="171" spans="2:10" ht="18" customHeight="1">
      <c r="B171" s="99" t="s">
        <v>1119</v>
      </c>
      <c r="C171" s="100" t="s">
        <v>1140</v>
      </c>
      <c r="D171" s="100" t="s">
        <v>1153</v>
      </c>
      <c r="E171" s="100" t="s">
        <v>1154</v>
      </c>
      <c r="F171" s="99" t="s">
        <v>1415</v>
      </c>
      <c r="G171" s="94" t="s">
        <v>1260</v>
      </c>
      <c r="H171" s="212" t="str">
        <f>HYPERLINK("#CB_m1!code중YPSY5A14","YPSY5A14")</f>
        <v>YPSY5A14</v>
      </c>
      <c r="I171" s="207" t="str">
        <f>HYPERLINK("#QN18_m1!q18중YPSY5A14","문18-14")</f>
        <v>문18-14</v>
      </c>
      <c r="J171" s="207" t="str">
        <f>HYPERLINK("#QN19_m1!q19중YPSY5A14","문18-14")</f>
        <v>문18-14</v>
      </c>
    </row>
    <row r="172" spans="2:10" ht="18" customHeight="1">
      <c r="B172" s="96" t="s">
        <v>1119</v>
      </c>
      <c r="C172" s="90" t="s">
        <v>1140</v>
      </c>
      <c r="D172" s="90" t="s">
        <v>1155</v>
      </c>
      <c r="E172" s="90" t="s">
        <v>1156</v>
      </c>
      <c r="F172" s="90" t="s">
        <v>1301</v>
      </c>
      <c r="G172" s="97" t="s">
        <v>384</v>
      </c>
      <c r="H172" s="210" t="str">
        <f>HYPERLINK("#CB_m1!code중YPSY6A01","YPSY6A01")</f>
        <v>YPSY6A01</v>
      </c>
      <c r="I172" s="205" t="str">
        <f>HYPERLINK("#QN18_m1!q18중YPSY6A01","문19")</f>
        <v>문19</v>
      </c>
      <c r="J172" s="205" t="str">
        <f>HYPERLINK("#QN19_m1!q19중YPSY6A01","문19")</f>
        <v>문19</v>
      </c>
    </row>
    <row r="173" spans="2:10" ht="18" customHeight="1">
      <c r="B173" s="101" t="s">
        <v>1119</v>
      </c>
      <c r="C173" s="92" t="s">
        <v>1140</v>
      </c>
      <c r="D173" s="92" t="s">
        <v>1155</v>
      </c>
      <c r="E173" s="92" t="s">
        <v>1156</v>
      </c>
      <c r="F173" s="92" t="s">
        <v>1</v>
      </c>
      <c r="G173" s="91" t="s">
        <v>387</v>
      </c>
      <c r="H173" s="211" t="str">
        <f>HYPERLINK("#CB_m1!code중YPSY6A02","YPSY6A02")</f>
        <v>YPSY6A02</v>
      </c>
      <c r="I173" s="209" t="str">
        <f>HYPERLINK("#QN18_m1!q18중YPSY6A02","문19")</f>
        <v>문19</v>
      </c>
      <c r="J173" s="209" t="str">
        <f>HYPERLINK("#QN19_m1!q19중YPSY6A02","문19")</f>
        <v>문19</v>
      </c>
    </row>
    <row r="174" spans="2:10" ht="18" customHeight="1">
      <c r="B174" s="101" t="s">
        <v>1119</v>
      </c>
      <c r="C174" s="92" t="s">
        <v>1140</v>
      </c>
      <c r="D174" s="92" t="s">
        <v>1155</v>
      </c>
      <c r="E174" s="92" t="s">
        <v>1156</v>
      </c>
      <c r="F174" s="92" t="s">
        <v>1301</v>
      </c>
      <c r="G174" s="91" t="s">
        <v>388</v>
      </c>
      <c r="H174" s="211" t="str">
        <f>HYPERLINK("#CB_m1!code중YPSY6A03","YPSY6A03")</f>
        <v>YPSY6A03</v>
      </c>
      <c r="I174" s="209" t="str">
        <f>HYPERLINK("#QN18_m1!q18중YPSY6A03","문19")</f>
        <v>문19</v>
      </c>
      <c r="J174" s="209" t="str">
        <f>HYPERLINK("#QN19_m1!q19중YPSY6A03","문19")</f>
        <v>문19</v>
      </c>
    </row>
    <row r="175" spans="2:10" ht="18" customHeight="1">
      <c r="B175" s="101" t="s">
        <v>1119</v>
      </c>
      <c r="C175" s="92" t="s">
        <v>1140</v>
      </c>
      <c r="D175" s="92" t="s">
        <v>1155</v>
      </c>
      <c r="E175" s="92" t="s">
        <v>1156</v>
      </c>
      <c r="F175" s="92" t="s">
        <v>1301</v>
      </c>
      <c r="G175" s="91" t="s">
        <v>389</v>
      </c>
      <c r="H175" s="211" t="str">
        <f>HYPERLINK("#CB_m1!code중YPSY6A04","YPSY6A04")</f>
        <v>YPSY6A04</v>
      </c>
      <c r="I175" s="209" t="str">
        <f>HYPERLINK("#QN18_m1!q18중YPSY6A04","문19")</f>
        <v>문19</v>
      </c>
      <c r="J175" s="209" t="str">
        <f>HYPERLINK("#QN19_m1!q19중YPSY6A04","문19")</f>
        <v>문19</v>
      </c>
    </row>
    <row r="176" spans="2:10" ht="18" customHeight="1">
      <c r="B176" s="101" t="s">
        <v>1119</v>
      </c>
      <c r="C176" s="92" t="s">
        <v>1140</v>
      </c>
      <c r="D176" s="92" t="s">
        <v>1155</v>
      </c>
      <c r="E176" s="92" t="s">
        <v>1156</v>
      </c>
      <c r="F176" s="92" t="s">
        <v>1301</v>
      </c>
      <c r="G176" s="91" t="s">
        <v>390</v>
      </c>
      <c r="H176" s="211" t="str">
        <f>HYPERLINK("#CB_m1!code중YPSY6A05","YPSY6A05")</f>
        <v>YPSY6A05</v>
      </c>
      <c r="I176" s="209" t="str">
        <f>HYPERLINK("#QN18_m1!q18중YPSY6A05","문19")</f>
        <v>문19</v>
      </c>
      <c r="J176" s="209" t="str">
        <f>HYPERLINK("#QN19_m1!q19중YPSY6A05","문19")</f>
        <v>문19</v>
      </c>
    </row>
    <row r="177" spans="2:10" ht="18" customHeight="1">
      <c r="B177" s="101" t="s">
        <v>1119</v>
      </c>
      <c r="C177" s="92" t="s">
        <v>1140</v>
      </c>
      <c r="D177" s="92" t="s">
        <v>1155</v>
      </c>
      <c r="E177" s="92" t="s">
        <v>1156</v>
      </c>
      <c r="F177" s="92" t="s">
        <v>1301</v>
      </c>
      <c r="G177" s="91" t="s">
        <v>391</v>
      </c>
      <c r="H177" s="211" t="str">
        <f>HYPERLINK("#CB_m1!code중YPSY6A06","YPSY6A06")</f>
        <v>YPSY6A06</v>
      </c>
      <c r="I177" s="209" t="str">
        <f>HYPERLINK("#QN18_m1!q18중YPSY6A06","문19")</f>
        <v>문19</v>
      </c>
      <c r="J177" s="209" t="str">
        <f>HYPERLINK("#QN19_m1!q19중YPSY6A06","문19")</f>
        <v>문19</v>
      </c>
    </row>
    <row r="178" spans="2:10" ht="18" customHeight="1">
      <c r="B178" s="101" t="s">
        <v>1119</v>
      </c>
      <c r="C178" s="92" t="s">
        <v>1140</v>
      </c>
      <c r="D178" s="92" t="s">
        <v>1155</v>
      </c>
      <c r="E178" s="92" t="s">
        <v>1156</v>
      </c>
      <c r="F178" s="92" t="s">
        <v>1301</v>
      </c>
      <c r="G178" s="91" t="s">
        <v>392</v>
      </c>
      <c r="H178" s="211" t="str">
        <f>HYPERLINK("#CB_m1!code중YPSY6A07","YPSY6A07")</f>
        <v>YPSY6A07</v>
      </c>
      <c r="I178" s="209" t="str">
        <f>HYPERLINK("#QN18_m1!q18중YPSY6A07","문19")</f>
        <v>문19</v>
      </c>
      <c r="J178" s="209" t="str">
        <f>HYPERLINK("#QN19_m1!q19중YPSY6A07","문19")</f>
        <v>문19</v>
      </c>
    </row>
    <row r="179" spans="2:10" ht="18" customHeight="1">
      <c r="B179" s="101" t="s">
        <v>1119</v>
      </c>
      <c r="C179" s="92" t="s">
        <v>1140</v>
      </c>
      <c r="D179" s="92" t="s">
        <v>1155</v>
      </c>
      <c r="E179" s="92" t="s">
        <v>1156</v>
      </c>
      <c r="F179" s="92" t="s">
        <v>1301</v>
      </c>
      <c r="G179" s="91" t="s">
        <v>393</v>
      </c>
      <c r="H179" s="211" t="str">
        <f>HYPERLINK("#CB_m1!code중YPSY6A08","YPSY6A08")</f>
        <v>YPSY6A08</v>
      </c>
      <c r="I179" s="209" t="str">
        <f>HYPERLINK("#QN18_m1!q18중YPSY6A08","문19")</f>
        <v>문19</v>
      </c>
      <c r="J179" s="209" t="str">
        <f>HYPERLINK("#QN19_m1!q19중YPSY6A08","문19")</f>
        <v>문19</v>
      </c>
    </row>
    <row r="180" spans="2:10" ht="18" customHeight="1">
      <c r="B180" s="101" t="s">
        <v>1119</v>
      </c>
      <c r="C180" s="92" t="s">
        <v>1140</v>
      </c>
      <c r="D180" s="92" t="s">
        <v>1155</v>
      </c>
      <c r="E180" s="92" t="s">
        <v>1156</v>
      </c>
      <c r="F180" s="92" t="s">
        <v>1301</v>
      </c>
      <c r="G180" s="91" t="s">
        <v>394</v>
      </c>
      <c r="H180" s="211" t="str">
        <f>HYPERLINK("#CB_m1!code중YPSY6A09","YPSY6A09")</f>
        <v>YPSY6A09</v>
      </c>
      <c r="I180" s="209" t="str">
        <f>HYPERLINK("#QN18_m1!q18중YPSY6A09","문19")</f>
        <v>문19</v>
      </c>
      <c r="J180" s="209" t="str">
        <f>HYPERLINK("#QN19_m1!q19중YPSY6A09","문19")</f>
        <v>문19</v>
      </c>
    </row>
    <row r="181" spans="2:10" ht="18" customHeight="1">
      <c r="B181" s="101" t="s">
        <v>1119</v>
      </c>
      <c r="C181" s="92" t="s">
        <v>1140</v>
      </c>
      <c r="D181" s="92" t="s">
        <v>1155</v>
      </c>
      <c r="E181" s="92" t="s">
        <v>1156</v>
      </c>
      <c r="F181" s="92" t="s">
        <v>1301</v>
      </c>
      <c r="G181" s="91" t="s">
        <v>395</v>
      </c>
      <c r="H181" s="211" t="str">
        <f>HYPERLINK("#CB_m1!code중YPSY6A10","YPSY6A10")</f>
        <v>YPSY6A10</v>
      </c>
      <c r="I181" s="209" t="str">
        <f>HYPERLINK("#QN18_m1!q18중YPSY6A10","문19")</f>
        <v>문19</v>
      </c>
      <c r="J181" s="209" t="str">
        <f>HYPERLINK("#QN19_m1!q19중YPSY6A10","문19")</f>
        <v>문19</v>
      </c>
    </row>
    <row r="182" spans="2:10" ht="18" customHeight="1">
      <c r="B182" s="101" t="s">
        <v>1119</v>
      </c>
      <c r="C182" s="92" t="s">
        <v>1140</v>
      </c>
      <c r="D182" s="92" t="s">
        <v>1155</v>
      </c>
      <c r="E182" s="92" t="s">
        <v>1156</v>
      </c>
      <c r="F182" s="92" t="s">
        <v>1302</v>
      </c>
      <c r="G182" s="91" t="s">
        <v>396</v>
      </c>
      <c r="H182" s="211" t="str">
        <f>HYPERLINK("#CB_m1!code중YPSY6A11","YPSY6A11")</f>
        <v>YPSY6A11</v>
      </c>
      <c r="I182" s="209" t="str">
        <f>HYPERLINK("#QN18_m1!q18중YPSY6A11","문19")</f>
        <v>문19</v>
      </c>
      <c r="J182" s="209" t="str">
        <f>HYPERLINK("#QN19_m1!q19중YPSY6A11","문19")</f>
        <v>문19</v>
      </c>
    </row>
    <row r="183" spans="2:10" ht="18" customHeight="1">
      <c r="B183" s="101" t="s">
        <v>1119</v>
      </c>
      <c r="C183" s="92" t="s">
        <v>1140</v>
      </c>
      <c r="D183" s="92" t="s">
        <v>1155</v>
      </c>
      <c r="E183" s="92" t="s">
        <v>1156</v>
      </c>
      <c r="F183" s="92" t="s">
        <v>1302</v>
      </c>
      <c r="G183" s="91" t="s">
        <v>397</v>
      </c>
      <c r="H183" s="211" t="str">
        <f>HYPERLINK("#CB_m1!code중YPSY6A12","YPSY6A12")</f>
        <v>YPSY6A12</v>
      </c>
      <c r="I183" s="209" t="str">
        <f>HYPERLINK("#QN18_m1!q18중YPSY6A12","문19")</f>
        <v>문19</v>
      </c>
      <c r="J183" s="209" t="str">
        <f>HYPERLINK("#QN19_m1!q19중YPSY6A12","문19")</f>
        <v>문19</v>
      </c>
    </row>
    <row r="184" spans="2:10" ht="18" customHeight="1">
      <c r="B184" s="101" t="s">
        <v>1119</v>
      </c>
      <c r="C184" s="92" t="s">
        <v>1140</v>
      </c>
      <c r="D184" s="92" t="s">
        <v>1155</v>
      </c>
      <c r="E184" s="92" t="s">
        <v>1156</v>
      </c>
      <c r="F184" s="92" t="s">
        <v>1302</v>
      </c>
      <c r="G184" s="91" t="s">
        <v>398</v>
      </c>
      <c r="H184" s="211" t="str">
        <f>HYPERLINK("#CB_m1!code중YPSY6A13","YPSY6A13")</f>
        <v>YPSY6A13</v>
      </c>
      <c r="I184" s="209" t="str">
        <f>HYPERLINK("#QN18_m1!q18중YPSY6A13","문19")</f>
        <v>문19</v>
      </c>
      <c r="J184" s="209" t="str">
        <f>HYPERLINK("#QN19_m1!q19중YPSY6A13","문19")</f>
        <v>문19</v>
      </c>
    </row>
    <row r="185" spans="2:10" ht="18" customHeight="1">
      <c r="B185" s="101" t="s">
        <v>1119</v>
      </c>
      <c r="C185" s="92" t="s">
        <v>1140</v>
      </c>
      <c r="D185" s="92" t="s">
        <v>1155</v>
      </c>
      <c r="E185" s="92" t="s">
        <v>1156</v>
      </c>
      <c r="F185" s="92" t="s">
        <v>1302</v>
      </c>
      <c r="G185" s="91" t="s">
        <v>399</v>
      </c>
      <c r="H185" s="211" t="str">
        <f>HYPERLINK("#CB_m1!code중YPSY6A14","YPSY6A14")</f>
        <v>YPSY6A14</v>
      </c>
      <c r="I185" s="209" t="str">
        <f>HYPERLINK("#QN18_m1!q18중YPSY6A14","문19")</f>
        <v>문19</v>
      </c>
      <c r="J185" s="209" t="str">
        <f>HYPERLINK("#QN19_m1!q19중YPSY6A14","문19")</f>
        <v>문19</v>
      </c>
    </row>
    <row r="186" spans="2:10" ht="18" customHeight="1">
      <c r="B186" s="101" t="s">
        <v>1119</v>
      </c>
      <c r="C186" s="92" t="s">
        <v>1140</v>
      </c>
      <c r="D186" s="92" t="s">
        <v>1155</v>
      </c>
      <c r="E186" s="92" t="s">
        <v>1156</v>
      </c>
      <c r="F186" s="92" t="s">
        <v>1302</v>
      </c>
      <c r="G186" s="91" t="s">
        <v>400</v>
      </c>
      <c r="H186" s="211" t="str">
        <f>HYPERLINK("#CB_m1!code중YPSY6A15","YPSY6A15")</f>
        <v>YPSY6A15</v>
      </c>
      <c r="I186" s="209" t="str">
        <f>HYPERLINK("#QN18_m1!q18중YPSY6A15","문19")</f>
        <v>문19</v>
      </c>
      <c r="J186" s="209" t="str">
        <f>HYPERLINK("#QN19_m1!q19중YPSY6A15","문19")</f>
        <v>문19</v>
      </c>
    </row>
    <row r="187" spans="2:10" ht="18" customHeight="1">
      <c r="B187" s="101" t="s">
        <v>1119</v>
      </c>
      <c r="C187" s="92" t="s">
        <v>1140</v>
      </c>
      <c r="D187" s="92" t="s">
        <v>1155</v>
      </c>
      <c r="E187" s="92" t="s">
        <v>1156</v>
      </c>
      <c r="F187" s="92" t="s">
        <v>1301</v>
      </c>
      <c r="G187" s="91" t="s">
        <v>401</v>
      </c>
      <c r="H187" s="211" t="str">
        <f>HYPERLINK("#CB_m1!code중YPSY6A16","YPSY6A16")</f>
        <v>YPSY6A16</v>
      </c>
      <c r="I187" s="209" t="str">
        <f>HYPERLINK("#QN18_m1!q18중YPSY6A16","문19")</f>
        <v>문19</v>
      </c>
      <c r="J187" s="209" t="str">
        <f>HYPERLINK("#QN19_m1!q19중YPSY6A16","문19")</f>
        <v>문19</v>
      </c>
    </row>
    <row r="188" spans="2:10" ht="18" customHeight="1">
      <c r="B188" s="101" t="s">
        <v>1119</v>
      </c>
      <c r="C188" s="92" t="s">
        <v>1140</v>
      </c>
      <c r="D188" s="92" t="s">
        <v>1155</v>
      </c>
      <c r="E188" s="92" t="s">
        <v>1156</v>
      </c>
      <c r="F188" s="92" t="s">
        <v>1301</v>
      </c>
      <c r="G188" s="91" t="s">
        <v>402</v>
      </c>
      <c r="H188" s="211" t="str">
        <f>HYPERLINK("#CB_m1!code중YPSY6A17","YPSY6A17")</f>
        <v>YPSY6A17</v>
      </c>
      <c r="I188" s="209" t="str">
        <f>HYPERLINK("#QN18_m1!q18중YPSY6A17","문19")</f>
        <v>문19</v>
      </c>
      <c r="J188" s="209" t="str">
        <f>HYPERLINK("#QN19_m1!q19중YPSY6A17","문19")</f>
        <v>문19</v>
      </c>
    </row>
    <row r="189" spans="2:10" ht="18" customHeight="1">
      <c r="B189" s="101" t="s">
        <v>1119</v>
      </c>
      <c r="C189" s="92" t="s">
        <v>1140</v>
      </c>
      <c r="D189" s="92" t="s">
        <v>1155</v>
      </c>
      <c r="E189" s="92" t="s">
        <v>1156</v>
      </c>
      <c r="F189" s="92" t="s">
        <v>1301</v>
      </c>
      <c r="G189" s="91" t="s">
        <v>403</v>
      </c>
      <c r="H189" s="211" t="str">
        <f>HYPERLINK("#CB_m1!code중YPSY6A18","YPSY6A18")</f>
        <v>YPSY6A18</v>
      </c>
      <c r="I189" s="209" t="str">
        <f>HYPERLINK("#QN18_m1!q18중YPSY6A18","문19")</f>
        <v>문19</v>
      </c>
      <c r="J189" s="209" t="str">
        <f>HYPERLINK("#QN19_m1!q19중YPSY6A18","문19")</f>
        <v>문19</v>
      </c>
    </row>
    <row r="190" spans="2:10" ht="18" customHeight="1">
      <c r="B190" s="101" t="s">
        <v>1119</v>
      </c>
      <c r="C190" s="92" t="s">
        <v>1140</v>
      </c>
      <c r="D190" s="92" t="s">
        <v>1155</v>
      </c>
      <c r="E190" s="92" t="s">
        <v>1156</v>
      </c>
      <c r="F190" s="92" t="s">
        <v>1301</v>
      </c>
      <c r="G190" s="91" t="s">
        <v>404</v>
      </c>
      <c r="H190" s="211" t="str">
        <f>HYPERLINK("#CB_m1!code중YPSY6A19","YPSY6A19")</f>
        <v>YPSY6A19</v>
      </c>
      <c r="I190" s="209" t="str">
        <f>HYPERLINK("#QN18_m1!q18중YPSY6A19","문19")</f>
        <v>문19</v>
      </c>
      <c r="J190" s="209" t="str">
        <f>HYPERLINK("#QN19_m1!q19중YPSY6A19","문19")</f>
        <v>문19</v>
      </c>
    </row>
    <row r="191" spans="2:10" ht="18" customHeight="1">
      <c r="B191" s="101" t="s">
        <v>1119</v>
      </c>
      <c r="C191" s="92" t="s">
        <v>1140</v>
      </c>
      <c r="D191" s="92" t="s">
        <v>1155</v>
      </c>
      <c r="E191" s="92" t="s">
        <v>1156</v>
      </c>
      <c r="F191" s="92" t="s">
        <v>1301</v>
      </c>
      <c r="G191" s="91" t="s">
        <v>405</v>
      </c>
      <c r="H191" s="211" t="str">
        <f>HYPERLINK("#CB_m1!code중YPSY6A20","YPSY6A20")</f>
        <v>YPSY6A20</v>
      </c>
      <c r="I191" s="209" t="str">
        <f>HYPERLINK("#QN18_m1!q18중YPSY6A20","문19")</f>
        <v>문19</v>
      </c>
      <c r="J191" s="209" t="str">
        <f>HYPERLINK("#QN19_m1!q19중YPSY6A20","문19")</f>
        <v>문19</v>
      </c>
    </row>
    <row r="192" spans="2:10" ht="18" customHeight="1">
      <c r="B192" s="101" t="s">
        <v>1119</v>
      </c>
      <c r="C192" s="92" t="s">
        <v>1140</v>
      </c>
      <c r="D192" s="92" t="s">
        <v>1155</v>
      </c>
      <c r="E192" s="92" t="s">
        <v>1156</v>
      </c>
      <c r="F192" s="92" t="s">
        <v>1</v>
      </c>
      <c r="G192" s="91" t="s">
        <v>406</v>
      </c>
      <c r="H192" s="211" t="str">
        <f>HYPERLINK("#CB_m1!code중YPSY6A21","YPSY6A21")</f>
        <v>YPSY6A21</v>
      </c>
      <c r="I192" s="209" t="str">
        <f>HYPERLINK("#QN18_m1!q18중YPSY6A21","문19")</f>
        <v>문19</v>
      </c>
      <c r="J192" s="209" t="str">
        <f>HYPERLINK("#QN19_m1!q19중YPSY6A21","문19")</f>
        <v>문19</v>
      </c>
    </row>
    <row r="193" spans="2:10" ht="18" customHeight="1">
      <c r="B193" s="101" t="s">
        <v>1119</v>
      </c>
      <c r="C193" s="92" t="s">
        <v>1140</v>
      </c>
      <c r="D193" s="92" t="s">
        <v>1155</v>
      </c>
      <c r="E193" s="92" t="s">
        <v>1156</v>
      </c>
      <c r="F193" s="92" t="s">
        <v>1</v>
      </c>
      <c r="G193" s="91" t="s">
        <v>407</v>
      </c>
      <c r="H193" s="211" t="str">
        <f>HYPERLINK("#CB_m1!code중YPSY6A22","YPSY6A22")</f>
        <v>YPSY6A22</v>
      </c>
      <c r="I193" s="209" t="str">
        <f>HYPERLINK("#QN18_m1!q18중YPSY6A22","문19")</f>
        <v>문19</v>
      </c>
      <c r="J193" s="209" t="str">
        <f>HYPERLINK("#QN19_m1!q19중YPSY6A22","문19")</f>
        <v>문19</v>
      </c>
    </row>
    <row r="194" spans="2:10" ht="18" customHeight="1">
      <c r="B194" s="101" t="s">
        <v>1119</v>
      </c>
      <c r="C194" s="92" t="s">
        <v>1140</v>
      </c>
      <c r="D194" s="92" t="s">
        <v>1155</v>
      </c>
      <c r="E194" s="92" t="s">
        <v>1156</v>
      </c>
      <c r="F194" s="92" t="s">
        <v>1301</v>
      </c>
      <c r="G194" s="91" t="s">
        <v>408</v>
      </c>
      <c r="H194" s="211" t="str">
        <f>HYPERLINK("#CB_m1!code중YPSY6A23","YPSY6A23")</f>
        <v>YPSY6A23</v>
      </c>
      <c r="I194" s="209" t="str">
        <f>HYPERLINK("#QN18_m1!q18중YPSY6A23","문19")</f>
        <v>문19</v>
      </c>
      <c r="J194" s="209" t="str">
        <f>HYPERLINK("#QN19_m1!q19중YPSY6A23","문19")</f>
        <v>문19</v>
      </c>
    </row>
    <row r="195" spans="2:10" ht="18" customHeight="1">
      <c r="B195" s="101" t="s">
        <v>1119</v>
      </c>
      <c r="C195" s="92" t="s">
        <v>1140</v>
      </c>
      <c r="D195" s="92" t="s">
        <v>1155</v>
      </c>
      <c r="E195" s="92" t="s">
        <v>1156</v>
      </c>
      <c r="F195" s="92" t="s">
        <v>1301</v>
      </c>
      <c r="G195" s="91" t="s">
        <v>409</v>
      </c>
      <c r="H195" s="211" t="str">
        <f>HYPERLINK("#CB_m1!code중YPSY6A24","YPSY6A24")</f>
        <v>YPSY6A24</v>
      </c>
      <c r="I195" s="209" t="str">
        <f>HYPERLINK("#QN18_m1!q18중YPSY6A24","문19")</f>
        <v>문19</v>
      </c>
      <c r="J195" s="209" t="str">
        <f>HYPERLINK("#QN19_m1!q19중YPSY6A24","문19")</f>
        <v>문19</v>
      </c>
    </row>
    <row r="196" spans="2:10" ht="18" customHeight="1">
      <c r="B196" s="101" t="s">
        <v>1119</v>
      </c>
      <c r="C196" s="92" t="s">
        <v>1140</v>
      </c>
      <c r="D196" s="92" t="s">
        <v>1155</v>
      </c>
      <c r="E196" s="92" t="s">
        <v>1156</v>
      </c>
      <c r="F196" s="92" t="s">
        <v>1302</v>
      </c>
      <c r="G196" s="91" t="s">
        <v>410</v>
      </c>
      <c r="H196" s="211" t="str">
        <f>HYPERLINK("#CB_m1!code중YPSY6A25","YPSY6A25")</f>
        <v>YPSY6A25</v>
      </c>
      <c r="I196" s="209" t="str">
        <f>HYPERLINK("#QN18_m1!q18중YPSY6A25","문19")</f>
        <v>문19</v>
      </c>
      <c r="J196" s="209" t="str">
        <f>HYPERLINK("#QN19_m1!q19중YPSY6A25","문19")</f>
        <v>문19</v>
      </c>
    </row>
    <row r="197" spans="2:10" ht="18" customHeight="1">
      <c r="B197" s="101" t="s">
        <v>1119</v>
      </c>
      <c r="C197" s="92" t="s">
        <v>1140</v>
      </c>
      <c r="D197" s="92" t="s">
        <v>1155</v>
      </c>
      <c r="E197" s="92" t="s">
        <v>1156</v>
      </c>
      <c r="F197" s="92" t="s">
        <v>1</v>
      </c>
      <c r="G197" s="91" t="s">
        <v>411</v>
      </c>
      <c r="H197" s="211" t="str">
        <f>HYPERLINK("#CB_m1!code중YPSY6A26","YPSY6A26")</f>
        <v>YPSY6A26</v>
      </c>
      <c r="I197" s="209" t="str">
        <f>HYPERLINK("#QN18_m1!q18중YPSY6A26","문19")</f>
        <v>문19</v>
      </c>
      <c r="J197" s="209" t="str">
        <f>HYPERLINK("#QN19_m1!q19중YPSY6A26","문19")</f>
        <v>문19</v>
      </c>
    </row>
    <row r="198" spans="2:10" ht="18" customHeight="1">
      <c r="B198" s="101" t="s">
        <v>1119</v>
      </c>
      <c r="C198" s="92" t="s">
        <v>1140</v>
      </c>
      <c r="D198" s="92" t="s">
        <v>1155</v>
      </c>
      <c r="E198" s="92" t="s">
        <v>1156</v>
      </c>
      <c r="F198" s="92" t="s">
        <v>1302</v>
      </c>
      <c r="G198" s="91" t="s">
        <v>1261</v>
      </c>
      <c r="H198" s="211" t="str">
        <f>HYPERLINK("#CB_m1!code중YPSY6A27","YPSY6A27")</f>
        <v>YPSY6A27</v>
      </c>
      <c r="I198" s="209" t="str">
        <f>HYPERLINK("#QN18_m1!q18중YPSY6A27","문19")</f>
        <v>문19</v>
      </c>
      <c r="J198" s="209" t="str">
        <f>HYPERLINK("#QN19_m1!q19중YPSY6A27","문19")</f>
        <v>문19</v>
      </c>
    </row>
    <row r="199" spans="2:10" ht="18" customHeight="1">
      <c r="B199" s="101" t="s">
        <v>1119</v>
      </c>
      <c r="C199" s="92" t="s">
        <v>1140</v>
      </c>
      <c r="D199" s="92" t="s">
        <v>1155</v>
      </c>
      <c r="E199" s="92" t="s">
        <v>1156</v>
      </c>
      <c r="F199" s="92" t="s">
        <v>1301</v>
      </c>
      <c r="G199" s="91" t="s">
        <v>413</v>
      </c>
      <c r="H199" s="211" t="str">
        <f>HYPERLINK("#CB_m1!code중YPSY6A28","YPSY6A28")</f>
        <v>YPSY6A28</v>
      </c>
      <c r="I199" s="209" t="str">
        <f>HYPERLINK("#QN18_m1!q18중YPSY6A28","문19")</f>
        <v>문19</v>
      </c>
      <c r="J199" s="209" t="str">
        <f>HYPERLINK("#QN19_m1!q19중YPSY6A28","문19")</f>
        <v>문19</v>
      </c>
    </row>
    <row r="200" spans="2:10" ht="18" customHeight="1">
      <c r="B200" s="101" t="s">
        <v>1119</v>
      </c>
      <c r="C200" s="92" t="s">
        <v>1140</v>
      </c>
      <c r="D200" s="92" t="s">
        <v>1155</v>
      </c>
      <c r="E200" s="92" t="s">
        <v>1156</v>
      </c>
      <c r="F200" s="92" t="s">
        <v>1301</v>
      </c>
      <c r="G200" s="91" t="s">
        <v>414</v>
      </c>
      <c r="H200" s="211" t="str">
        <f>HYPERLINK("#CB_m1!code중YPSY6A29","YPSY6A29")</f>
        <v>YPSY6A29</v>
      </c>
      <c r="I200" s="209" t="str">
        <f>HYPERLINK("#QN18_m1!q18중YPSY6A29","문19")</f>
        <v>문19</v>
      </c>
      <c r="J200" s="209" t="str">
        <f>HYPERLINK("#QN19_m1!q19중YPSY6A29","문19")</f>
        <v>문19</v>
      </c>
    </row>
    <row r="201" spans="2:10" ht="18" customHeight="1">
      <c r="B201" s="99" t="s">
        <v>1119</v>
      </c>
      <c r="C201" s="100" t="s">
        <v>1140</v>
      </c>
      <c r="D201" s="100" t="s">
        <v>1155</v>
      </c>
      <c r="E201" s="100" t="s">
        <v>1156</v>
      </c>
      <c r="F201" s="100" t="s">
        <v>1302</v>
      </c>
      <c r="G201" s="94" t="s">
        <v>415</v>
      </c>
      <c r="H201" s="212" t="str">
        <f>HYPERLINK("#CB_m1!code중YPSY6A30","YPSY6A30")</f>
        <v>YPSY6A30</v>
      </c>
      <c r="I201" s="207" t="str">
        <f>HYPERLINK("#QN18_m1!q18중YPSY6A30","문19")</f>
        <v>문19</v>
      </c>
      <c r="J201" s="207" t="str">
        <f>HYPERLINK("#QN19_m1!q19중YPSY6A30","문19")</f>
        <v>문19</v>
      </c>
    </row>
    <row r="202" spans="2:10" ht="18" customHeight="1">
      <c r="B202" s="99" t="s">
        <v>1119</v>
      </c>
      <c r="C202" s="100" t="s">
        <v>1140</v>
      </c>
      <c r="D202" s="100" t="s">
        <v>1155</v>
      </c>
      <c r="E202" s="100" t="s">
        <v>1156</v>
      </c>
      <c r="F202" s="100" t="s">
        <v>1</v>
      </c>
      <c r="G202" s="91" t="s">
        <v>1831</v>
      </c>
      <c r="H202" s="212" t="str">
        <f>HYPERLINK("#CB_m1!code중YPSY6Asc","YPSY6Asc")</f>
        <v>YPSY6Asc</v>
      </c>
      <c r="I202" s="209"/>
      <c r="J202" s="209"/>
    </row>
    <row r="203" spans="2:10" ht="18" customHeight="1">
      <c r="B203" s="96" t="s">
        <v>1119</v>
      </c>
      <c r="C203" s="90" t="s">
        <v>1140</v>
      </c>
      <c r="D203" s="90" t="s">
        <v>1157</v>
      </c>
      <c r="E203" s="90" t="s">
        <v>1158</v>
      </c>
      <c r="F203" s="90" t="s">
        <v>1302</v>
      </c>
      <c r="G203" s="97" t="s">
        <v>240</v>
      </c>
      <c r="H203" s="210" t="str">
        <f>HYPERLINK("#CB_m1!code중YPSY7A01","YPSY7A01")</f>
        <v>YPSY7A01</v>
      </c>
      <c r="I203" s="205" t="str">
        <f>HYPERLINK("#QN18_m1!q18중YPSY7A01","문20-1")</f>
        <v>문20-1</v>
      </c>
      <c r="J203" s="205" t="str">
        <f>HYPERLINK("#QN19_m1!q19중YPSY7A01","문20-1")</f>
        <v>문20-1</v>
      </c>
    </row>
    <row r="204" spans="2:10" ht="18" customHeight="1">
      <c r="B204" s="101" t="s">
        <v>1119</v>
      </c>
      <c r="C204" s="92" t="s">
        <v>1140</v>
      </c>
      <c r="D204" s="92" t="s">
        <v>1157</v>
      </c>
      <c r="E204" s="92" t="s">
        <v>1158</v>
      </c>
      <c r="F204" s="92" t="s">
        <v>1302</v>
      </c>
      <c r="G204" s="91" t="s">
        <v>528</v>
      </c>
      <c r="H204" s="211" t="str">
        <f>HYPERLINK("#CB_m1!code중YPSY7A02","YPSY7A02")</f>
        <v>YPSY7A02</v>
      </c>
      <c r="I204" s="209" t="str">
        <f>HYPERLINK("#QN18_m1!q18중YPSY7A02","문20-2")</f>
        <v>문20-2</v>
      </c>
      <c r="J204" s="209" t="str">
        <f>HYPERLINK("#QN19_m1!q19중YPSY7A02","문20-2")</f>
        <v>문20-2</v>
      </c>
    </row>
    <row r="205" spans="2:10" ht="18" customHeight="1">
      <c r="B205" s="101" t="s">
        <v>1119</v>
      </c>
      <c r="C205" s="92" t="s">
        <v>1140</v>
      </c>
      <c r="D205" s="92" t="s">
        <v>1157</v>
      </c>
      <c r="E205" s="92" t="s">
        <v>1158</v>
      </c>
      <c r="F205" s="92" t="s">
        <v>1302</v>
      </c>
      <c r="G205" s="91" t="s">
        <v>241</v>
      </c>
      <c r="H205" s="211" t="str">
        <f>HYPERLINK("#CB_m1!code중YPSY7A03","YPSY7A03")</f>
        <v>YPSY7A03</v>
      </c>
      <c r="I205" s="209" t="str">
        <f>HYPERLINK("#QN18_m1!q18중YPSY7A03","문20-3")</f>
        <v>문20-3</v>
      </c>
      <c r="J205" s="209" t="str">
        <f>HYPERLINK("#QN19_m1!q19중YPSY7A03","문20-3")</f>
        <v>문20-3</v>
      </c>
    </row>
    <row r="206" spans="2:10" ht="18" customHeight="1">
      <c r="B206" s="101" t="s">
        <v>1119</v>
      </c>
      <c r="C206" s="92" t="s">
        <v>1140</v>
      </c>
      <c r="D206" s="92" t="s">
        <v>1157</v>
      </c>
      <c r="E206" s="92" t="s">
        <v>1158</v>
      </c>
      <c r="F206" s="92" t="s">
        <v>1302</v>
      </c>
      <c r="G206" s="91" t="s">
        <v>242</v>
      </c>
      <c r="H206" s="211" t="str">
        <f>HYPERLINK("#CB_m1!code중YPSY7A04","YPSY7A04")</f>
        <v>YPSY7A04</v>
      </c>
      <c r="I206" s="209" t="str">
        <f>HYPERLINK("#QN18_m1!q18중YPSY7A04","문20-4")</f>
        <v>문20-4</v>
      </c>
      <c r="J206" s="209" t="str">
        <f>HYPERLINK("#QN19_m1!q19중YPSY7A04","문20-4")</f>
        <v>문20-4</v>
      </c>
    </row>
    <row r="207" spans="2:10" ht="18" customHeight="1">
      <c r="B207" s="101" t="s">
        <v>1119</v>
      </c>
      <c r="C207" s="92" t="s">
        <v>1140</v>
      </c>
      <c r="D207" s="92" t="s">
        <v>1157</v>
      </c>
      <c r="E207" s="92" t="s">
        <v>1158</v>
      </c>
      <c r="F207" s="92" t="s">
        <v>1302</v>
      </c>
      <c r="G207" s="91" t="s">
        <v>243</v>
      </c>
      <c r="H207" s="211" t="str">
        <f>HYPERLINK("#CB_m1!code중YPSY7A05","YPSY7A05")</f>
        <v>YPSY7A05</v>
      </c>
      <c r="I207" s="209" t="str">
        <f>HYPERLINK("#QN18_m1!q18중YPSY7A05","문20-5")</f>
        <v>문20-5</v>
      </c>
      <c r="J207" s="209" t="str">
        <f>HYPERLINK("#QN19_m1!q19중YPSY7A05","문20-5")</f>
        <v>문20-5</v>
      </c>
    </row>
    <row r="208" spans="2:10" ht="18" customHeight="1">
      <c r="B208" s="101" t="s">
        <v>1119</v>
      </c>
      <c r="C208" s="92" t="s">
        <v>1140</v>
      </c>
      <c r="D208" s="92" t="s">
        <v>1157</v>
      </c>
      <c r="E208" s="92" t="s">
        <v>1158</v>
      </c>
      <c r="F208" s="92" t="s">
        <v>1302</v>
      </c>
      <c r="G208" s="91" t="s">
        <v>244</v>
      </c>
      <c r="H208" s="211" t="str">
        <f>HYPERLINK("#CB_m1!code중YPSY7A06","YPSY7A06")</f>
        <v>YPSY7A06</v>
      </c>
      <c r="I208" s="209" t="str">
        <f>HYPERLINK("#QN18_m1!q18중YPSY7A06","문20-6")</f>
        <v>문20-6</v>
      </c>
      <c r="J208" s="209" t="str">
        <f>HYPERLINK("#QN19_m1!q19중YPSY7A06","문20-6")</f>
        <v>문20-6</v>
      </c>
    </row>
    <row r="209" spans="2:10" ht="18" customHeight="1">
      <c r="B209" s="101" t="s">
        <v>1119</v>
      </c>
      <c r="C209" s="92" t="s">
        <v>1140</v>
      </c>
      <c r="D209" s="92" t="s">
        <v>1157</v>
      </c>
      <c r="E209" s="92" t="s">
        <v>1158</v>
      </c>
      <c r="F209" s="92" t="s">
        <v>1302</v>
      </c>
      <c r="G209" s="91" t="s">
        <v>245</v>
      </c>
      <c r="H209" s="211" t="str">
        <f>HYPERLINK("#CB_m1!code중YPSY7A07","YPSY7A07")</f>
        <v>YPSY7A07</v>
      </c>
      <c r="I209" s="209" t="str">
        <f>HYPERLINK("#QN18_m1!q18중YPSY7A07","문20-7")</f>
        <v>문20-7</v>
      </c>
      <c r="J209" s="209" t="str">
        <f>HYPERLINK("#QN19_m1!q19중YPSY7A07","문20-7")</f>
        <v>문20-7</v>
      </c>
    </row>
    <row r="210" spans="2:10" ht="18" customHeight="1">
      <c r="B210" s="99" t="s">
        <v>1119</v>
      </c>
      <c r="C210" s="100" t="s">
        <v>1140</v>
      </c>
      <c r="D210" s="100" t="s">
        <v>1157</v>
      </c>
      <c r="E210" s="100" t="s">
        <v>1158</v>
      </c>
      <c r="F210" s="100" t="s">
        <v>1301</v>
      </c>
      <c r="G210" s="94" t="s">
        <v>246</v>
      </c>
      <c r="H210" s="212" t="str">
        <f>HYPERLINK("#CB_m1!code중YPSY7A08","YPSY7A08")</f>
        <v>YPSY7A08</v>
      </c>
      <c r="I210" s="207" t="str">
        <f>HYPERLINK("#QN18_m1!q18중YPSY7A08","문20-8")</f>
        <v>문20-8</v>
      </c>
      <c r="J210" s="207" t="str">
        <f>HYPERLINK("#QN19_m1!q19중YPSY7A08","문20-8")</f>
        <v>문20-8</v>
      </c>
    </row>
    <row r="211" spans="2:10" ht="18" customHeight="1">
      <c r="B211" s="96" t="s">
        <v>1119</v>
      </c>
      <c r="C211" s="90" t="s">
        <v>1159</v>
      </c>
      <c r="D211" s="90" t="s">
        <v>1160</v>
      </c>
      <c r="E211" s="90" t="s">
        <v>1161</v>
      </c>
      <c r="F211" s="90" t="s">
        <v>1301</v>
      </c>
      <c r="G211" s="97" t="s">
        <v>417</v>
      </c>
      <c r="H211" s="210" t="str">
        <f>HYPERLINK("#CB_m1!code중YDLQ1A01","YDLQ1A01")</f>
        <v>YDLQ1A01</v>
      </c>
      <c r="I211" s="205" t="str">
        <f>HYPERLINK("#QN18_m1!q18중YDLQ1A01","문25-1")</f>
        <v>문25-1</v>
      </c>
      <c r="J211" s="205" t="str">
        <f>HYPERLINK("#QN19_m1!q19중YDLQ1A01","문26-1")</f>
        <v>문26-1</v>
      </c>
    </row>
    <row r="212" spans="2:10" ht="18" customHeight="1">
      <c r="B212" s="101" t="s">
        <v>1119</v>
      </c>
      <c r="C212" s="92" t="s">
        <v>1159</v>
      </c>
      <c r="D212" s="92" t="s">
        <v>1160</v>
      </c>
      <c r="E212" s="92" t="s">
        <v>1161</v>
      </c>
      <c r="F212" s="92" t="s">
        <v>1302</v>
      </c>
      <c r="G212" s="91" t="s">
        <v>1262</v>
      </c>
      <c r="H212" s="211" t="str">
        <f>HYPERLINK("#CB_m1!code중YDLQ1A02","YDLQ1A02")</f>
        <v>YDLQ1A02</v>
      </c>
      <c r="I212" s="209" t="str">
        <f>HYPERLINK("#QN18_m1!q18중YDLQ1A02","문25-2")</f>
        <v>문25-2</v>
      </c>
      <c r="J212" s="209" t="str">
        <f>HYPERLINK("#QN19_m1!q19중YDLQ1A02","문26-2")</f>
        <v>문26-2</v>
      </c>
    </row>
    <row r="213" spans="2:10" ht="18" customHeight="1">
      <c r="B213" s="101" t="s">
        <v>1119</v>
      </c>
      <c r="C213" s="92" t="s">
        <v>1159</v>
      </c>
      <c r="D213" s="92" t="s">
        <v>1160</v>
      </c>
      <c r="E213" s="92" t="s">
        <v>1161</v>
      </c>
      <c r="F213" s="92" t="s">
        <v>1302</v>
      </c>
      <c r="G213" s="91" t="s">
        <v>1263</v>
      </c>
      <c r="H213" s="211" t="str">
        <f>HYPERLINK("#CB_m1!code중YDLQ1A03","YDLQ1A03")</f>
        <v>YDLQ1A03</v>
      </c>
      <c r="I213" s="209" t="str">
        <f>HYPERLINK("#QN18_m1!q18중YDLQ1A03","문25-3")</f>
        <v>문25-3</v>
      </c>
      <c r="J213" s="209" t="str">
        <f>HYPERLINK("#QN19_m1!q19중YDLQ1A03","문26-3")</f>
        <v>문26-3</v>
      </c>
    </row>
    <row r="214" spans="2:10" ht="18" customHeight="1">
      <c r="B214" s="101" t="s">
        <v>1119</v>
      </c>
      <c r="C214" s="92" t="s">
        <v>1159</v>
      </c>
      <c r="D214" s="92" t="s">
        <v>1160</v>
      </c>
      <c r="E214" s="92" t="s">
        <v>1161</v>
      </c>
      <c r="F214" s="92" t="s">
        <v>1302</v>
      </c>
      <c r="G214" s="91" t="s">
        <v>1264</v>
      </c>
      <c r="H214" s="211" t="str">
        <f>HYPERLINK("#CB_m1!code중YDLQ1A04","YDLQ1A04")</f>
        <v>YDLQ1A04</v>
      </c>
      <c r="I214" s="209" t="str">
        <f>HYPERLINK("#QN18_m1!q18중YDLQ1A04","문25-4")</f>
        <v>문25-4</v>
      </c>
      <c r="J214" s="209" t="str">
        <f>HYPERLINK("#QN19_m1!q19중YDLQ1A04","문26-4")</f>
        <v>문26-4</v>
      </c>
    </row>
    <row r="215" spans="2:10" ht="18" customHeight="1">
      <c r="B215" s="101" t="s">
        <v>1119</v>
      </c>
      <c r="C215" s="92" t="s">
        <v>1159</v>
      </c>
      <c r="D215" s="92" t="s">
        <v>1160</v>
      </c>
      <c r="E215" s="92" t="s">
        <v>1161</v>
      </c>
      <c r="F215" s="92" t="s">
        <v>1302</v>
      </c>
      <c r="G215" s="91" t="s">
        <v>423</v>
      </c>
      <c r="H215" s="211" t="str">
        <f>HYPERLINK("#CB_m1!code중YDLQ1A05","YDLQ1A05")</f>
        <v>YDLQ1A05</v>
      </c>
      <c r="I215" s="209" t="str">
        <f>HYPERLINK("#QN18_m1!q18중YDLQ1A05","문25-5")</f>
        <v>문25-5</v>
      </c>
      <c r="J215" s="209" t="str">
        <f>HYPERLINK("#QN19_m1!q19중YDLQ1A05","문26-5")</f>
        <v>문26-5</v>
      </c>
    </row>
    <row r="216" spans="2:10" ht="18" customHeight="1">
      <c r="B216" s="101" t="s">
        <v>1119</v>
      </c>
      <c r="C216" s="92" t="s">
        <v>1159</v>
      </c>
      <c r="D216" s="92" t="s">
        <v>1160</v>
      </c>
      <c r="E216" s="92" t="s">
        <v>1161</v>
      </c>
      <c r="F216" s="92" t="s">
        <v>1302</v>
      </c>
      <c r="G216" s="91" t="s">
        <v>1265</v>
      </c>
      <c r="H216" s="211" t="str">
        <f>HYPERLINK("#CB_m1!code중YDLQ1A06","YDLQ1A06")</f>
        <v>YDLQ1A06</v>
      </c>
      <c r="I216" s="209" t="str">
        <f>HYPERLINK("#QN18_m1!q18중YDLQ1A06","문25-6")</f>
        <v>문25-6</v>
      </c>
      <c r="J216" s="209" t="str">
        <f>HYPERLINK("#QN19_m1!q19중YDLQ1A06","문26-6")</f>
        <v>문26-6</v>
      </c>
    </row>
    <row r="217" spans="2:10" ht="18" customHeight="1">
      <c r="B217" s="101" t="s">
        <v>1119</v>
      </c>
      <c r="C217" s="92" t="s">
        <v>1159</v>
      </c>
      <c r="D217" s="92" t="s">
        <v>1160</v>
      </c>
      <c r="E217" s="92" t="s">
        <v>1161</v>
      </c>
      <c r="F217" s="92" t="s">
        <v>1301</v>
      </c>
      <c r="G217" s="91" t="s">
        <v>425</v>
      </c>
      <c r="H217" s="211" t="str">
        <f>HYPERLINK("#CB_m1!code중YDLQ1A07","YDLQ1A07")</f>
        <v>YDLQ1A07</v>
      </c>
      <c r="I217" s="209" t="str">
        <f>HYPERLINK("#QN18_m1!q18중YDLQ1A07","문25-7")</f>
        <v>문25-7</v>
      </c>
      <c r="J217" s="209" t="str">
        <f>HYPERLINK("#QN19_m1!q19중YDLQ1A07","문26-7")</f>
        <v>문26-7</v>
      </c>
    </row>
    <row r="218" spans="2:10" ht="18" customHeight="1">
      <c r="B218" s="101" t="s">
        <v>1119</v>
      </c>
      <c r="C218" s="92" t="s">
        <v>1159</v>
      </c>
      <c r="D218" s="92" t="s">
        <v>1160</v>
      </c>
      <c r="E218" s="92" t="s">
        <v>1161</v>
      </c>
      <c r="F218" s="92" t="s">
        <v>1301</v>
      </c>
      <c r="G218" s="91" t="s">
        <v>426</v>
      </c>
      <c r="H218" s="211" t="str">
        <f>HYPERLINK("#CB_m1!code중YDLQ1A08","YDLQ1A08")</f>
        <v>YDLQ1A08</v>
      </c>
      <c r="I218" s="209" t="str">
        <f>HYPERLINK("#QN18_m1!q18중YDLQ1A08","문25-8")</f>
        <v>문25-8</v>
      </c>
      <c r="J218" s="209" t="str">
        <f>HYPERLINK("#QN19_m1!q19중YDLQ1A08","문26-8")</f>
        <v>문26-8</v>
      </c>
    </row>
    <row r="219" spans="2:10" ht="18" customHeight="1">
      <c r="B219" s="101" t="s">
        <v>1119</v>
      </c>
      <c r="C219" s="92" t="s">
        <v>1159</v>
      </c>
      <c r="D219" s="92" t="s">
        <v>1160</v>
      </c>
      <c r="E219" s="92" t="s">
        <v>1161</v>
      </c>
      <c r="F219" s="92" t="s">
        <v>1302</v>
      </c>
      <c r="G219" s="91" t="s">
        <v>427</v>
      </c>
      <c r="H219" s="211" t="str">
        <f>HYPERLINK("#CB_m1!code중YDLQ1A09","YDLQ1A09")</f>
        <v>YDLQ1A09</v>
      </c>
      <c r="I219" s="209" t="str">
        <f>HYPERLINK("#QN18_m1!q18중YDLQ1A09","문25-9")</f>
        <v>문25-9</v>
      </c>
      <c r="J219" s="209" t="str">
        <f>HYPERLINK("#QN19_m1!q19중YDLQ1A09","문26-9")</f>
        <v>문26-9</v>
      </c>
    </row>
    <row r="220" spans="2:10" ht="18" customHeight="1">
      <c r="B220" s="101" t="s">
        <v>1119</v>
      </c>
      <c r="C220" s="92" t="s">
        <v>1159</v>
      </c>
      <c r="D220" s="92" t="s">
        <v>1160</v>
      </c>
      <c r="E220" s="92" t="s">
        <v>1161</v>
      </c>
      <c r="F220" s="92" t="s">
        <v>1302</v>
      </c>
      <c r="G220" s="91" t="s">
        <v>428</v>
      </c>
      <c r="H220" s="211" t="str">
        <f>HYPERLINK("#CB_m1!code중YDLQ1A10","YDLQ1A10")</f>
        <v>YDLQ1A10</v>
      </c>
      <c r="I220" s="209" t="str">
        <f>HYPERLINK("#QN18_m1!q18중YDLQ1A10","문25-10")</f>
        <v>문25-10</v>
      </c>
      <c r="J220" s="209" t="str">
        <f>HYPERLINK("#QN19_m1!q19중YDLQ1A10","문26-10")</f>
        <v>문26-10</v>
      </c>
    </row>
    <row r="221" spans="2:10" ht="18" customHeight="1">
      <c r="B221" s="101" t="s">
        <v>1119</v>
      </c>
      <c r="C221" s="92" t="s">
        <v>1159</v>
      </c>
      <c r="D221" s="92" t="s">
        <v>1160</v>
      </c>
      <c r="E221" s="92" t="s">
        <v>1161</v>
      </c>
      <c r="F221" s="92" t="s">
        <v>1302</v>
      </c>
      <c r="G221" s="91" t="s">
        <v>429</v>
      </c>
      <c r="H221" s="211" t="str">
        <f>HYPERLINK("#CB_m1!code중YDLQ1A11","YDLQ1A11")</f>
        <v>YDLQ1A11</v>
      </c>
      <c r="I221" s="209" t="str">
        <f>HYPERLINK("#QN18_m1!q18중YDLQ1A11","문25-11")</f>
        <v>문25-11</v>
      </c>
      <c r="J221" s="209" t="str">
        <f>HYPERLINK("#QN19_m1!q19중YDLQ1A11","문26-11")</f>
        <v>문26-11</v>
      </c>
    </row>
    <row r="222" spans="2:10" ht="18" customHeight="1">
      <c r="B222" s="101" t="s">
        <v>1119</v>
      </c>
      <c r="C222" s="92" t="s">
        <v>1159</v>
      </c>
      <c r="D222" s="92" t="s">
        <v>1160</v>
      </c>
      <c r="E222" s="92" t="s">
        <v>1161</v>
      </c>
      <c r="F222" s="92" t="s">
        <v>1301</v>
      </c>
      <c r="G222" s="91" t="s">
        <v>430</v>
      </c>
      <c r="H222" s="211" t="str">
        <f>HYPERLINK("#CB_m1!code중YDLQ1A12","YDLQ1A12")</f>
        <v>YDLQ1A12</v>
      </c>
      <c r="I222" s="209" t="str">
        <f>HYPERLINK("#QN18_m1!q18중YDLQ1A12","문25-12")</f>
        <v>문25-12</v>
      </c>
      <c r="J222" s="209" t="str">
        <f>HYPERLINK("#QN19_m1!q19중YDLQ1A12","문26-12")</f>
        <v>문26-12</v>
      </c>
    </row>
    <row r="223" spans="2:10" ht="18" customHeight="1">
      <c r="B223" s="101" t="s">
        <v>1119</v>
      </c>
      <c r="C223" s="92" t="s">
        <v>1159</v>
      </c>
      <c r="D223" s="92" t="s">
        <v>1160</v>
      </c>
      <c r="E223" s="92" t="s">
        <v>1161</v>
      </c>
      <c r="F223" s="92" t="s">
        <v>1302</v>
      </c>
      <c r="G223" s="91" t="s">
        <v>431</v>
      </c>
      <c r="H223" s="211" t="str">
        <f>HYPERLINK("#CB_m1!code중YDLQ1A13","YDLQ1A13")</f>
        <v>YDLQ1A13</v>
      </c>
      <c r="I223" s="209" t="str">
        <f>HYPERLINK("#QN18_m1!q18중YDLQ1A13","문25-13")</f>
        <v>문25-13</v>
      </c>
      <c r="J223" s="209" t="str">
        <f>HYPERLINK("#QN19_m1!q19중YDLQ1A13","문26-13")</f>
        <v>문26-13</v>
      </c>
    </row>
    <row r="224" spans="2:10" ht="18" customHeight="1">
      <c r="B224" s="101" t="s">
        <v>1119</v>
      </c>
      <c r="C224" s="92" t="s">
        <v>1159</v>
      </c>
      <c r="D224" s="92" t="s">
        <v>1160</v>
      </c>
      <c r="E224" s="92" t="s">
        <v>1161</v>
      </c>
      <c r="F224" s="92" t="s">
        <v>1302</v>
      </c>
      <c r="G224" s="91" t="s">
        <v>432</v>
      </c>
      <c r="H224" s="211" t="str">
        <f>HYPERLINK("#CB_m1!code중YDLQ1A14","YDLQ1A14")</f>
        <v>YDLQ1A14</v>
      </c>
      <c r="I224" s="209" t="str">
        <f>HYPERLINK("#QN18_m1!q18중YDLQ1A14","문25-14")</f>
        <v>문25-14</v>
      </c>
      <c r="J224" s="209" t="str">
        <f>HYPERLINK("#QN19_m1!q19중YDLQ1A14","문26-14")</f>
        <v>문26-14</v>
      </c>
    </row>
    <row r="225" spans="2:10" ht="18" customHeight="1">
      <c r="B225" s="99" t="s">
        <v>1119</v>
      </c>
      <c r="C225" s="100" t="s">
        <v>1159</v>
      </c>
      <c r="D225" s="100" t="s">
        <v>1160</v>
      </c>
      <c r="E225" s="100" t="s">
        <v>1161</v>
      </c>
      <c r="F225" s="100" t="s">
        <v>1302</v>
      </c>
      <c r="G225" s="94" t="s">
        <v>433</v>
      </c>
      <c r="H225" s="212" t="str">
        <f>HYPERLINK("#CB_m1!code중YDLQ1A15","YDLQ1A15")</f>
        <v>YDLQ1A15</v>
      </c>
      <c r="I225" s="207" t="str">
        <f>HYPERLINK("#QN18_m1!q18중YDLQ1A15","문25-15")</f>
        <v>문25-15</v>
      </c>
      <c r="J225" s="207" t="str">
        <f>HYPERLINK("#QN19_m1!q19중YDLQ1A15","문26-15")</f>
        <v>문26-15</v>
      </c>
    </row>
    <row r="226" spans="2:10" ht="18" customHeight="1">
      <c r="B226" s="96" t="s">
        <v>1119</v>
      </c>
      <c r="C226" s="90" t="s">
        <v>1159</v>
      </c>
      <c r="D226" s="90" t="s">
        <v>1162</v>
      </c>
      <c r="E226" s="90" t="s">
        <v>1163</v>
      </c>
      <c r="F226" s="90" t="s">
        <v>1302</v>
      </c>
      <c r="G226" s="97" t="s">
        <v>435</v>
      </c>
      <c r="H226" s="210" t="str">
        <f>HYPERLINK("#CB_m1!code중YDLQ2A01","YDLQ2A01")</f>
        <v>YDLQ2A01</v>
      </c>
      <c r="I226" s="205" t="str">
        <f>HYPERLINK("#QN18_m1!q18중YDLQ2A01","문26-1")</f>
        <v>문26-1</v>
      </c>
      <c r="J226" s="205" t="str">
        <f>HYPERLINK("#QN19_m1!q19중YDLQ2A01","문27-1")</f>
        <v>문27-1</v>
      </c>
    </row>
    <row r="227" spans="2:10" ht="18" customHeight="1">
      <c r="B227" s="101" t="s">
        <v>1119</v>
      </c>
      <c r="C227" s="92" t="s">
        <v>1159</v>
      </c>
      <c r="D227" s="92" t="s">
        <v>1162</v>
      </c>
      <c r="E227" s="92" t="s">
        <v>1163</v>
      </c>
      <c r="F227" s="92" t="s">
        <v>1302</v>
      </c>
      <c r="G227" s="91" t="s">
        <v>436</v>
      </c>
      <c r="H227" s="211" t="str">
        <f>HYPERLINK("#CB_m1!code중YDLQ2A02","YDLQ2A02")</f>
        <v>YDLQ2A02</v>
      </c>
      <c r="I227" s="209" t="str">
        <f>HYPERLINK("#QN18_m1!q18중YDLQ2A02","문26-2")</f>
        <v>문26-2</v>
      </c>
      <c r="J227" s="209" t="str">
        <f>HYPERLINK("#QN19_m1!q19중YDLQ2A02","문27-2")</f>
        <v>문27-2</v>
      </c>
    </row>
    <row r="228" spans="2:10" ht="18" customHeight="1">
      <c r="B228" s="101" t="s">
        <v>1119</v>
      </c>
      <c r="C228" s="92" t="s">
        <v>1159</v>
      </c>
      <c r="D228" s="92" t="s">
        <v>1162</v>
      </c>
      <c r="E228" s="92" t="s">
        <v>1163</v>
      </c>
      <c r="F228" s="92" t="s">
        <v>1302</v>
      </c>
      <c r="G228" s="91" t="s">
        <v>437</v>
      </c>
      <c r="H228" s="211" t="str">
        <f>HYPERLINK("#CB_m1!code중YDLQ2A03","YDLQ2A03")</f>
        <v>YDLQ2A03</v>
      </c>
      <c r="I228" s="209" t="str">
        <f>HYPERLINK("#QN18_m1!q18중YDLQ2A03","문26-3")</f>
        <v>문26-3</v>
      </c>
      <c r="J228" s="209" t="str">
        <f>HYPERLINK("#QN19_m1!q19중YDLQ2A03","문27-3")</f>
        <v>문27-3</v>
      </c>
    </row>
    <row r="229" spans="2:10" ht="18" customHeight="1">
      <c r="B229" s="101" t="s">
        <v>1119</v>
      </c>
      <c r="C229" s="92" t="s">
        <v>1159</v>
      </c>
      <c r="D229" s="92" t="s">
        <v>1162</v>
      </c>
      <c r="E229" s="92" t="s">
        <v>1163</v>
      </c>
      <c r="F229" s="92" t="s">
        <v>1302</v>
      </c>
      <c r="G229" s="91" t="s">
        <v>438</v>
      </c>
      <c r="H229" s="211" t="str">
        <f>HYPERLINK("#CB_m1!code중YDLQ2A04","YDLQ2A04")</f>
        <v>YDLQ2A04</v>
      </c>
      <c r="I229" s="209" t="str">
        <f>HYPERLINK("#QN18_m1!q18중YDLQ2A04","문26-4")</f>
        <v>문26-4</v>
      </c>
      <c r="J229" s="209" t="str">
        <f>HYPERLINK("#QN19_m1!q19중YDLQ2A04","문27-4")</f>
        <v>문27-4</v>
      </c>
    </row>
    <row r="230" spans="2:10" ht="18" customHeight="1">
      <c r="B230" s="101" t="s">
        <v>1119</v>
      </c>
      <c r="C230" s="92" t="s">
        <v>1159</v>
      </c>
      <c r="D230" s="92" t="s">
        <v>1162</v>
      </c>
      <c r="E230" s="92" t="s">
        <v>1163</v>
      </c>
      <c r="F230" s="92" t="s">
        <v>1302</v>
      </c>
      <c r="G230" s="91" t="s">
        <v>439</v>
      </c>
      <c r="H230" s="211" t="str">
        <f>HYPERLINK("#CB_m1!code중YDLQ2A05","YDLQ2A05")</f>
        <v>YDLQ2A05</v>
      </c>
      <c r="I230" s="209" t="str">
        <f>HYPERLINK("#QN18_m1!q18중YDLQ2A05","문26-5")</f>
        <v>문26-5</v>
      </c>
      <c r="J230" s="209" t="str">
        <f>HYPERLINK("#QN19_m1!q19중YDLQ2A05","문27-5")</f>
        <v>문27-5</v>
      </c>
    </row>
    <row r="231" spans="2:10" ht="18" customHeight="1">
      <c r="B231" s="101" t="s">
        <v>1119</v>
      </c>
      <c r="C231" s="92" t="s">
        <v>1159</v>
      </c>
      <c r="D231" s="92" t="s">
        <v>1162</v>
      </c>
      <c r="E231" s="92" t="s">
        <v>1163</v>
      </c>
      <c r="F231" s="92" t="s">
        <v>1301</v>
      </c>
      <c r="G231" s="91" t="s">
        <v>440</v>
      </c>
      <c r="H231" s="211" t="str">
        <f>HYPERLINK("#CB_m1!code중YDLQ2A06","YDLQ2A06")</f>
        <v>YDLQ2A06</v>
      </c>
      <c r="I231" s="209" t="str">
        <f>HYPERLINK("#QN18_m1!q18중YDLQ2A06","문26-6")</f>
        <v>문26-6</v>
      </c>
      <c r="J231" s="209" t="str">
        <f>HYPERLINK("#QN19_m1!q19중YDLQ2A06","문27-6")</f>
        <v>문27-6</v>
      </c>
    </row>
    <row r="232" spans="2:10" ht="18" customHeight="1">
      <c r="B232" s="101" t="s">
        <v>1119</v>
      </c>
      <c r="C232" s="92" t="s">
        <v>1159</v>
      </c>
      <c r="D232" s="92" t="s">
        <v>1162</v>
      </c>
      <c r="E232" s="92" t="s">
        <v>1163</v>
      </c>
      <c r="F232" s="92" t="s">
        <v>1301</v>
      </c>
      <c r="G232" s="91" t="s">
        <v>441</v>
      </c>
      <c r="H232" s="211" t="str">
        <f>HYPERLINK("#CB_m1!code중YDLQ2A07","YDLQ2A07")</f>
        <v>YDLQ2A07</v>
      </c>
      <c r="I232" s="209" t="str">
        <f>HYPERLINK("#QN18_m1!q18중YDLQ2A07","문26-7")</f>
        <v>문26-7</v>
      </c>
      <c r="J232" s="209" t="str">
        <f>HYPERLINK("#QN19_m1!q19중YDLQ2A07","문27-7")</f>
        <v>문27-7</v>
      </c>
    </row>
    <row r="233" spans="2:10" ht="18" customHeight="1">
      <c r="B233" s="101" t="s">
        <v>1119</v>
      </c>
      <c r="C233" s="92" t="s">
        <v>1159</v>
      </c>
      <c r="D233" s="92" t="s">
        <v>1162</v>
      </c>
      <c r="E233" s="92" t="s">
        <v>1163</v>
      </c>
      <c r="F233" s="92" t="s">
        <v>1302</v>
      </c>
      <c r="G233" s="91" t="s">
        <v>442</v>
      </c>
      <c r="H233" s="211" t="str">
        <f>HYPERLINK("#CB_m1!code중YDLQ2A08","YDLQ2A08")</f>
        <v>YDLQ2A08</v>
      </c>
      <c r="I233" s="209" t="str">
        <f>HYPERLINK("#QN18_m1!q18중YDLQ2A08","문26-8")</f>
        <v>문26-8</v>
      </c>
      <c r="J233" s="209" t="str">
        <f>HYPERLINK("#QN19_m1!q19중YDLQ2A08","문27-8")</f>
        <v>문27-8</v>
      </c>
    </row>
    <row r="234" spans="2:10" ht="18" customHeight="1">
      <c r="B234" s="101" t="s">
        <v>1119</v>
      </c>
      <c r="C234" s="92" t="s">
        <v>1159</v>
      </c>
      <c r="D234" s="92" t="s">
        <v>1162</v>
      </c>
      <c r="E234" s="92" t="s">
        <v>1163</v>
      </c>
      <c r="F234" s="92" t="s">
        <v>1302</v>
      </c>
      <c r="G234" s="91" t="s">
        <v>443</v>
      </c>
      <c r="H234" s="211" t="str">
        <f>HYPERLINK("#CB_m1!code중YDLQ2A09","YDLQ2A09")</f>
        <v>YDLQ2A09</v>
      </c>
      <c r="I234" s="209" t="str">
        <f>HYPERLINK("#QN18_m1!q18중YDLQ2A09","문26-9")</f>
        <v>문26-9</v>
      </c>
      <c r="J234" s="209" t="str">
        <f>HYPERLINK("#QN19_m1!q19중YDLQ2A09","문27-9")</f>
        <v>문27-9</v>
      </c>
    </row>
    <row r="235" spans="2:10" ht="18" customHeight="1">
      <c r="B235" s="101" t="s">
        <v>1119</v>
      </c>
      <c r="C235" s="92" t="s">
        <v>1159</v>
      </c>
      <c r="D235" s="92" t="s">
        <v>1162</v>
      </c>
      <c r="E235" s="92" t="s">
        <v>1163</v>
      </c>
      <c r="F235" s="92" t="s">
        <v>1302</v>
      </c>
      <c r="G235" s="91" t="s">
        <v>444</v>
      </c>
      <c r="H235" s="211" t="str">
        <f>HYPERLINK("#CB_m1!code중YDLQ2A10","YDLQ2A10")</f>
        <v>YDLQ2A10</v>
      </c>
      <c r="I235" s="209" t="str">
        <f>HYPERLINK("#QN18_m1!q18중YDLQ2A10","문26-10")</f>
        <v>문26-10</v>
      </c>
      <c r="J235" s="209" t="str">
        <f>HYPERLINK("#QN19_m1!q19중YDLQ2A10","문27-10")</f>
        <v>문27-10</v>
      </c>
    </row>
    <row r="236" spans="2:10" ht="18" customHeight="1">
      <c r="B236" s="101" t="s">
        <v>1119</v>
      </c>
      <c r="C236" s="92" t="s">
        <v>1159</v>
      </c>
      <c r="D236" s="92" t="s">
        <v>1162</v>
      </c>
      <c r="E236" s="92" t="s">
        <v>1163</v>
      </c>
      <c r="F236" s="92" t="s">
        <v>1302</v>
      </c>
      <c r="G236" s="91" t="s">
        <v>445</v>
      </c>
      <c r="H236" s="211" t="str">
        <f>HYPERLINK("#CB_m1!code중YDLQ2A11","YDLQ2A11")</f>
        <v>YDLQ2A11</v>
      </c>
      <c r="I236" s="209" t="str">
        <f>HYPERLINK("#QN18_m1!q18중YDLQ2A11","문26-11")</f>
        <v>문26-11</v>
      </c>
      <c r="J236" s="209" t="str">
        <f>HYPERLINK("#QN19_m1!q19중YDLQ2A11","문27-11")</f>
        <v>문27-11</v>
      </c>
    </row>
    <row r="237" spans="2:10" ht="18" customHeight="1">
      <c r="B237" s="101" t="s">
        <v>1119</v>
      </c>
      <c r="C237" s="92" t="s">
        <v>1159</v>
      </c>
      <c r="D237" s="92" t="s">
        <v>1162</v>
      </c>
      <c r="E237" s="92" t="s">
        <v>1163</v>
      </c>
      <c r="F237" s="92" t="s">
        <v>1302</v>
      </c>
      <c r="G237" s="91" t="s">
        <v>446</v>
      </c>
      <c r="H237" s="211" t="str">
        <f>HYPERLINK("#CB_m1!code중YDLQ2A12","YDLQ2A12")</f>
        <v>YDLQ2A12</v>
      </c>
      <c r="I237" s="209" t="str">
        <f>HYPERLINK("#QN18_m1!q18중YDLQ2A12","문26-12")</f>
        <v>문26-12</v>
      </c>
      <c r="J237" s="209" t="str">
        <f>HYPERLINK("#QN19_m1!q19중YDLQ2A12","문27-12")</f>
        <v>문27-12</v>
      </c>
    </row>
    <row r="238" spans="2:10" ht="18" customHeight="1">
      <c r="B238" s="101" t="s">
        <v>1119</v>
      </c>
      <c r="C238" s="92" t="s">
        <v>1159</v>
      </c>
      <c r="D238" s="92" t="s">
        <v>1162</v>
      </c>
      <c r="E238" s="92" t="s">
        <v>1163</v>
      </c>
      <c r="F238" s="92" t="s">
        <v>1302</v>
      </c>
      <c r="G238" s="91" t="s">
        <v>447</v>
      </c>
      <c r="H238" s="211" t="str">
        <f>HYPERLINK("#CB_m1!code중YDLQ2A13","YDLQ2A13")</f>
        <v>YDLQ2A13</v>
      </c>
      <c r="I238" s="209" t="str">
        <f>HYPERLINK("#QN18_m1!q18중YDLQ2A13","문26-13")</f>
        <v>문26-13</v>
      </c>
      <c r="J238" s="209" t="str">
        <f>HYPERLINK("#QN19_m1!q19중YDLQ2A13","문27-13")</f>
        <v>문27-13</v>
      </c>
    </row>
    <row r="239" spans="2:10" ht="18" customHeight="1">
      <c r="B239" s="101" t="s">
        <v>1119</v>
      </c>
      <c r="C239" s="92" t="s">
        <v>1159</v>
      </c>
      <c r="D239" s="92" t="s">
        <v>1162</v>
      </c>
      <c r="E239" s="92" t="s">
        <v>1163</v>
      </c>
      <c r="F239" s="92" t="s">
        <v>1302</v>
      </c>
      <c r="G239" s="91" t="s">
        <v>448</v>
      </c>
      <c r="H239" s="211" t="str">
        <f>HYPERLINK("#CB_m1!code중YDLQ2A14","YDLQ2A14")</f>
        <v>YDLQ2A14</v>
      </c>
      <c r="I239" s="209" t="str">
        <f>HYPERLINK("#QN18_m1!q18중YDLQ2A14","문26-14")</f>
        <v>문26-14</v>
      </c>
      <c r="J239" s="209" t="str">
        <f>HYPERLINK("#QN19_m1!q19중YDLQ2A14","문27-14")</f>
        <v>문27-14</v>
      </c>
    </row>
    <row r="240" spans="2:10" ht="18" customHeight="1">
      <c r="B240" s="101" t="s">
        <v>1119</v>
      </c>
      <c r="C240" s="92" t="s">
        <v>1159</v>
      </c>
      <c r="D240" s="92" t="s">
        <v>1162</v>
      </c>
      <c r="E240" s="92" t="s">
        <v>1163</v>
      </c>
      <c r="F240" s="92" t="s">
        <v>1301</v>
      </c>
      <c r="G240" s="91" t="s">
        <v>449</v>
      </c>
      <c r="H240" s="211" t="str">
        <f>HYPERLINK("#CB_m1!code중YDLQ2A15","YDLQ2A15")</f>
        <v>YDLQ2A15</v>
      </c>
      <c r="I240" s="209" t="str">
        <f>HYPERLINK("#QN18_m1!q18중YDLQ2A15","문26-15")</f>
        <v>문26-15</v>
      </c>
      <c r="J240" s="209" t="str">
        <f>HYPERLINK("#QN19_m1!q19중YDLQ2A15","문27-15")</f>
        <v>문27-15</v>
      </c>
    </row>
    <row r="241" spans="2:10" ht="18" customHeight="1">
      <c r="B241" s="96" t="s">
        <v>1119</v>
      </c>
      <c r="C241" s="90" t="s">
        <v>1164</v>
      </c>
      <c r="D241" s="90" t="s">
        <v>1165</v>
      </c>
      <c r="E241" s="90" t="s">
        <v>1166</v>
      </c>
      <c r="F241" s="90" t="s">
        <v>1301</v>
      </c>
      <c r="G241" s="97" t="s">
        <v>1266</v>
      </c>
      <c r="H241" s="210" t="str">
        <f>HYPERLINK("#CB_m1!code중YPHY1A00","YPHY1A00")</f>
        <v>YPHY1A00</v>
      </c>
      <c r="I241" s="205" t="str">
        <f>HYPERLINK("#QN18_m1!q18중YPHY1A00","문27")</f>
        <v>문27</v>
      </c>
      <c r="J241" s="205" t="str">
        <f>HYPERLINK("#QN19_m1!q19중YPHY1A00","문28")</f>
        <v>문28</v>
      </c>
    </row>
    <row r="242" spans="2:10" ht="18" customHeight="1">
      <c r="B242" s="101" t="s">
        <v>1119</v>
      </c>
      <c r="C242" s="92" t="s">
        <v>1164</v>
      </c>
      <c r="D242" s="92" t="s">
        <v>1165</v>
      </c>
      <c r="E242" s="92" t="s">
        <v>1167</v>
      </c>
      <c r="F242" s="92" t="s">
        <v>1301</v>
      </c>
      <c r="G242" s="91" t="s">
        <v>1267</v>
      </c>
      <c r="H242" s="211" t="str">
        <f>HYPERLINK("#CB_m1!code중YPHY1B00","YPHY1B00")</f>
        <v>YPHY1B00</v>
      </c>
      <c r="I242" s="209" t="str">
        <f>HYPERLINK("#QN18_m1!q18중YPHY1B00","문28")</f>
        <v>문28</v>
      </c>
      <c r="J242" s="209" t="str">
        <f>HYPERLINK("#QN19_m1!q19중YPHY1B00","문29")</f>
        <v>문29</v>
      </c>
    </row>
    <row r="243" spans="2:10" ht="18" customHeight="1">
      <c r="B243" s="99" t="s">
        <v>1119</v>
      </c>
      <c r="C243" s="100" t="s">
        <v>1164</v>
      </c>
      <c r="D243" s="100" t="s">
        <v>1165</v>
      </c>
      <c r="E243" s="100" t="s">
        <v>1168</v>
      </c>
      <c r="F243" s="100" t="s">
        <v>1302</v>
      </c>
      <c r="G243" s="94" t="s">
        <v>1268</v>
      </c>
      <c r="H243" s="212" t="str">
        <f>HYPERLINK("#CB_m1!code중YPHY1C00","YPHY1C00")</f>
        <v>YPHY1C00</v>
      </c>
      <c r="I243" s="207" t="str">
        <f>HYPERLINK("#QN18_m1!q18중YPHY1C00","문29")</f>
        <v>문29</v>
      </c>
      <c r="J243" s="207" t="str">
        <f>HYPERLINK("#QN19_m1!q19중YPHY1C00","문30")</f>
        <v>문30</v>
      </c>
    </row>
    <row r="244" spans="2:10" ht="18" customHeight="1">
      <c r="B244" s="96" t="s">
        <v>1119</v>
      </c>
      <c r="C244" s="96" t="s">
        <v>1164</v>
      </c>
      <c r="D244" s="96" t="s">
        <v>1453</v>
      </c>
      <c r="E244" s="96" t="s">
        <v>1170</v>
      </c>
      <c r="F244" s="96" t="s">
        <v>1</v>
      </c>
      <c r="G244" s="97" t="s">
        <v>317</v>
      </c>
      <c r="H244" s="210" t="str">
        <f>HYPERLINK("#CB_m1!code중YPHY2A00","YPHY2A00")</f>
        <v>YPHY2A00</v>
      </c>
      <c r="I244" s="205" t="str">
        <f>HYPERLINK("#QN18_m1!q18중YPHY2A00","문30")</f>
        <v>문30</v>
      </c>
      <c r="J244" s="205" t="str">
        <f>HYPERLINK("#QN19_m1!q19중YPHY2A00","문31")</f>
        <v>문31</v>
      </c>
    </row>
    <row r="245" spans="2:10" ht="18" customHeight="1">
      <c r="B245" s="101" t="s">
        <v>1119</v>
      </c>
      <c r="C245" s="101" t="s">
        <v>1164</v>
      </c>
      <c r="D245" s="101" t="s">
        <v>1454</v>
      </c>
      <c r="E245" s="101" t="s">
        <v>1171</v>
      </c>
      <c r="F245" s="101" t="s">
        <v>1456</v>
      </c>
      <c r="G245" s="91" t="s">
        <v>318</v>
      </c>
      <c r="H245" s="211" t="str">
        <f>HYPERLINK("#CB_m1!code중YPHY2B00","YPHY2B00")</f>
        <v>YPHY2B00</v>
      </c>
      <c r="I245" s="209" t="str">
        <f>HYPERLINK("#QN18_m1!q18중YPHY2B00","문30")</f>
        <v>문30</v>
      </c>
      <c r="J245" s="209" t="str">
        <f>HYPERLINK("#QN19_m1!q19중YPHY2B00","문31")</f>
        <v>문31</v>
      </c>
    </row>
    <row r="246" spans="2:10" ht="18" customHeight="1">
      <c r="B246" s="99" t="s">
        <v>1463</v>
      </c>
      <c r="C246" s="99" t="s">
        <v>1464</v>
      </c>
      <c r="D246" s="99" t="s">
        <v>1455</v>
      </c>
      <c r="E246" s="99" t="s">
        <v>1452</v>
      </c>
      <c r="F246" s="99" t="s">
        <v>1457</v>
      </c>
      <c r="G246" s="94" t="s">
        <v>1441</v>
      </c>
      <c r="H246" s="212" t="str">
        <f>HYPERLINK("#CB_m1!code중YPHY2C00","YPHY2C00")</f>
        <v>YPHY2C00</v>
      </c>
      <c r="I246" s="207"/>
      <c r="J246" s="207" t="str">
        <f>HYPERLINK("#QN19_m1!q19중YPHY2C00","문32")</f>
        <v>문32</v>
      </c>
    </row>
    <row r="247" spans="2:10" ht="18" customHeight="1">
      <c r="B247" s="106" t="s">
        <v>1172</v>
      </c>
      <c r="C247" s="111" t="s">
        <v>1173</v>
      </c>
      <c r="D247" s="111" t="s">
        <v>1174</v>
      </c>
      <c r="E247" s="111" t="s">
        <v>1175</v>
      </c>
      <c r="F247" s="111" t="s">
        <v>1302</v>
      </c>
      <c r="G247" s="107" t="s">
        <v>1269</v>
      </c>
      <c r="H247" s="218" t="str">
        <f>HYPERLINK("#CB_m1!code중YMDA1A00","YMDA1A00")</f>
        <v>YMDA1A00</v>
      </c>
      <c r="I247" s="203" t="str">
        <f>HYPERLINK("#QN18_m1!q18중YMDA1A00","문2")</f>
        <v>문2</v>
      </c>
      <c r="J247" s="203" t="str">
        <f>HYPERLINK("#QN19_m1!q19중YMDA1A00","문2")</f>
        <v>문2</v>
      </c>
    </row>
    <row r="248" spans="2:10" ht="18" customHeight="1">
      <c r="B248" s="101" t="s">
        <v>1172</v>
      </c>
      <c r="C248" s="92" t="s">
        <v>1173</v>
      </c>
      <c r="D248" s="92" t="s">
        <v>1174</v>
      </c>
      <c r="E248" s="92" t="s">
        <v>1176</v>
      </c>
      <c r="F248" s="92" t="s">
        <v>1301</v>
      </c>
      <c r="G248" s="91" t="s">
        <v>1270</v>
      </c>
      <c r="H248" s="211" t="str">
        <f>HYPERLINK("#CB_m1!code중YMDA1B01","YMDA1B01")</f>
        <v>YMDA1B01</v>
      </c>
      <c r="I248" s="209" t="str">
        <f>HYPERLINK("#QN18_m1!q18중YMDA1B01","문2-1-1")</f>
        <v>문2-1-1</v>
      </c>
      <c r="J248" s="209" t="str">
        <f>HYPERLINK("#QN19_m1!q19중YMDA1B01","문2-1-1")</f>
        <v>문2-1-1</v>
      </c>
    </row>
    <row r="249" spans="2:10" ht="18" customHeight="1">
      <c r="B249" s="101" t="s">
        <v>1172</v>
      </c>
      <c r="C249" s="92" t="s">
        <v>1173</v>
      </c>
      <c r="D249" s="92" t="s">
        <v>1174</v>
      </c>
      <c r="E249" s="92" t="s">
        <v>1176</v>
      </c>
      <c r="F249" s="92" t="s">
        <v>1302</v>
      </c>
      <c r="G249" s="91" t="s">
        <v>1271</v>
      </c>
      <c r="H249" s="211" t="str">
        <f>HYPERLINK("#CB_m1!code중YMDA1B02","YMDA1B02")</f>
        <v>YMDA1B02</v>
      </c>
      <c r="I249" s="209" t="str">
        <f>HYPERLINK("#QN18_m1!q18중YMDA1B02","문2-1-2")</f>
        <v>문2-1-2</v>
      </c>
      <c r="J249" s="209" t="str">
        <f>HYPERLINK("#QN19_m1!q19중YMDA1B02","문2-1-2")</f>
        <v>문2-1-2</v>
      </c>
    </row>
    <row r="250" spans="2:10" ht="18" customHeight="1">
      <c r="B250" s="101" t="s">
        <v>1172</v>
      </c>
      <c r="C250" s="92" t="s">
        <v>1173</v>
      </c>
      <c r="D250" s="92" t="s">
        <v>1174</v>
      </c>
      <c r="E250" s="92" t="s">
        <v>1176</v>
      </c>
      <c r="F250" s="92" t="s">
        <v>1302</v>
      </c>
      <c r="G250" s="91" t="s">
        <v>1272</v>
      </c>
      <c r="H250" s="211" t="str">
        <f>HYPERLINK("#CB_m1!code중YMDA1B03","YMDA1B03")</f>
        <v>YMDA1B03</v>
      </c>
      <c r="I250" s="209" t="str">
        <f>HYPERLINK("#QN18_m1!q18중YMDA1B03","문2-1-3")</f>
        <v>문2-1-3</v>
      </c>
      <c r="J250" s="209" t="str">
        <f>HYPERLINK("#QN19_m1!q19중YMDA1B03","문2-1-3")</f>
        <v>문2-1-3</v>
      </c>
    </row>
    <row r="251" spans="2:10" ht="18" customHeight="1">
      <c r="B251" s="101" t="s">
        <v>1172</v>
      </c>
      <c r="C251" s="92" t="s">
        <v>1173</v>
      </c>
      <c r="D251" s="92" t="s">
        <v>1174</v>
      </c>
      <c r="E251" s="92" t="s">
        <v>1176</v>
      </c>
      <c r="F251" s="92" t="s">
        <v>1301</v>
      </c>
      <c r="G251" s="91" t="s">
        <v>1273</v>
      </c>
      <c r="H251" s="211" t="str">
        <f>HYPERLINK("#CB_m1!code중YMDA1B04","YMDA1B04")</f>
        <v>YMDA1B04</v>
      </c>
      <c r="I251" s="209" t="str">
        <f>HYPERLINK("#QN18_m1!q18중YMDA1B04","문2-1-4")</f>
        <v>문2-1-4</v>
      </c>
      <c r="J251" s="209" t="str">
        <f>HYPERLINK("#QN19_m1!q19중YMDA1B04","문2-1-4")</f>
        <v>문2-1-4</v>
      </c>
    </row>
    <row r="252" spans="2:10" ht="18" customHeight="1">
      <c r="B252" s="101" t="s">
        <v>1172</v>
      </c>
      <c r="C252" s="92" t="s">
        <v>1173</v>
      </c>
      <c r="D252" s="92" t="s">
        <v>1174</v>
      </c>
      <c r="E252" s="92" t="s">
        <v>1176</v>
      </c>
      <c r="F252" s="92" t="s">
        <v>1302</v>
      </c>
      <c r="G252" s="91" t="s">
        <v>1274</v>
      </c>
      <c r="H252" s="211" t="str">
        <f>HYPERLINK("#CB_m1!code중YMDA1B05","YMDA1B05")</f>
        <v>YMDA1B05</v>
      </c>
      <c r="I252" s="209" t="str">
        <f>HYPERLINK("#QN18_m1!q18중YMDA1B05","문2-1-5")</f>
        <v>문2-1-5</v>
      </c>
      <c r="J252" s="209" t="str">
        <f>HYPERLINK("#QN19_m1!q19중YMDA1B05","문2-1-5")</f>
        <v>문2-1-5</v>
      </c>
    </row>
    <row r="253" spans="2:10" ht="18" customHeight="1">
      <c r="B253" s="101" t="s">
        <v>1172</v>
      </c>
      <c r="C253" s="92" t="s">
        <v>1173</v>
      </c>
      <c r="D253" s="92" t="s">
        <v>1174</v>
      </c>
      <c r="E253" s="92" t="s">
        <v>1176</v>
      </c>
      <c r="F253" s="92" t="s">
        <v>1301</v>
      </c>
      <c r="G253" s="91" t="s">
        <v>95</v>
      </c>
      <c r="H253" s="211" t="str">
        <f>HYPERLINK("#CB_m1!code중YMDA1B06","YMDA1B06")</f>
        <v>YMDA1B06</v>
      </c>
      <c r="I253" s="209" t="str">
        <f>HYPERLINK("#QN18_m1!q18중YMDA1B06","문2-1-6")</f>
        <v>문2-1-6</v>
      </c>
      <c r="J253" s="209" t="str">
        <f>HYPERLINK("#QN19_m1!q19중YMDA1B06","문2-1-6")</f>
        <v>문2-1-6</v>
      </c>
    </row>
    <row r="254" spans="2:10" ht="18" customHeight="1">
      <c r="B254" s="101" t="s">
        <v>1172</v>
      </c>
      <c r="C254" s="92" t="s">
        <v>1173</v>
      </c>
      <c r="D254" s="92" t="s">
        <v>1174</v>
      </c>
      <c r="E254" s="92" t="s">
        <v>1176</v>
      </c>
      <c r="F254" s="92" t="s">
        <v>1302</v>
      </c>
      <c r="G254" s="91" t="s">
        <v>96</v>
      </c>
      <c r="H254" s="211" t="str">
        <f>HYPERLINK("#CB_m1!code중YMDA1B07","YMDA1B07")</f>
        <v>YMDA1B07</v>
      </c>
      <c r="I254" s="209" t="str">
        <f>HYPERLINK("#QN18_m1!q18중YMDA1B07","문2-1-7")</f>
        <v>문2-1-7</v>
      </c>
      <c r="J254" s="209" t="str">
        <f>HYPERLINK("#QN19_m1!q19중YMDA1B07","문2-1-7")</f>
        <v>문2-1-7</v>
      </c>
    </row>
    <row r="255" spans="2:10" ht="18" customHeight="1">
      <c r="B255" s="101" t="s">
        <v>1172</v>
      </c>
      <c r="C255" s="92" t="s">
        <v>1173</v>
      </c>
      <c r="D255" s="92" t="s">
        <v>1174</v>
      </c>
      <c r="E255" s="92" t="s">
        <v>1176</v>
      </c>
      <c r="F255" s="92" t="s">
        <v>1302</v>
      </c>
      <c r="G255" s="91" t="s">
        <v>1275</v>
      </c>
      <c r="H255" s="211" t="str">
        <f>HYPERLINK("#CB_m1!code중YMDA1B08","YMDA1B08")</f>
        <v>YMDA1B08</v>
      </c>
      <c r="I255" s="209" t="str">
        <f>HYPERLINK("#QN18_m1!q18중YMDA1B08","문2-1-8")</f>
        <v>문2-1-8</v>
      </c>
      <c r="J255" s="209" t="str">
        <f>HYPERLINK("#QN19_m1!q19중YMDA1B08","문2-1-8")</f>
        <v>문2-1-8</v>
      </c>
    </row>
    <row r="256" spans="2:10" ht="18" customHeight="1">
      <c r="B256" s="101" t="s">
        <v>1172</v>
      </c>
      <c r="C256" s="92" t="s">
        <v>1173</v>
      </c>
      <c r="D256" s="92" t="s">
        <v>1174</v>
      </c>
      <c r="E256" s="92" t="s">
        <v>1176</v>
      </c>
      <c r="F256" s="92" t="s">
        <v>1302</v>
      </c>
      <c r="G256" s="91" t="s">
        <v>98</v>
      </c>
      <c r="H256" s="211" t="str">
        <f>HYPERLINK("#CB_m1!code중YMDA1B09","YMDA1B09")</f>
        <v>YMDA1B09</v>
      </c>
      <c r="I256" s="209" t="str">
        <f>HYPERLINK("#QN18_m1!q18중YMDA1B09","문2-1-9")</f>
        <v>문2-1-9</v>
      </c>
      <c r="J256" s="209" t="str">
        <f>HYPERLINK("#QN19_m1!q19중YMDA1B09","문2-1-9")</f>
        <v>문2-1-9</v>
      </c>
    </row>
    <row r="257" spans="2:10" ht="18" customHeight="1">
      <c r="B257" s="101" t="s">
        <v>1172</v>
      </c>
      <c r="C257" s="92" t="s">
        <v>1173</v>
      </c>
      <c r="D257" s="92" t="s">
        <v>1174</v>
      </c>
      <c r="E257" s="92" t="s">
        <v>1176</v>
      </c>
      <c r="F257" s="92" t="s">
        <v>1302</v>
      </c>
      <c r="G257" s="91" t="s">
        <v>1276</v>
      </c>
      <c r="H257" s="211" t="str">
        <f>HYPERLINK("#CB_m1!code중YMDA1B10","YMDA1B10")</f>
        <v>YMDA1B10</v>
      </c>
      <c r="I257" s="209" t="str">
        <f>HYPERLINK("#QN18_m1!q18중YMDA1B10","문2-1-10")</f>
        <v>문2-1-10</v>
      </c>
      <c r="J257" s="209" t="str">
        <f>HYPERLINK("#QN19_m1!q19중YMDA1B10","문2-1-10")</f>
        <v>문2-1-10</v>
      </c>
    </row>
    <row r="258" spans="2:10" ht="18" customHeight="1">
      <c r="B258" s="101" t="s">
        <v>1172</v>
      </c>
      <c r="C258" s="92" t="s">
        <v>1173</v>
      </c>
      <c r="D258" s="92" t="s">
        <v>1174</v>
      </c>
      <c r="E258" s="92" t="s">
        <v>1176</v>
      </c>
      <c r="F258" s="92" t="s">
        <v>1302</v>
      </c>
      <c r="G258" s="91" t="s">
        <v>1277</v>
      </c>
      <c r="H258" s="211" t="str">
        <f>HYPERLINK("#CB_m1!code중YMDA1B11","YMDA1B11")</f>
        <v>YMDA1B11</v>
      </c>
      <c r="I258" s="209" t="str">
        <f>HYPERLINK("#QN18_m1!q18중YMDA1B11","문2-1-11")</f>
        <v>문2-1-11</v>
      </c>
      <c r="J258" s="209" t="str">
        <f>HYPERLINK("#QN19_m1!q19중YMDA1B11","문2-1-11")</f>
        <v>문2-1-11</v>
      </c>
    </row>
    <row r="259" spans="2:10" ht="18" customHeight="1">
      <c r="B259" s="101" t="s">
        <v>1172</v>
      </c>
      <c r="C259" s="92" t="s">
        <v>1173</v>
      </c>
      <c r="D259" s="92" t="s">
        <v>1174</v>
      </c>
      <c r="E259" s="92" t="s">
        <v>1176</v>
      </c>
      <c r="F259" s="92" t="s">
        <v>1</v>
      </c>
      <c r="G259" s="91" t="s">
        <v>1485</v>
      </c>
      <c r="H259" s="211" t="str">
        <f>HYPERLINK("#CB_m1!code중YMDA1B12","YMDA1B12")</f>
        <v>YMDA1B12</v>
      </c>
      <c r="I259" s="209"/>
      <c r="J259" s="209" t="str">
        <f>HYPERLINK("#QN19_m1!q19중YMDA1B12","문2-1-12")</f>
        <v>문2-1-12</v>
      </c>
    </row>
    <row r="260" spans="2:10" ht="18" customHeight="1">
      <c r="B260" s="101" t="s">
        <v>1172</v>
      </c>
      <c r="C260" s="92" t="s">
        <v>1173</v>
      </c>
      <c r="D260" s="92" t="s">
        <v>1174</v>
      </c>
      <c r="E260" s="92" t="s">
        <v>1176</v>
      </c>
      <c r="F260" s="92" t="s">
        <v>1302</v>
      </c>
      <c r="G260" s="91" t="s">
        <v>101</v>
      </c>
      <c r="H260" s="211" t="str">
        <f>HYPERLINK("#CB_m1!code중YMDA1B13","YMDA1B13")</f>
        <v>YMDA1B13</v>
      </c>
      <c r="I260" s="209" t="str">
        <f>HYPERLINK("#QN18_m1!q18중YMDA1B13","문2-1-12")</f>
        <v>문2-1-12</v>
      </c>
      <c r="J260" s="209" t="str">
        <f>HYPERLINK("#QN19_m1!q19중YMDA1B13","문2-1-13")</f>
        <v>문2-1-13</v>
      </c>
    </row>
    <row r="261" spans="2:10" ht="18" customHeight="1">
      <c r="B261" s="99" t="s">
        <v>1172</v>
      </c>
      <c r="C261" s="100" t="s">
        <v>1173</v>
      </c>
      <c r="D261" s="100" t="s">
        <v>1174</v>
      </c>
      <c r="E261" s="100" t="s">
        <v>1176</v>
      </c>
      <c r="F261" s="100" t="s">
        <v>1302</v>
      </c>
      <c r="G261" s="94" t="s">
        <v>102</v>
      </c>
      <c r="H261" s="212" t="str">
        <f>HYPERLINK("#CB_m1!code중YMDA1B13_T","YMDA1B13_T")</f>
        <v>YMDA1B13_T</v>
      </c>
      <c r="I261" s="207" t="str">
        <f>HYPERLINK("#QN18_m1!q18중YMDA1B13_T","문2-1-12_T")</f>
        <v>문2-1-12_T</v>
      </c>
      <c r="J261" s="207" t="str">
        <f>HYPERLINK("#QN19_m1!q19중YMDA1B13_T","문2-1-13_T")</f>
        <v>문2-1-13_T</v>
      </c>
    </row>
    <row r="262" spans="2:10" ht="18" customHeight="1">
      <c r="B262" s="96" t="s">
        <v>1172</v>
      </c>
      <c r="C262" s="90" t="s">
        <v>1173</v>
      </c>
      <c r="D262" s="90" t="s">
        <v>1174</v>
      </c>
      <c r="E262" s="90" t="s">
        <v>1177</v>
      </c>
      <c r="F262" s="90" t="s">
        <v>1318</v>
      </c>
      <c r="G262" s="97" t="s">
        <v>104</v>
      </c>
      <c r="H262" s="210" t="str">
        <f>HYPERLINK("#CB_m1!code중YMDA1C01","YMDA1C01")</f>
        <v>YMDA1C01</v>
      </c>
      <c r="I262" s="205" t="str">
        <f>HYPERLINK("#QN18_m1!q18중YMDA1C01","문2-2-1")</f>
        <v>문2-2-1</v>
      </c>
      <c r="J262" s="205" t="str">
        <f>HYPERLINK("#QN19_m1!q19중YMDA1C01","문2-2-1")</f>
        <v>문2-2-1</v>
      </c>
    </row>
    <row r="263" spans="2:10" ht="18" customHeight="1">
      <c r="B263" s="101" t="s">
        <v>1172</v>
      </c>
      <c r="C263" s="102" t="s">
        <v>1173</v>
      </c>
      <c r="D263" s="102" t="s">
        <v>1174</v>
      </c>
      <c r="E263" s="102" t="s">
        <v>1177</v>
      </c>
      <c r="F263" s="102" t="s">
        <v>1317</v>
      </c>
      <c r="G263" s="103" t="s">
        <v>109</v>
      </c>
      <c r="H263" s="211" t="str">
        <f>HYPERLINK("#CB_m1!code중YMDA1C02","YMDA1C02")</f>
        <v>YMDA1C02</v>
      </c>
      <c r="I263" s="209" t="str">
        <f>HYPERLINK("#QN18_m1!q18중YMDA1C02","문2-2-2")</f>
        <v>문2-2-2</v>
      </c>
      <c r="J263" s="209" t="str">
        <f>HYPERLINK("#QN19_m1!q19중YMDA1C02","문2-2-2")</f>
        <v>문2-2-2</v>
      </c>
    </row>
    <row r="264" spans="2:10" ht="18" customHeight="1">
      <c r="B264" s="101" t="s">
        <v>1172</v>
      </c>
      <c r="C264" s="102" t="s">
        <v>1173</v>
      </c>
      <c r="D264" s="102" t="s">
        <v>1174</v>
      </c>
      <c r="E264" s="102" t="s">
        <v>1177</v>
      </c>
      <c r="F264" s="102" t="s">
        <v>1317</v>
      </c>
      <c r="G264" s="103" t="s">
        <v>110</v>
      </c>
      <c r="H264" s="211" t="str">
        <f>HYPERLINK("#CB_m1!code중YMDA1C03","YMDA1C03")</f>
        <v>YMDA1C03</v>
      </c>
      <c r="I264" s="209" t="str">
        <f>HYPERLINK("#QN18_m1!q18중YMDA1C03","문2-2-3")</f>
        <v>문2-2-3</v>
      </c>
      <c r="J264" s="209" t="str">
        <f>HYPERLINK("#QN19_m1!q19중YMDA1C03","문2-2-3")</f>
        <v>문2-2-3</v>
      </c>
    </row>
    <row r="265" spans="2:10" ht="18" customHeight="1">
      <c r="B265" s="101" t="s">
        <v>1172</v>
      </c>
      <c r="C265" s="102" t="s">
        <v>1173</v>
      </c>
      <c r="D265" s="102" t="s">
        <v>1174</v>
      </c>
      <c r="E265" s="102" t="s">
        <v>1177</v>
      </c>
      <c r="F265" s="102" t="s">
        <v>1317</v>
      </c>
      <c r="G265" s="103" t="s">
        <v>111</v>
      </c>
      <c r="H265" s="211" t="str">
        <f>HYPERLINK("#CB_m1!code중YMDA1C04","YMDA1C04")</f>
        <v>YMDA1C04</v>
      </c>
      <c r="I265" s="209" t="str">
        <f>HYPERLINK("#QN18_m1!q18중YMDA1C04","문2-2-4")</f>
        <v>문2-2-4</v>
      </c>
      <c r="J265" s="209" t="str">
        <f>HYPERLINK("#QN19_m1!q19중YMDA1C04","문2-2-4")</f>
        <v>문2-2-4</v>
      </c>
    </row>
    <row r="266" spans="2:10" ht="18" customHeight="1">
      <c r="B266" s="101" t="s">
        <v>1172</v>
      </c>
      <c r="C266" s="102" t="s">
        <v>1173</v>
      </c>
      <c r="D266" s="102" t="s">
        <v>1174</v>
      </c>
      <c r="E266" s="102" t="s">
        <v>1177</v>
      </c>
      <c r="F266" s="102" t="s">
        <v>1317</v>
      </c>
      <c r="G266" s="103" t="s">
        <v>112</v>
      </c>
      <c r="H266" s="211" t="str">
        <f>HYPERLINK("#CB_m1!code중YMDA1C05","YMDA1C05")</f>
        <v>YMDA1C05</v>
      </c>
      <c r="I266" s="209" t="str">
        <f>HYPERLINK("#QN18_m1!q18중YMDA1C05","문2-2-5")</f>
        <v>문2-2-5</v>
      </c>
      <c r="J266" s="209" t="str">
        <f>HYPERLINK("#QN19_m1!q19중YMDA1C05","문2-2-5")</f>
        <v>문2-2-5</v>
      </c>
    </row>
    <row r="267" spans="2:10" ht="18" customHeight="1">
      <c r="B267" s="101" t="s">
        <v>1172</v>
      </c>
      <c r="C267" s="102" t="s">
        <v>1173</v>
      </c>
      <c r="D267" s="102" t="s">
        <v>1174</v>
      </c>
      <c r="E267" s="102" t="s">
        <v>1177</v>
      </c>
      <c r="F267" s="102" t="s">
        <v>1319</v>
      </c>
      <c r="G267" s="103" t="s">
        <v>113</v>
      </c>
      <c r="H267" s="211" t="str">
        <f>HYPERLINK("#CB_m1!code중YMDA1C06","YMDA1C06")</f>
        <v>YMDA1C06</v>
      </c>
      <c r="I267" s="209" t="str">
        <f>HYPERLINK("#QN18_m1!q18중YMDA1C06","문2-2-6")</f>
        <v>문2-2-6</v>
      </c>
      <c r="J267" s="209" t="str">
        <f>HYPERLINK("#QN19_m1!q19중YMDA1C06","문2-2-6")</f>
        <v>문2-2-6</v>
      </c>
    </row>
    <row r="268" spans="2:10" ht="18" customHeight="1">
      <c r="B268" s="101" t="s">
        <v>1172</v>
      </c>
      <c r="C268" s="102" t="s">
        <v>1173</v>
      </c>
      <c r="D268" s="102" t="s">
        <v>1174</v>
      </c>
      <c r="E268" s="102" t="s">
        <v>1177</v>
      </c>
      <c r="F268" s="102" t="s">
        <v>1319</v>
      </c>
      <c r="G268" s="103" t="s">
        <v>114</v>
      </c>
      <c r="H268" s="211" t="str">
        <f>HYPERLINK("#CB_m1!code중YMDA1C07","YMDA1C07")</f>
        <v>YMDA1C07</v>
      </c>
      <c r="I268" s="209" t="str">
        <f>HYPERLINK("#QN18_m1!q18중YMDA1C07","문2-2-7")</f>
        <v>문2-2-7</v>
      </c>
      <c r="J268" s="209" t="str">
        <f>HYPERLINK("#QN19_m1!q19중YMDA1C07","문2-2-7")</f>
        <v>문2-2-7</v>
      </c>
    </row>
    <row r="269" spans="2:10" ht="18" customHeight="1">
      <c r="B269" s="101" t="s">
        <v>1172</v>
      </c>
      <c r="C269" s="102" t="s">
        <v>1173</v>
      </c>
      <c r="D269" s="102" t="s">
        <v>1174</v>
      </c>
      <c r="E269" s="102" t="s">
        <v>1177</v>
      </c>
      <c r="F269" s="102" t="s">
        <v>1320</v>
      </c>
      <c r="G269" s="103" t="s">
        <v>115</v>
      </c>
      <c r="H269" s="211" t="str">
        <f>HYPERLINK("#CB_m1!code중YMDA1C08","YMDA1C08")</f>
        <v>YMDA1C08</v>
      </c>
      <c r="I269" s="209" t="str">
        <f>HYPERLINK("#QN18_m1!q18중YMDA1C08","문2-2-8")</f>
        <v>문2-2-8</v>
      </c>
      <c r="J269" s="209" t="str">
        <f>HYPERLINK("#QN19_m1!q19중YMDA1C08","문2-2-8")</f>
        <v>문2-2-8</v>
      </c>
    </row>
    <row r="270" spans="2:10" ht="18" customHeight="1">
      <c r="B270" s="101" t="s">
        <v>1172</v>
      </c>
      <c r="C270" s="102" t="s">
        <v>1173</v>
      </c>
      <c r="D270" s="102" t="s">
        <v>1174</v>
      </c>
      <c r="E270" s="102" t="s">
        <v>1177</v>
      </c>
      <c r="F270" s="102" t="s">
        <v>1320</v>
      </c>
      <c r="G270" s="103" t="s">
        <v>116</v>
      </c>
      <c r="H270" s="211" t="str">
        <f>HYPERLINK("#CB_m1!code중YMDA1C09","YMDA1C09")</f>
        <v>YMDA1C09</v>
      </c>
      <c r="I270" s="209" t="str">
        <f>HYPERLINK("#QN18_m1!q18중YMDA1C09","문2-2-9")</f>
        <v>문2-2-9</v>
      </c>
      <c r="J270" s="209" t="str">
        <f>HYPERLINK("#QN19_m1!q19중YMDA1C09","문2-2-9")</f>
        <v>문2-2-9</v>
      </c>
    </row>
    <row r="271" spans="2:10" ht="18" customHeight="1">
      <c r="B271" s="101" t="s">
        <v>1172</v>
      </c>
      <c r="C271" s="102" t="s">
        <v>1173</v>
      </c>
      <c r="D271" s="102" t="s">
        <v>1174</v>
      </c>
      <c r="E271" s="102" t="s">
        <v>1177</v>
      </c>
      <c r="F271" s="102" t="s">
        <v>1320</v>
      </c>
      <c r="G271" s="103" t="s">
        <v>117</v>
      </c>
      <c r="H271" s="211" t="str">
        <f>HYPERLINK("#CB_m1!code중YMDA1C10","YMDA1C10")</f>
        <v>YMDA1C10</v>
      </c>
      <c r="I271" s="209" t="str">
        <f>HYPERLINK("#QN18_m1!q18중YMDA1C10","문2-2-10")</f>
        <v>문2-2-10</v>
      </c>
      <c r="J271" s="209" t="str">
        <f>HYPERLINK("#QN19_m1!q19중YMDA1C10","문2-2-10")</f>
        <v>문2-2-10</v>
      </c>
    </row>
    <row r="272" spans="2:10" ht="18" customHeight="1">
      <c r="B272" s="101" t="s">
        <v>1172</v>
      </c>
      <c r="C272" s="102" t="s">
        <v>1173</v>
      </c>
      <c r="D272" s="102" t="s">
        <v>1174</v>
      </c>
      <c r="E272" s="102" t="s">
        <v>1177</v>
      </c>
      <c r="F272" s="102" t="s">
        <v>1320</v>
      </c>
      <c r="G272" s="103" t="s">
        <v>118</v>
      </c>
      <c r="H272" s="211" t="str">
        <f>HYPERLINK("#CB_m1!code중YMDA1C11","YMDA1C11")</f>
        <v>YMDA1C11</v>
      </c>
      <c r="I272" s="209" t="str">
        <f>HYPERLINK("#QN18_m1!q18중YMDA1C11","문2-2-11")</f>
        <v>문2-2-11</v>
      </c>
      <c r="J272" s="209" t="str">
        <f>HYPERLINK("#QN19_m1!q19중YMDA1C11","문2-2-11")</f>
        <v>문2-2-11</v>
      </c>
    </row>
    <row r="273" spans="2:10" ht="18" customHeight="1">
      <c r="B273" s="101" t="s">
        <v>1172</v>
      </c>
      <c r="C273" s="102" t="s">
        <v>1173</v>
      </c>
      <c r="D273" s="102" t="s">
        <v>1174</v>
      </c>
      <c r="E273" s="102" t="s">
        <v>1177</v>
      </c>
      <c r="F273" s="102" t="s">
        <v>1321</v>
      </c>
      <c r="G273" s="103" t="s">
        <v>119</v>
      </c>
      <c r="H273" s="211" t="str">
        <f>HYPERLINK("#CB_m1!code중YMDA1C12","YMDA1C12")</f>
        <v>YMDA1C12</v>
      </c>
      <c r="I273" s="209" t="str">
        <f>HYPERLINK("#QN18_m1!q18중YMDA1C12","문2-2-12")</f>
        <v>문2-2-12</v>
      </c>
      <c r="J273" s="209" t="str">
        <f>HYPERLINK("#QN19_m1!q19중YMDA1C12","문2-2-12")</f>
        <v>문2-2-12</v>
      </c>
    </row>
    <row r="274" spans="2:10" ht="18" customHeight="1">
      <c r="B274" s="101" t="s">
        <v>1172</v>
      </c>
      <c r="C274" s="102" t="s">
        <v>1173</v>
      </c>
      <c r="D274" s="102" t="s">
        <v>1174</v>
      </c>
      <c r="E274" s="102" t="s">
        <v>1177</v>
      </c>
      <c r="F274" s="102" t="s">
        <v>1321</v>
      </c>
      <c r="G274" s="103" t="s">
        <v>120</v>
      </c>
      <c r="H274" s="211" t="str">
        <f>HYPERLINK("#CB_m1!code중YMDA1C13","YMDA1C13")</f>
        <v>YMDA1C13</v>
      </c>
      <c r="I274" s="209" t="str">
        <f>HYPERLINK("#QN18_m1!q18중YMDA1C13","문2-2-13")</f>
        <v>문2-2-13</v>
      </c>
      <c r="J274" s="209" t="str">
        <f>HYPERLINK("#QN19_m1!q19중YMDA1C13","문2-2-13")</f>
        <v>문2-2-13</v>
      </c>
    </row>
    <row r="275" spans="2:10" ht="18" customHeight="1">
      <c r="B275" s="101" t="s">
        <v>1172</v>
      </c>
      <c r="C275" s="102" t="s">
        <v>1173</v>
      </c>
      <c r="D275" s="102" t="s">
        <v>1174</v>
      </c>
      <c r="E275" s="102" t="s">
        <v>1177</v>
      </c>
      <c r="F275" s="102" t="s">
        <v>1321</v>
      </c>
      <c r="G275" s="103" t="s">
        <v>121</v>
      </c>
      <c r="H275" s="211" t="str">
        <f>HYPERLINK("#CB_m1!code중YMDA1C14","YMDA1C14")</f>
        <v>YMDA1C14</v>
      </c>
      <c r="I275" s="209" t="str">
        <f>HYPERLINK("#QN18_m1!q18중YMDA1C14","문2-2-14")</f>
        <v>문2-2-14</v>
      </c>
      <c r="J275" s="209" t="str">
        <f>HYPERLINK("#QN19_m1!q19중YMDA1C14","문2-2-14")</f>
        <v>문2-2-14</v>
      </c>
    </row>
    <row r="276" spans="2:10" ht="18" customHeight="1">
      <c r="B276" s="99" t="s">
        <v>1172</v>
      </c>
      <c r="C276" s="104" t="s">
        <v>1173</v>
      </c>
      <c r="D276" s="104" t="s">
        <v>1174</v>
      </c>
      <c r="E276" s="104" t="s">
        <v>1177</v>
      </c>
      <c r="F276" s="104" t="s">
        <v>1321</v>
      </c>
      <c r="G276" s="105" t="s">
        <v>122</v>
      </c>
      <c r="H276" s="212" t="str">
        <f>HYPERLINK("#CB_m1!code중YMDA1C15","YMDA1C15")</f>
        <v>YMDA1C15</v>
      </c>
      <c r="I276" s="207" t="str">
        <f>HYPERLINK("#QN18_m1!q18중YMDA1C15","문2-2-15")</f>
        <v>문2-2-15</v>
      </c>
      <c r="J276" s="207" t="str">
        <f>HYPERLINK("#QN19_m1!q19중YMDA1C15","문2-2-15")</f>
        <v>문2-2-15</v>
      </c>
    </row>
    <row r="277" spans="2:10" ht="18" customHeight="1">
      <c r="B277" s="96" t="s">
        <v>1172</v>
      </c>
      <c r="C277" s="90" t="s">
        <v>1178</v>
      </c>
      <c r="D277" s="90" t="s">
        <v>1179</v>
      </c>
      <c r="E277" s="90" t="s">
        <v>1180</v>
      </c>
      <c r="F277" s="90" t="s">
        <v>1301</v>
      </c>
      <c r="G277" s="97" t="s">
        <v>1278</v>
      </c>
      <c r="H277" s="210" t="str">
        <f>HYPERLINK("#CB_m1!code중YACT1A01","YACT1A01")</f>
        <v>YACT1A01</v>
      </c>
      <c r="I277" s="205" t="str">
        <f>HYPERLINK("#QN18_m1!q18중YACT1A01","문3a-1")</f>
        <v>문3a-1</v>
      </c>
      <c r="J277" s="205" t="str">
        <f>HYPERLINK("#QN19_m1!q19중YACT1A01","문3a-1")</f>
        <v>문3a-1</v>
      </c>
    </row>
    <row r="278" spans="2:10" ht="18" customHeight="1">
      <c r="B278" s="101" t="s">
        <v>1172</v>
      </c>
      <c r="C278" s="92" t="s">
        <v>1178</v>
      </c>
      <c r="D278" s="92" t="s">
        <v>1179</v>
      </c>
      <c r="E278" s="92" t="s">
        <v>1180</v>
      </c>
      <c r="F278" s="92" t="s">
        <v>1301</v>
      </c>
      <c r="G278" s="91" t="s">
        <v>1279</v>
      </c>
      <c r="H278" s="211" t="str">
        <f>HYPERLINK("#CB_m1!code중YACT1A02","YACT1A02")</f>
        <v>YACT1A02</v>
      </c>
      <c r="I278" s="209" t="str">
        <f>HYPERLINK("#QN18_m1!q18중YACT1A02","문3a-2")</f>
        <v>문3a-2</v>
      </c>
      <c r="J278" s="209" t="str">
        <f>HYPERLINK("#QN19_m1!q19중YACT1A02","문3a-2")</f>
        <v>문3a-2</v>
      </c>
    </row>
    <row r="279" spans="2:10" ht="18" customHeight="1">
      <c r="B279" s="101" t="s">
        <v>1172</v>
      </c>
      <c r="C279" s="92" t="s">
        <v>1178</v>
      </c>
      <c r="D279" s="92" t="s">
        <v>1179</v>
      </c>
      <c r="E279" s="92" t="s">
        <v>1180</v>
      </c>
      <c r="F279" s="92" t="s">
        <v>1301</v>
      </c>
      <c r="G279" s="91" t="s">
        <v>1280</v>
      </c>
      <c r="H279" s="211" t="str">
        <f>HYPERLINK("#CB_m1!code중YACT1A03","YACT1A03")</f>
        <v>YACT1A03</v>
      </c>
      <c r="I279" s="209" t="str">
        <f>HYPERLINK("#QN18_m1!q18중YACT1A03","문3a-3")</f>
        <v>문3a-3</v>
      </c>
      <c r="J279" s="209" t="str">
        <f>HYPERLINK("#QN19_m1!q19중YACT1A03","문3a-3")</f>
        <v>문3a-3</v>
      </c>
    </row>
    <row r="280" spans="2:10" ht="18" customHeight="1">
      <c r="B280" s="101" t="s">
        <v>1172</v>
      </c>
      <c r="C280" s="92" t="s">
        <v>1178</v>
      </c>
      <c r="D280" s="92" t="s">
        <v>1179</v>
      </c>
      <c r="E280" s="92" t="s">
        <v>1180</v>
      </c>
      <c r="F280" s="92" t="s">
        <v>1301</v>
      </c>
      <c r="G280" s="91" t="s">
        <v>1281</v>
      </c>
      <c r="H280" s="211" t="str">
        <f>HYPERLINK("#CB_m1!code중YACT1A04","YACT1A04")</f>
        <v>YACT1A04</v>
      </c>
      <c r="I280" s="209" t="str">
        <f>HYPERLINK("#QN18_m1!q18중YACT1A04","문3a-4")</f>
        <v>문3a-4</v>
      </c>
      <c r="J280" s="209" t="str">
        <f>HYPERLINK("#QN19_m1!q19중YACT1A04","문3a-4")</f>
        <v>문3a-4</v>
      </c>
    </row>
    <row r="281" spans="2:10" ht="18" customHeight="1">
      <c r="B281" s="101" t="s">
        <v>1172</v>
      </c>
      <c r="C281" s="92" t="s">
        <v>1178</v>
      </c>
      <c r="D281" s="92" t="s">
        <v>1179</v>
      </c>
      <c r="E281" s="92" t="s">
        <v>1180</v>
      </c>
      <c r="F281" s="92" t="s">
        <v>1301</v>
      </c>
      <c r="G281" s="91" t="s">
        <v>1282</v>
      </c>
      <c r="H281" s="211" t="str">
        <f>HYPERLINK("#CB_m1!code중YACT1A05","YACT1A05")</f>
        <v>YACT1A05</v>
      </c>
      <c r="I281" s="209" t="str">
        <f>HYPERLINK("#QN18_m1!q18중YACT1A05","문3a-5")</f>
        <v>문3a-5</v>
      </c>
      <c r="J281" s="209" t="str">
        <f>HYPERLINK("#QN19_m1!q19중YACT1A05","문3a-5")</f>
        <v>문3a-5</v>
      </c>
    </row>
    <row r="282" spans="2:10" ht="18" customHeight="1">
      <c r="B282" s="101" t="s">
        <v>1172</v>
      </c>
      <c r="C282" s="92" t="s">
        <v>1178</v>
      </c>
      <c r="D282" s="92" t="s">
        <v>1179</v>
      </c>
      <c r="E282" s="92" t="s">
        <v>1180</v>
      </c>
      <c r="F282" s="92" t="s">
        <v>1302</v>
      </c>
      <c r="G282" s="91" t="s">
        <v>1283</v>
      </c>
      <c r="H282" s="211" t="str">
        <f>HYPERLINK("#CB_m1!code중YACT1A06","YACT1A06")</f>
        <v>YACT1A06</v>
      </c>
      <c r="I282" s="209" t="str">
        <f>HYPERLINK("#QN18_m1!q18중YACT1A06","문3a-6")</f>
        <v>문3a-6</v>
      </c>
      <c r="J282" s="209" t="str">
        <f>HYPERLINK("#QN19_m1!q19중YACT1A06","문3a-6")</f>
        <v>문3a-6</v>
      </c>
    </row>
    <row r="283" spans="2:10" ht="18" customHeight="1">
      <c r="B283" s="101" t="s">
        <v>1172</v>
      </c>
      <c r="C283" s="92" t="s">
        <v>1178</v>
      </c>
      <c r="D283" s="92" t="s">
        <v>1179</v>
      </c>
      <c r="E283" s="92" t="s">
        <v>1180</v>
      </c>
      <c r="F283" s="92" t="s">
        <v>1302</v>
      </c>
      <c r="G283" s="91" t="s">
        <v>1284</v>
      </c>
      <c r="H283" s="211" t="str">
        <f>HYPERLINK("#CB_m1!code중YACT1A07","YACT1A07")</f>
        <v>YACT1A07</v>
      </c>
      <c r="I283" s="209" t="str">
        <f>HYPERLINK("#QN18_m1!q18중YACT1A07","문3a-7")</f>
        <v>문3a-7</v>
      </c>
      <c r="J283" s="209" t="str">
        <f>HYPERLINK("#QN19_m1!q19중YACT1A07","문3a-7")</f>
        <v>문3a-7</v>
      </c>
    </row>
    <row r="284" spans="2:10" ht="18" customHeight="1">
      <c r="B284" s="101" t="s">
        <v>1172</v>
      </c>
      <c r="C284" s="92" t="s">
        <v>1178</v>
      </c>
      <c r="D284" s="92" t="s">
        <v>1179</v>
      </c>
      <c r="E284" s="92" t="s">
        <v>1180</v>
      </c>
      <c r="F284" s="92" t="s">
        <v>1301</v>
      </c>
      <c r="G284" s="91" t="s">
        <v>1285</v>
      </c>
      <c r="H284" s="211" t="str">
        <f>HYPERLINK("#CB_m1!code중YACT1A08","YACT1A08")</f>
        <v>YACT1A08</v>
      </c>
      <c r="I284" s="209" t="str">
        <f>HYPERLINK("#QN18_m1!q18중YACT1A08","문3a-8")</f>
        <v>문3a-8</v>
      </c>
      <c r="J284" s="209" t="str">
        <f>HYPERLINK("#QN19_m1!q19중YACT1A08","문3a-8")</f>
        <v>문3a-8</v>
      </c>
    </row>
    <row r="285" spans="2:10" ht="18" customHeight="1">
      <c r="B285" s="99" t="s">
        <v>1172</v>
      </c>
      <c r="C285" s="100" t="s">
        <v>1178</v>
      </c>
      <c r="D285" s="100" t="s">
        <v>1179</v>
      </c>
      <c r="E285" s="100" t="s">
        <v>1180</v>
      </c>
      <c r="F285" s="100" t="s">
        <v>1301</v>
      </c>
      <c r="G285" s="94" t="s">
        <v>1286</v>
      </c>
      <c r="H285" s="212" t="str">
        <f>HYPERLINK("#CB_m1!code중YACT1A09","YACT1A09")</f>
        <v>YACT1A09</v>
      </c>
      <c r="I285" s="207" t="str">
        <f>HYPERLINK("#QN18_m1!q18중YACT1A09","문3a-9")</f>
        <v>문3a-9</v>
      </c>
      <c r="J285" s="207" t="str">
        <f>HYPERLINK("#QN19_m1!q19중YACT1A09","문3a-9")</f>
        <v>문3a-9</v>
      </c>
    </row>
    <row r="286" spans="2:10" ht="18" customHeight="1">
      <c r="B286" s="96" t="s">
        <v>1172</v>
      </c>
      <c r="C286" s="90" t="s">
        <v>1178</v>
      </c>
      <c r="D286" s="90" t="s">
        <v>1179</v>
      </c>
      <c r="E286" s="90" t="s">
        <v>1181</v>
      </c>
      <c r="F286" s="90" t="s">
        <v>1301</v>
      </c>
      <c r="G286" s="97" t="s">
        <v>1278</v>
      </c>
      <c r="H286" s="210" t="str">
        <f>HYPERLINK("#CB_m1!code중YACT1B01","YACT1B01")</f>
        <v>YACT1B01</v>
      </c>
      <c r="I286" s="205" t="str">
        <f>HYPERLINK("#QN18_m1!q18중YACT1B01","문3b-1")</f>
        <v>문3b-1</v>
      </c>
      <c r="J286" s="205" t="str">
        <f>HYPERLINK("#QN19_m1!q19중YACT1B01","문3b-1")</f>
        <v>문3b-1</v>
      </c>
    </row>
    <row r="287" spans="2:10" ht="18" customHeight="1">
      <c r="B287" s="101" t="s">
        <v>1172</v>
      </c>
      <c r="C287" s="92" t="s">
        <v>1178</v>
      </c>
      <c r="D287" s="92" t="s">
        <v>1179</v>
      </c>
      <c r="E287" s="92" t="s">
        <v>1181</v>
      </c>
      <c r="F287" s="92" t="s">
        <v>1304</v>
      </c>
      <c r="G287" s="91" t="s">
        <v>1279</v>
      </c>
      <c r="H287" s="211" t="str">
        <f>HYPERLINK("#CB_m1!code중YACT1B02","YACT1B02")</f>
        <v>YACT1B02</v>
      </c>
      <c r="I287" s="209" t="str">
        <f>HYPERLINK("#QN18_m1!q18중YACT1B02","문3b-2")</f>
        <v>문3b-2</v>
      </c>
      <c r="J287" s="209" t="str">
        <f>HYPERLINK("#QN19_m1!q19중YACT1B02","문3b-2")</f>
        <v>문3b-2</v>
      </c>
    </row>
    <row r="288" spans="2:10" ht="18" customHeight="1">
      <c r="B288" s="101" t="s">
        <v>1172</v>
      </c>
      <c r="C288" s="92" t="s">
        <v>1178</v>
      </c>
      <c r="D288" s="92" t="s">
        <v>1179</v>
      </c>
      <c r="E288" s="92" t="s">
        <v>1181</v>
      </c>
      <c r="F288" s="92" t="s">
        <v>1301</v>
      </c>
      <c r="G288" s="91" t="s">
        <v>1280</v>
      </c>
      <c r="H288" s="211" t="str">
        <f>HYPERLINK("#CB_m1!code중YACT1B03","YACT1B03")</f>
        <v>YACT1B03</v>
      </c>
      <c r="I288" s="209" t="str">
        <f>HYPERLINK("#QN18_m1!q18중YACT1B03","문3b-3")</f>
        <v>문3b-3</v>
      </c>
      <c r="J288" s="209" t="str">
        <f>HYPERLINK("#QN19_m1!q19중YACT1B03","문3b-3")</f>
        <v>문3b-3</v>
      </c>
    </row>
    <row r="289" spans="2:10" ht="18" customHeight="1">
      <c r="B289" s="101" t="s">
        <v>1172</v>
      </c>
      <c r="C289" s="92" t="s">
        <v>1178</v>
      </c>
      <c r="D289" s="92" t="s">
        <v>1179</v>
      </c>
      <c r="E289" s="92" t="s">
        <v>1181</v>
      </c>
      <c r="F289" s="92" t="s">
        <v>1301</v>
      </c>
      <c r="G289" s="91" t="s">
        <v>1281</v>
      </c>
      <c r="H289" s="211" t="str">
        <f>HYPERLINK("#CB_m1!code중YACT1B04","YACT1B04")</f>
        <v>YACT1B04</v>
      </c>
      <c r="I289" s="209" t="str">
        <f>HYPERLINK("#QN18_m1!q18중YACT1B04","문3b-4")</f>
        <v>문3b-4</v>
      </c>
      <c r="J289" s="209" t="str">
        <f>HYPERLINK("#QN19_m1!q19중YACT1B04","문3b-4")</f>
        <v>문3b-4</v>
      </c>
    </row>
    <row r="290" spans="2:10" ht="18" customHeight="1">
      <c r="B290" s="101" t="s">
        <v>1172</v>
      </c>
      <c r="C290" s="92" t="s">
        <v>1178</v>
      </c>
      <c r="D290" s="92" t="s">
        <v>1179</v>
      </c>
      <c r="E290" s="92" t="s">
        <v>1181</v>
      </c>
      <c r="F290" s="92" t="s">
        <v>1301</v>
      </c>
      <c r="G290" s="91" t="s">
        <v>1282</v>
      </c>
      <c r="H290" s="211" t="str">
        <f>HYPERLINK("#CB_m1!code중YACT1B05","YACT1B05")</f>
        <v>YACT1B05</v>
      </c>
      <c r="I290" s="209" t="str">
        <f>HYPERLINK("#QN18_m1!q18중YACT1B05","문3b-5")</f>
        <v>문3b-5</v>
      </c>
      <c r="J290" s="209" t="str">
        <f>HYPERLINK("#QN19_m1!q19중YACT1B05","문3b-5")</f>
        <v>문3b-5</v>
      </c>
    </row>
    <row r="291" spans="2:10" ht="18" customHeight="1">
      <c r="B291" s="101" t="s">
        <v>1172</v>
      </c>
      <c r="C291" s="92" t="s">
        <v>1178</v>
      </c>
      <c r="D291" s="92" t="s">
        <v>1179</v>
      </c>
      <c r="E291" s="92" t="s">
        <v>1181</v>
      </c>
      <c r="F291" s="92" t="s">
        <v>1304</v>
      </c>
      <c r="G291" s="91" t="s">
        <v>1283</v>
      </c>
      <c r="H291" s="211" t="str">
        <f>HYPERLINK("#CB_m1!code중YACT1B06","YACT1B06")</f>
        <v>YACT1B06</v>
      </c>
      <c r="I291" s="209" t="str">
        <f>HYPERLINK("#QN18_m1!q18중YACT1B06","문3b-6")</f>
        <v>문3b-6</v>
      </c>
      <c r="J291" s="209" t="str">
        <f>HYPERLINK("#QN19_m1!q19중YACT1B06","문3b-6")</f>
        <v>문3b-6</v>
      </c>
    </row>
    <row r="292" spans="2:10" ht="18" customHeight="1">
      <c r="B292" s="101" t="s">
        <v>1172</v>
      </c>
      <c r="C292" s="92" t="s">
        <v>1178</v>
      </c>
      <c r="D292" s="92" t="s">
        <v>1179</v>
      </c>
      <c r="E292" s="92" t="s">
        <v>1181</v>
      </c>
      <c r="F292" s="92" t="s">
        <v>1302</v>
      </c>
      <c r="G292" s="91" t="s">
        <v>1284</v>
      </c>
      <c r="H292" s="211" t="str">
        <f>HYPERLINK("#CB_m1!code중YACT1B07","YACT1B07")</f>
        <v>YACT1B07</v>
      </c>
      <c r="I292" s="209" t="str">
        <f>HYPERLINK("#QN18_m1!q18중YACT1B07","문3b-7")</f>
        <v>문3b-7</v>
      </c>
      <c r="J292" s="209" t="str">
        <f>HYPERLINK("#QN19_m1!q19중YACT1B07","문3b-7")</f>
        <v>문3b-7</v>
      </c>
    </row>
    <row r="293" spans="2:10" ht="18" customHeight="1">
      <c r="B293" s="101" t="s">
        <v>1172</v>
      </c>
      <c r="C293" s="92" t="s">
        <v>1178</v>
      </c>
      <c r="D293" s="92" t="s">
        <v>1179</v>
      </c>
      <c r="E293" s="92" t="s">
        <v>1181</v>
      </c>
      <c r="F293" s="92" t="s">
        <v>1305</v>
      </c>
      <c r="G293" s="91" t="s">
        <v>1285</v>
      </c>
      <c r="H293" s="211" t="str">
        <f>HYPERLINK("#CB_m1!code중YACT1B08","YACT1B08")</f>
        <v>YACT1B08</v>
      </c>
      <c r="I293" s="209" t="str">
        <f>HYPERLINK("#QN18_m1!q18중YACT1B08","문3b-8")</f>
        <v>문3b-8</v>
      </c>
      <c r="J293" s="209" t="str">
        <f>HYPERLINK("#QN19_m1!q19중YACT1B08","문3b-8")</f>
        <v>문3b-8</v>
      </c>
    </row>
    <row r="294" spans="2:10" ht="18" customHeight="1">
      <c r="B294" s="99" t="s">
        <v>1172</v>
      </c>
      <c r="C294" s="100" t="s">
        <v>1178</v>
      </c>
      <c r="D294" s="100" t="s">
        <v>1179</v>
      </c>
      <c r="E294" s="100" t="s">
        <v>1181</v>
      </c>
      <c r="F294" s="100" t="s">
        <v>1302</v>
      </c>
      <c r="G294" s="94" t="s">
        <v>1286</v>
      </c>
      <c r="H294" s="212" t="str">
        <f>HYPERLINK("#CB_m1!code중YACT1B09","YACT1B09")</f>
        <v>YACT1B09</v>
      </c>
      <c r="I294" s="207" t="str">
        <f>HYPERLINK("#QN18_m1!q18중YACT1B09","문3b-9")</f>
        <v>문3b-9</v>
      </c>
      <c r="J294" s="207" t="str">
        <f>HYPERLINK("#QN19_m1!q19중YACT1B09","문3b-9")</f>
        <v>문3b-9</v>
      </c>
    </row>
    <row r="295" spans="2:10" ht="18" customHeight="1">
      <c r="B295" s="96" t="s">
        <v>1172</v>
      </c>
      <c r="C295" s="90" t="s">
        <v>1178</v>
      </c>
      <c r="D295" s="90" t="s">
        <v>1182</v>
      </c>
      <c r="E295" s="90" t="s">
        <v>1180</v>
      </c>
      <c r="F295" s="90" t="s">
        <v>1305</v>
      </c>
      <c r="G295" s="97" t="s">
        <v>1287</v>
      </c>
      <c r="H295" s="210" t="str">
        <f>HYPERLINK("#CB_m1!code중YACT2A01","YACT2A01")</f>
        <v>YACT2A01</v>
      </c>
      <c r="I295" s="205" t="str">
        <f>HYPERLINK("#QN18_m1!q18중YACT2A01","문4a-1")</f>
        <v>문4a-1</v>
      </c>
      <c r="J295" s="205" t="str">
        <f>HYPERLINK("#QN19_m1!q19중YACT2A01","문4a-1")</f>
        <v>문4a-1</v>
      </c>
    </row>
    <row r="296" spans="2:10" ht="18" customHeight="1">
      <c r="B296" s="99" t="s">
        <v>1172</v>
      </c>
      <c r="C296" s="100" t="s">
        <v>1178</v>
      </c>
      <c r="D296" s="100" t="s">
        <v>1182</v>
      </c>
      <c r="E296" s="100" t="s">
        <v>1180</v>
      </c>
      <c r="F296" s="100" t="s">
        <v>1302</v>
      </c>
      <c r="G296" s="94" t="s">
        <v>1288</v>
      </c>
      <c r="H296" s="212" t="str">
        <f>HYPERLINK("#CB_m1!code중YACT2A02","YACT2A02")</f>
        <v>YACT2A02</v>
      </c>
      <c r="I296" s="207" t="str">
        <f>HYPERLINK("#QN18_m1!q18중YACT2A02","문4a-2")</f>
        <v>문4a-2</v>
      </c>
      <c r="J296" s="207" t="str">
        <f>HYPERLINK("#QN19_m1!q19중YACT2A02","문4a-2")</f>
        <v>문4a-2</v>
      </c>
    </row>
    <row r="297" spans="2:10" ht="18" customHeight="1">
      <c r="B297" s="96" t="s">
        <v>1172</v>
      </c>
      <c r="C297" s="90" t="s">
        <v>1178</v>
      </c>
      <c r="D297" s="90" t="s">
        <v>1182</v>
      </c>
      <c r="E297" s="90" t="s">
        <v>1181</v>
      </c>
      <c r="F297" s="90" t="s">
        <v>1301</v>
      </c>
      <c r="G297" s="97" t="s">
        <v>1287</v>
      </c>
      <c r="H297" s="210" t="str">
        <f>HYPERLINK("#CB_m1!code중YACT2B01","YACT2B01")</f>
        <v>YACT2B01</v>
      </c>
      <c r="I297" s="205" t="str">
        <f>HYPERLINK("#QN18_m1!q18중YACT2B01","문4b-1")</f>
        <v>문4b-1</v>
      </c>
      <c r="J297" s="205" t="str">
        <f>HYPERLINK("#QN19_m1!q19중YACT2B01","문4b-1")</f>
        <v>문4b-1</v>
      </c>
    </row>
    <row r="298" spans="2:10" ht="18" customHeight="1">
      <c r="B298" s="99" t="s">
        <v>1172</v>
      </c>
      <c r="C298" s="100" t="s">
        <v>1178</v>
      </c>
      <c r="D298" s="100" t="s">
        <v>1182</v>
      </c>
      <c r="E298" s="100" t="s">
        <v>1181</v>
      </c>
      <c r="F298" s="100" t="s">
        <v>1302</v>
      </c>
      <c r="G298" s="94" t="s">
        <v>1288</v>
      </c>
      <c r="H298" s="212" t="str">
        <f>HYPERLINK("#CB_m1!code중YACT2B02","YACT2B02")</f>
        <v>YACT2B02</v>
      </c>
      <c r="I298" s="207" t="str">
        <f>HYPERLINK("#QN18_m1!q18중YACT2B02","문4b-2")</f>
        <v>문4b-2</v>
      </c>
      <c r="J298" s="207" t="str">
        <f>HYPERLINK("#QN19_m1!q19중YACT2B02","문4b-2")</f>
        <v>문4b-2</v>
      </c>
    </row>
    <row r="299" spans="2:10" ht="18" customHeight="1">
      <c r="B299" s="106" t="s">
        <v>1172</v>
      </c>
      <c r="C299" s="111" t="s">
        <v>1178</v>
      </c>
      <c r="D299" s="111" t="s">
        <v>1183</v>
      </c>
      <c r="E299" s="111" t="s">
        <v>1184</v>
      </c>
      <c r="F299" s="111" t="s">
        <v>1304</v>
      </c>
      <c r="G299" s="107" t="s">
        <v>1289</v>
      </c>
      <c r="H299" s="218" t="str">
        <f>HYPERLINK("#CB_m1!code중YACT3A00","YACT3A00")</f>
        <v>YACT3A00</v>
      </c>
      <c r="I299" s="203" t="str">
        <f>HYPERLINK("#QN18_m1!q18중YACT3A00","문5")</f>
        <v>문5</v>
      </c>
      <c r="J299" s="203" t="str">
        <f>HYPERLINK("#QN19_m1!q19중YACT3A00","문5")</f>
        <v>문5</v>
      </c>
    </row>
    <row r="300" spans="2:10" ht="18" customHeight="1">
      <c r="B300" s="101" t="s">
        <v>1172</v>
      </c>
      <c r="C300" s="92" t="s">
        <v>1178</v>
      </c>
      <c r="D300" s="92" t="s">
        <v>1183</v>
      </c>
      <c r="E300" s="92" t="s">
        <v>1185</v>
      </c>
      <c r="F300" s="92" t="s">
        <v>1302</v>
      </c>
      <c r="G300" s="91" t="s">
        <v>343</v>
      </c>
      <c r="H300" s="211" t="str">
        <f>HYPERLINK("#CB_m1!code중YACT3B01","YACT3B01")</f>
        <v>YACT3B01</v>
      </c>
      <c r="I300" s="209" t="str">
        <f>HYPERLINK("#QN18_m1!q18중YACT3B01","문5-1-1")</f>
        <v>문5-1-1</v>
      </c>
      <c r="J300" s="209" t="str">
        <f>HYPERLINK("#QN19_m1!q19중YACT3B01","문5-1-1")</f>
        <v>문5-1-1</v>
      </c>
    </row>
    <row r="301" spans="2:10" ht="18" customHeight="1">
      <c r="B301" s="101" t="s">
        <v>1172</v>
      </c>
      <c r="C301" s="92" t="s">
        <v>1178</v>
      </c>
      <c r="D301" s="92" t="s">
        <v>1183</v>
      </c>
      <c r="E301" s="92" t="s">
        <v>1185</v>
      </c>
      <c r="F301" s="92" t="s">
        <v>1302</v>
      </c>
      <c r="G301" s="91" t="s">
        <v>350</v>
      </c>
      <c r="H301" s="211" t="str">
        <f>HYPERLINK("#CB_m1!code중YACT3B02","YACT3B02")</f>
        <v>YACT3B02</v>
      </c>
      <c r="I301" s="209" t="str">
        <f>HYPERLINK("#QN18_m1!q18중YACT3B02","문5-1-2")</f>
        <v>문5-1-2</v>
      </c>
      <c r="J301" s="209" t="str">
        <f>HYPERLINK("#QN19_m1!q19중YACT3B02","문5-1-2")</f>
        <v>문5-1-2</v>
      </c>
    </row>
    <row r="302" spans="2:10" ht="18" customHeight="1">
      <c r="B302" s="101" t="s">
        <v>1172</v>
      </c>
      <c r="C302" s="92" t="s">
        <v>1178</v>
      </c>
      <c r="D302" s="92" t="s">
        <v>1183</v>
      </c>
      <c r="E302" s="92" t="s">
        <v>1185</v>
      </c>
      <c r="F302" s="92" t="s">
        <v>1302</v>
      </c>
      <c r="G302" s="91" t="s">
        <v>1290</v>
      </c>
      <c r="H302" s="211" t="str">
        <f>HYPERLINK("#CB_m1!code중YACT3B03","YACT3B03")</f>
        <v>YACT3B03</v>
      </c>
      <c r="I302" s="209" t="str">
        <f>HYPERLINK("#QN18_m1!q18중YACT3B03","문5-1-3")</f>
        <v>문5-1-3</v>
      </c>
      <c r="J302" s="209" t="str">
        <f>HYPERLINK("#QN19_m1!q19중YACT3B03","문5-1-3")</f>
        <v>문5-1-3</v>
      </c>
    </row>
    <row r="303" spans="2:10" ht="18" customHeight="1">
      <c r="B303" s="101" t="s">
        <v>1172</v>
      </c>
      <c r="C303" s="92" t="s">
        <v>1178</v>
      </c>
      <c r="D303" s="92" t="s">
        <v>1183</v>
      </c>
      <c r="E303" s="92" t="s">
        <v>1185</v>
      </c>
      <c r="F303" s="92" t="s">
        <v>1302</v>
      </c>
      <c r="G303" s="91" t="s">
        <v>352</v>
      </c>
      <c r="H303" s="211" t="str">
        <f>HYPERLINK("#CB_m1!code중YACT3B04","YACT3B04")</f>
        <v>YACT3B04</v>
      </c>
      <c r="I303" s="209" t="str">
        <f>HYPERLINK("#QN18_m1!q18중YACT3B04","문5-1-4")</f>
        <v>문5-1-4</v>
      </c>
      <c r="J303" s="209" t="str">
        <f>HYPERLINK("#QN19_m1!q19중YACT3B04","문5-1-4")</f>
        <v>문5-1-4</v>
      </c>
    </row>
    <row r="304" spans="2:10" ht="18" customHeight="1">
      <c r="B304" s="101" t="s">
        <v>1172</v>
      </c>
      <c r="C304" s="92" t="s">
        <v>1178</v>
      </c>
      <c r="D304" s="92" t="s">
        <v>1183</v>
      </c>
      <c r="E304" s="92" t="s">
        <v>1185</v>
      </c>
      <c r="F304" s="92" t="s">
        <v>1302</v>
      </c>
      <c r="G304" s="91" t="s">
        <v>353</v>
      </c>
      <c r="H304" s="211" t="str">
        <f>HYPERLINK("#CB_m1!code중YACT3B05","YACT3B05")</f>
        <v>YACT3B05</v>
      </c>
      <c r="I304" s="209" t="str">
        <f>HYPERLINK("#QN18_m1!q18중YACT3B05","문5-1-5")</f>
        <v>문5-1-5</v>
      </c>
      <c r="J304" s="209" t="str">
        <f>HYPERLINK("#QN19_m1!q19중YACT3B05","문5-1-5")</f>
        <v>문5-1-5</v>
      </c>
    </row>
    <row r="305" spans="2:10" ht="18" customHeight="1">
      <c r="B305" s="101" t="s">
        <v>1172</v>
      </c>
      <c r="C305" s="92" t="s">
        <v>1178</v>
      </c>
      <c r="D305" s="92" t="s">
        <v>1183</v>
      </c>
      <c r="E305" s="92" t="s">
        <v>1185</v>
      </c>
      <c r="F305" s="92" t="s">
        <v>1302</v>
      </c>
      <c r="G305" s="91" t="s">
        <v>354</v>
      </c>
      <c r="H305" s="211" t="str">
        <f>HYPERLINK("#CB_m1!code중YACT3B06","YACT3B06")</f>
        <v>YACT3B06</v>
      </c>
      <c r="I305" s="209" t="str">
        <f>HYPERLINK("#QN18_m1!q18중YACT3B06","문5-1-6")</f>
        <v>문5-1-6</v>
      </c>
      <c r="J305" s="209" t="str">
        <f>HYPERLINK("#QN19_m1!q19중YACT3B06","문5-1-6")</f>
        <v>문5-1-6</v>
      </c>
    </row>
    <row r="306" spans="2:10" ht="18" customHeight="1">
      <c r="B306" s="101" t="s">
        <v>1172</v>
      </c>
      <c r="C306" s="92" t="s">
        <v>1178</v>
      </c>
      <c r="D306" s="92" t="s">
        <v>1183</v>
      </c>
      <c r="E306" s="92" t="s">
        <v>1185</v>
      </c>
      <c r="F306" s="92" t="s">
        <v>1302</v>
      </c>
      <c r="G306" s="91" t="s">
        <v>355</v>
      </c>
      <c r="H306" s="211" t="str">
        <f>HYPERLINK("#CB_m1!code중YACT3B07","YACT3B07")</f>
        <v>YACT3B07</v>
      </c>
      <c r="I306" s="209" t="str">
        <f>HYPERLINK("#QN18_m1!q18중YACT3B07","문5-1-7")</f>
        <v>문5-1-7</v>
      </c>
      <c r="J306" s="209" t="str">
        <f>HYPERLINK("#QN19_m1!q19중YACT3B07","문5-1-7")</f>
        <v>문5-1-7</v>
      </c>
    </row>
    <row r="307" spans="2:10" ht="18" customHeight="1">
      <c r="B307" s="101" t="s">
        <v>1172</v>
      </c>
      <c r="C307" s="92" t="s">
        <v>1178</v>
      </c>
      <c r="D307" s="92" t="s">
        <v>1183</v>
      </c>
      <c r="E307" s="92" t="s">
        <v>1185</v>
      </c>
      <c r="F307" s="92" t="s">
        <v>1302</v>
      </c>
      <c r="G307" s="91" t="s">
        <v>356</v>
      </c>
      <c r="H307" s="211" t="str">
        <f>HYPERLINK("#CB_m1!code중YACT3B08","YACT3B08")</f>
        <v>YACT3B08</v>
      </c>
      <c r="I307" s="209" t="str">
        <f>HYPERLINK("#QN18_m1!q18중YACT3B08","문5-1-8")</f>
        <v>문5-1-8</v>
      </c>
      <c r="J307" s="209" t="str">
        <f>HYPERLINK("#QN19_m1!q19중YACT3B08","문5-1-8")</f>
        <v>문5-1-8</v>
      </c>
    </row>
    <row r="308" spans="2:10" ht="18" customHeight="1">
      <c r="B308" s="99" t="s">
        <v>1172</v>
      </c>
      <c r="C308" s="100" t="s">
        <v>1178</v>
      </c>
      <c r="D308" s="100" t="s">
        <v>1183</v>
      </c>
      <c r="E308" s="100" t="s">
        <v>1185</v>
      </c>
      <c r="F308" s="100" t="s">
        <v>1302</v>
      </c>
      <c r="G308" s="94" t="s">
        <v>1291</v>
      </c>
      <c r="H308" s="212" t="str">
        <f>HYPERLINK("#CB_m1!code중YACT3B09","YACT3B09")</f>
        <v>YACT3B09</v>
      </c>
      <c r="I308" s="207" t="str">
        <f>HYPERLINK("#QN18_m1!q18중YACT3B09","문5-1-9")</f>
        <v>문5-1-9</v>
      </c>
      <c r="J308" s="207" t="str">
        <f>HYPERLINK("#QN19_m1!q19중YACT3B09","문5-1-9")</f>
        <v>문5-1-9</v>
      </c>
    </row>
    <row r="309" spans="2:10" ht="18" customHeight="1">
      <c r="B309" s="106" t="s">
        <v>1172</v>
      </c>
      <c r="C309" s="111" t="s">
        <v>1186</v>
      </c>
      <c r="D309" s="111" t="s">
        <v>1187</v>
      </c>
      <c r="E309" s="111" t="s">
        <v>1188</v>
      </c>
      <c r="F309" s="111" t="s">
        <v>1302</v>
      </c>
      <c r="G309" s="107" t="s">
        <v>1292</v>
      </c>
      <c r="H309" s="218" t="str">
        <f>HYPERLINK("#CB_m1!code중YEDU1A00","YEDU1A00")</f>
        <v>YEDU1A00</v>
      </c>
      <c r="I309" s="203" t="str">
        <f>HYPERLINK("#QN18_m1!q18중YEDU1A00","문8")</f>
        <v>문8</v>
      </c>
      <c r="J309" s="203" t="str">
        <f>HYPERLINK("#QN19_m1!q19중YEDU1A00","문8")</f>
        <v>문8</v>
      </c>
    </row>
    <row r="310" spans="2:10" ht="18" customHeight="1">
      <c r="B310" s="96" t="s">
        <v>1172</v>
      </c>
      <c r="C310" s="90" t="s">
        <v>1186</v>
      </c>
      <c r="D310" s="90" t="s">
        <v>1189</v>
      </c>
      <c r="E310" s="90" t="s">
        <v>1190</v>
      </c>
      <c r="F310" s="90" t="s">
        <v>1322</v>
      </c>
      <c r="G310" s="97" t="s">
        <v>276</v>
      </c>
      <c r="H310" s="210" t="str">
        <f>HYPERLINK("#CB_m1!code중YEDU2A01","YEDU2A01")</f>
        <v>YEDU2A01</v>
      </c>
      <c r="I310" s="205" t="str">
        <f>HYPERLINK("#QN18_m1!q18중YEDU2A01","문23-1")</f>
        <v>문23-1</v>
      </c>
      <c r="J310" s="205" t="str">
        <f>HYPERLINK("#QN19_m1!q19중YEDU2A01","문24-1")</f>
        <v>문24-1</v>
      </c>
    </row>
    <row r="311" spans="2:10" ht="18" customHeight="1">
      <c r="B311" s="101" t="s">
        <v>1172</v>
      </c>
      <c r="C311" s="92" t="s">
        <v>1186</v>
      </c>
      <c r="D311" s="92" t="s">
        <v>1189</v>
      </c>
      <c r="E311" s="92" t="s">
        <v>1190</v>
      </c>
      <c r="F311" s="92" t="s">
        <v>1322</v>
      </c>
      <c r="G311" s="91" t="s">
        <v>277</v>
      </c>
      <c r="H311" s="211" t="str">
        <f>HYPERLINK("#CB_m1!code중YEDU2A02","YEDU2A02")</f>
        <v>YEDU2A02</v>
      </c>
      <c r="I311" s="209" t="str">
        <f>HYPERLINK("#QN18_m1!q18중YEDU2A02","문23-2")</f>
        <v>문23-2</v>
      </c>
      <c r="J311" s="209" t="str">
        <f>HYPERLINK("#QN19_m1!q19중YEDU2A02","문24-2")</f>
        <v>문24-2</v>
      </c>
    </row>
    <row r="312" spans="2:10" ht="18" customHeight="1">
      <c r="B312" s="101" t="s">
        <v>1172</v>
      </c>
      <c r="C312" s="92" t="s">
        <v>1186</v>
      </c>
      <c r="D312" s="92" t="s">
        <v>1189</v>
      </c>
      <c r="E312" s="92" t="s">
        <v>1190</v>
      </c>
      <c r="F312" s="92" t="s">
        <v>1322</v>
      </c>
      <c r="G312" s="91" t="s">
        <v>278</v>
      </c>
      <c r="H312" s="211" t="str">
        <f>HYPERLINK("#CB_m1!code중YEDU2A03","YEDU2A03")</f>
        <v>YEDU2A03</v>
      </c>
      <c r="I312" s="209" t="str">
        <f>HYPERLINK("#QN18_m1!q18중YEDU2A03","문23-3")</f>
        <v>문23-3</v>
      </c>
      <c r="J312" s="209" t="str">
        <f>HYPERLINK("#QN19_m1!q19중YEDU2A03","문24-3")</f>
        <v>문24-3</v>
      </c>
    </row>
    <row r="313" spans="2:10" ht="18" customHeight="1">
      <c r="B313" s="101" t="s">
        <v>1172</v>
      </c>
      <c r="C313" s="92" t="s">
        <v>1186</v>
      </c>
      <c r="D313" s="92" t="s">
        <v>1189</v>
      </c>
      <c r="E313" s="92" t="s">
        <v>1190</v>
      </c>
      <c r="F313" s="92" t="s">
        <v>1322</v>
      </c>
      <c r="G313" s="91" t="s">
        <v>279</v>
      </c>
      <c r="H313" s="211" t="str">
        <f>HYPERLINK("#CB_m1!code중YEDU2A04","YEDU2A04")</f>
        <v>YEDU2A04</v>
      </c>
      <c r="I313" s="209" t="str">
        <f>HYPERLINK("#QN18_m1!q18중YEDU2A04","문23-4")</f>
        <v>문23-4</v>
      </c>
      <c r="J313" s="209" t="str">
        <f>HYPERLINK("#QN19_m1!q19중YEDU2A04","문24-4")</f>
        <v>문24-4</v>
      </c>
    </row>
    <row r="314" spans="2:10" ht="18" customHeight="1">
      <c r="B314" s="101" t="s">
        <v>1172</v>
      </c>
      <c r="C314" s="92" t="s">
        <v>1186</v>
      </c>
      <c r="D314" s="92" t="s">
        <v>1189</v>
      </c>
      <c r="E314" s="92" t="s">
        <v>1190</v>
      </c>
      <c r="F314" s="92" t="s">
        <v>1322</v>
      </c>
      <c r="G314" s="91" t="s">
        <v>280</v>
      </c>
      <c r="H314" s="211" t="str">
        <f>HYPERLINK("#CB_m1!code중YEDU2A05","YEDU2A05")</f>
        <v>YEDU2A05</v>
      </c>
      <c r="I314" s="209" t="str">
        <f>HYPERLINK("#QN18_m1!q18중YEDU2A05","문23-5")</f>
        <v>문23-5</v>
      </c>
      <c r="J314" s="209" t="str">
        <f>HYPERLINK("#QN19_m1!q19중YEDU2A05","문24-5")</f>
        <v>문24-5</v>
      </c>
    </row>
    <row r="315" spans="2:10" ht="18" customHeight="1">
      <c r="B315" s="101" t="s">
        <v>1172</v>
      </c>
      <c r="C315" s="92" t="s">
        <v>1186</v>
      </c>
      <c r="D315" s="92" t="s">
        <v>1189</v>
      </c>
      <c r="E315" s="92" t="s">
        <v>1190</v>
      </c>
      <c r="F315" s="92" t="s">
        <v>1322</v>
      </c>
      <c r="G315" s="91" t="s">
        <v>281</v>
      </c>
      <c r="H315" s="211" t="str">
        <f>HYPERLINK("#CB_m1!code중YEDU2A06","YEDU2A06")</f>
        <v>YEDU2A06</v>
      </c>
      <c r="I315" s="209" t="str">
        <f>HYPERLINK("#QN18_m1!q18중YEDU2A06","문23-6")</f>
        <v>문23-6</v>
      </c>
      <c r="J315" s="209" t="str">
        <f>HYPERLINK("#QN19_m1!q19중YEDU2A06","문24-6")</f>
        <v>문24-6</v>
      </c>
    </row>
    <row r="316" spans="2:10" ht="18" customHeight="1">
      <c r="B316" s="101" t="s">
        <v>1172</v>
      </c>
      <c r="C316" s="92" t="s">
        <v>1186</v>
      </c>
      <c r="D316" s="92" t="s">
        <v>1189</v>
      </c>
      <c r="E316" s="92" t="s">
        <v>1190</v>
      </c>
      <c r="F316" s="92" t="s">
        <v>1322</v>
      </c>
      <c r="G316" s="91" t="s">
        <v>282</v>
      </c>
      <c r="H316" s="211" t="str">
        <f>HYPERLINK("#CB_m1!code중YEDU2A07","YEDU2A07")</f>
        <v>YEDU2A07</v>
      </c>
      <c r="I316" s="209" t="str">
        <f>HYPERLINK("#QN18_m1!q18중YEDU2A07","문23-7")</f>
        <v>문23-7</v>
      </c>
      <c r="J316" s="209" t="str">
        <f>HYPERLINK("#QN19_m1!q19중YEDU2A07","문24-7")</f>
        <v>문24-7</v>
      </c>
    </row>
    <row r="317" spans="2:10" ht="18" customHeight="1">
      <c r="B317" s="101" t="s">
        <v>1172</v>
      </c>
      <c r="C317" s="92" t="s">
        <v>1186</v>
      </c>
      <c r="D317" s="92" t="s">
        <v>1189</v>
      </c>
      <c r="E317" s="92" t="s">
        <v>1190</v>
      </c>
      <c r="F317" s="92" t="s">
        <v>1322</v>
      </c>
      <c r="G317" s="91" t="s">
        <v>283</v>
      </c>
      <c r="H317" s="211" t="str">
        <f>HYPERLINK("#CB_m1!code중YEDU2A08","YEDU2A08")</f>
        <v>YEDU2A08</v>
      </c>
      <c r="I317" s="209" t="str">
        <f>HYPERLINK("#QN18_m1!q18중YEDU2A08","문23-8")</f>
        <v>문23-8</v>
      </c>
      <c r="J317" s="209" t="str">
        <f>HYPERLINK("#QN19_m1!q19중YEDU2A08","문24-8")</f>
        <v>문24-8</v>
      </c>
    </row>
    <row r="318" spans="2:10" ht="18" customHeight="1">
      <c r="B318" s="101" t="s">
        <v>1172</v>
      </c>
      <c r="C318" s="92" t="s">
        <v>1186</v>
      </c>
      <c r="D318" s="92" t="s">
        <v>1189</v>
      </c>
      <c r="E318" s="92" t="s">
        <v>1190</v>
      </c>
      <c r="F318" s="92" t="s">
        <v>1323</v>
      </c>
      <c r="G318" s="91" t="s">
        <v>284</v>
      </c>
      <c r="H318" s="211" t="str">
        <f>HYPERLINK("#CB_m1!code중YEDU2A09","YEDU2A09")</f>
        <v>YEDU2A09</v>
      </c>
      <c r="I318" s="209" t="str">
        <f>HYPERLINK("#QN18_m1!q18중YEDU2A09","문23-9")</f>
        <v>문23-9</v>
      </c>
      <c r="J318" s="209" t="str">
        <f>HYPERLINK("#QN19_m1!q19중YEDU2A09","문24-9")</f>
        <v>문24-9</v>
      </c>
    </row>
    <row r="319" spans="2:10" ht="18" customHeight="1">
      <c r="B319" s="101" t="s">
        <v>1172</v>
      </c>
      <c r="C319" s="92" t="s">
        <v>1186</v>
      </c>
      <c r="D319" s="92" t="s">
        <v>1189</v>
      </c>
      <c r="E319" s="92" t="s">
        <v>1190</v>
      </c>
      <c r="F319" s="92" t="s">
        <v>1323</v>
      </c>
      <c r="G319" s="91" t="s">
        <v>1293</v>
      </c>
      <c r="H319" s="211" t="str">
        <f>HYPERLINK("#CB_m1!code중YEDU2A10","YEDU2A10")</f>
        <v>YEDU2A10</v>
      </c>
      <c r="I319" s="209" t="str">
        <f>HYPERLINK("#QN18_m1!q18중YEDU2A10","문23-10")</f>
        <v>문23-10</v>
      </c>
      <c r="J319" s="209" t="str">
        <f>HYPERLINK("#QN19_m1!q19중YEDU2A10","문24-10")</f>
        <v>문24-10</v>
      </c>
    </row>
    <row r="320" spans="2:10" ht="18" customHeight="1">
      <c r="B320" s="101" t="s">
        <v>1172</v>
      </c>
      <c r="C320" s="92" t="s">
        <v>1186</v>
      </c>
      <c r="D320" s="92" t="s">
        <v>1189</v>
      </c>
      <c r="E320" s="92" t="s">
        <v>1190</v>
      </c>
      <c r="F320" s="92" t="s">
        <v>1323</v>
      </c>
      <c r="G320" s="91" t="s">
        <v>286</v>
      </c>
      <c r="H320" s="211" t="str">
        <f>HYPERLINK("#CB_m1!code중YEDU2A11","YEDU2A11")</f>
        <v>YEDU2A11</v>
      </c>
      <c r="I320" s="209" t="str">
        <f>HYPERLINK("#QN18_m1!q18중YEDU2A11","문23-11")</f>
        <v>문23-11</v>
      </c>
      <c r="J320" s="209" t="str">
        <f>HYPERLINK("#QN19_m1!q19중YEDU2A11","문24-11")</f>
        <v>문24-11</v>
      </c>
    </row>
    <row r="321" spans="2:10" ht="18" customHeight="1">
      <c r="B321" s="101" t="s">
        <v>1172</v>
      </c>
      <c r="C321" s="92" t="s">
        <v>1186</v>
      </c>
      <c r="D321" s="92" t="s">
        <v>1189</v>
      </c>
      <c r="E321" s="92" t="s">
        <v>1190</v>
      </c>
      <c r="F321" s="92" t="s">
        <v>1323</v>
      </c>
      <c r="G321" s="91" t="s">
        <v>287</v>
      </c>
      <c r="H321" s="211" t="str">
        <f>HYPERLINK("#CB_m1!code중YEDU2A12","YEDU2A12")</f>
        <v>YEDU2A12</v>
      </c>
      <c r="I321" s="209" t="str">
        <f>HYPERLINK("#QN18_m1!q18중YEDU2A12","문23-12")</f>
        <v>문23-12</v>
      </c>
      <c r="J321" s="209" t="str">
        <f>HYPERLINK("#QN19_m1!q19중YEDU2A12","문24-12")</f>
        <v>문24-12</v>
      </c>
    </row>
    <row r="322" spans="2:10" ht="18" customHeight="1">
      <c r="B322" s="99" t="s">
        <v>1172</v>
      </c>
      <c r="C322" s="100" t="s">
        <v>1186</v>
      </c>
      <c r="D322" s="100" t="s">
        <v>1189</v>
      </c>
      <c r="E322" s="100" t="s">
        <v>1190</v>
      </c>
      <c r="F322" s="100" t="s">
        <v>1324</v>
      </c>
      <c r="G322" s="94" t="s">
        <v>288</v>
      </c>
      <c r="H322" s="212" t="str">
        <f>HYPERLINK("#CB_m1!code중YEDU2A13","YEDU2A13")</f>
        <v>YEDU2A13</v>
      </c>
      <c r="I322" s="207" t="str">
        <f>HYPERLINK("#QN18_m1!q18중YEDU2A13","문23-13")</f>
        <v>문23-13</v>
      </c>
      <c r="J322" s="207" t="str">
        <f>HYPERLINK("#QN19_m1!q19중YEDU2A13","문24-13")</f>
        <v>문24-13</v>
      </c>
    </row>
    <row r="323" spans="2:10" ht="18" customHeight="1">
      <c r="B323" s="96" t="s">
        <v>1172</v>
      </c>
      <c r="C323" s="90" t="s">
        <v>1186</v>
      </c>
      <c r="D323" s="90" t="s">
        <v>1191</v>
      </c>
      <c r="E323" s="90" t="s">
        <v>1192</v>
      </c>
      <c r="F323" s="90" t="s">
        <v>1328</v>
      </c>
      <c r="G323" s="97" t="s">
        <v>289</v>
      </c>
      <c r="H323" s="210" t="str">
        <f>HYPERLINK("#CB_m1!code중YEDU3A01","YEDU3A01")</f>
        <v>YEDU3A01</v>
      </c>
      <c r="I323" s="205" t="str">
        <f>HYPERLINK("#QN18_m1!q18중YEDU3A01","문24-1")</f>
        <v>문24-1</v>
      </c>
      <c r="J323" s="205" t="str">
        <f>HYPERLINK("#QN19_m1!q19중YEDU3A01","문25-1")</f>
        <v>문25-1</v>
      </c>
    </row>
    <row r="324" spans="2:10" ht="18" customHeight="1">
      <c r="B324" s="101" t="s">
        <v>1172</v>
      </c>
      <c r="C324" s="92" t="s">
        <v>1186</v>
      </c>
      <c r="D324" s="92" t="s">
        <v>1191</v>
      </c>
      <c r="E324" s="92" t="s">
        <v>1192</v>
      </c>
      <c r="F324" s="92" t="s">
        <v>1326</v>
      </c>
      <c r="G324" s="91" t="s">
        <v>290</v>
      </c>
      <c r="H324" s="211" t="str">
        <f>HYPERLINK("#CB_m1!code중YEDU3A02","YEDU3A02")</f>
        <v>YEDU3A02</v>
      </c>
      <c r="I324" s="209" t="str">
        <f>HYPERLINK("#QN18_m1!q18중YEDU3A02","문24-2")</f>
        <v>문24-2</v>
      </c>
      <c r="J324" s="209" t="str">
        <f>HYPERLINK("#QN19_m1!q19중YEDU3A02","문25-2")</f>
        <v>문25-2</v>
      </c>
    </row>
    <row r="325" spans="2:10" ht="18" customHeight="1">
      <c r="B325" s="101" t="s">
        <v>1172</v>
      </c>
      <c r="C325" s="92" t="s">
        <v>1186</v>
      </c>
      <c r="D325" s="92" t="s">
        <v>1191</v>
      </c>
      <c r="E325" s="92" t="s">
        <v>1192</v>
      </c>
      <c r="F325" s="92" t="s">
        <v>1326</v>
      </c>
      <c r="G325" s="91" t="s">
        <v>291</v>
      </c>
      <c r="H325" s="211" t="str">
        <f>HYPERLINK("#CB_m1!code중YEDU3A03","YEDU3A03")</f>
        <v>YEDU3A03</v>
      </c>
      <c r="I325" s="209" t="str">
        <f>HYPERLINK("#QN18_m1!q18중YEDU3A03","문24-3")</f>
        <v>문24-3</v>
      </c>
      <c r="J325" s="209" t="str">
        <f>HYPERLINK("#QN19_m1!q19중YEDU3A03","문25-3")</f>
        <v>문25-3</v>
      </c>
    </row>
    <row r="326" spans="2:10" ht="18" customHeight="1">
      <c r="B326" s="101" t="s">
        <v>1172</v>
      </c>
      <c r="C326" s="92" t="s">
        <v>1186</v>
      </c>
      <c r="D326" s="92" t="s">
        <v>1191</v>
      </c>
      <c r="E326" s="92" t="s">
        <v>1192</v>
      </c>
      <c r="F326" s="92" t="s">
        <v>1325</v>
      </c>
      <c r="G326" s="91" t="s">
        <v>292</v>
      </c>
      <c r="H326" s="211" t="str">
        <f>HYPERLINK("#CB_m1!code중YEDU3A04","YEDU3A04")</f>
        <v>YEDU3A04</v>
      </c>
      <c r="I326" s="209" t="str">
        <f>HYPERLINK("#QN18_m1!q18중YEDU3A04","문24-4")</f>
        <v>문24-4</v>
      </c>
      <c r="J326" s="209" t="str">
        <f>HYPERLINK("#QN19_m1!q19중YEDU3A04","문25-4")</f>
        <v>문25-4</v>
      </c>
    </row>
    <row r="327" spans="2:10" ht="18" customHeight="1">
      <c r="B327" s="101" t="s">
        <v>1172</v>
      </c>
      <c r="C327" s="92" t="s">
        <v>1186</v>
      </c>
      <c r="D327" s="92" t="s">
        <v>1191</v>
      </c>
      <c r="E327" s="92" t="s">
        <v>1192</v>
      </c>
      <c r="F327" s="92" t="s">
        <v>1326</v>
      </c>
      <c r="G327" s="91" t="s">
        <v>293</v>
      </c>
      <c r="H327" s="211" t="str">
        <f>HYPERLINK("#CB_m1!code중YEDU3A05","YEDU3A05")</f>
        <v>YEDU3A05</v>
      </c>
      <c r="I327" s="209" t="str">
        <f>HYPERLINK("#QN18_m1!q18중YEDU3A05","문24-5")</f>
        <v>문24-5</v>
      </c>
      <c r="J327" s="209" t="str">
        <f>HYPERLINK("#QN19_m1!q19중YEDU3A05","문25-5")</f>
        <v>문25-5</v>
      </c>
    </row>
    <row r="328" spans="2:10" ht="18" customHeight="1">
      <c r="B328" s="101" t="s">
        <v>1172</v>
      </c>
      <c r="C328" s="92" t="s">
        <v>1186</v>
      </c>
      <c r="D328" s="92" t="s">
        <v>1191</v>
      </c>
      <c r="E328" s="92" t="s">
        <v>1192</v>
      </c>
      <c r="F328" s="92" t="s">
        <v>1327</v>
      </c>
      <c r="G328" s="91" t="s">
        <v>294</v>
      </c>
      <c r="H328" s="211" t="str">
        <f>HYPERLINK("#CB_m1!code중YEDU3A06","YEDU3A06")</f>
        <v>YEDU3A06</v>
      </c>
      <c r="I328" s="209" t="str">
        <f>HYPERLINK("#QN18_m1!q18중YEDU3A06","문24-6")</f>
        <v>문24-6</v>
      </c>
      <c r="J328" s="209" t="str">
        <f>HYPERLINK("#QN19_m1!q19중YEDU3A06","문25-6")</f>
        <v>문25-6</v>
      </c>
    </row>
    <row r="329" spans="2:10" ht="18" customHeight="1">
      <c r="B329" s="101" t="s">
        <v>1172</v>
      </c>
      <c r="C329" s="92" t="s">
        <v>1186</v>
      </c>
      <c r="D329" s="92" t="s">
        <v>1191</v>
      </c>
      <c r="E329" s="92" t="s">
        <v>1192</v>
      </c>
      <c r="F329" s="92" t="s">
        <v>1325</v>
      </c>
      <c r="G329" s="91" t="s">
        <v>295</v>
      </c>
      <c r="H329" s="211" t="str">
        <f>HYPERLINK("#CB_m1!code중YEDU3A07","YEDU3A07")</f>
        <v>YEDU3A07</v>
      </c>
      <c r="I329" s="209" t="str">
        <f>HYPERLINK("#QN18_m1!q18중YEDU3A07","문24-7")</f>
        <v>문24-7</v>
      </c>
      <c r="J329" s="209" t="str">
        <f>HYPERLINK("#QN19_m1!q19중YEDU3A07","문25-7")</f>
        <v>문25-7</v>
      </c>
    </row>
    <row r="330" spans="2:10" ht="18" customHeight="1">
      <c r="B330" s="101" t="s">
        <v>1172</v>
      </c>
      <c r="C330" s="92" t="s">
        <v>1186</v>
      </c>
      <c r="D330" s="92" t="s">
        <v>1191</v>
      </c>
      <c r="E330" s="92" t="s">
        <v>1192</v>
      </c>
      <c r="F330" s="92" t="s">
        <v>1327</v>
      </c>
      <c r="G330" s="91" t="s">
        <v>296</v>
      </c>
      <c r="H330" s="211" t="str">
        <f>HYPERLINK("#CB_m1!code중YEDU3A08","YEDU3A08")</f>
        <v>YEDU3A08</v>
      </c>
      <c r="I330" s="209" t="str">
        <f>HYPERLINK("#QN18_m1!q18중YEDU3A08","문24-8")</f>
        <v>문24-8</v>
      </c>
      <c r="J330" s="209" t="str">
        <f>HYPERLINK("#QN19_m1!q19중YEDU3A08","문25-8")</f>
        <v>문25-8</v>
      </c>
    </row>
    <row r="331" spans="2:10" ht="18" customHeight="1">
      <c r="B331" s="101" t="s">
        <v>1172</v>
      </c>
      <c r="C331" s="92" t="s">
        <v>1186</v>
      </c>
      <c r="D331" s="92" t="s">
        <v>1191</v>
      </c>
      <c r="E331" s="92" t="s">
        <v>1192</v>
      </c>
      <c r="F331" s="92" t="s">
        <v>1327</v>
      </c>
      <c r="G331" s="91" t="s">
        <v>297</v>
      </c>
      <c r="H331" s="211" t="str">
        <f>HYPERLINK("#CB_m1!code중YEDU3A09","YEDU3A09")</f>
        <v>YEDU3A09</v>
      </c>
      <c r="I331" s="209" t="str">
        <f>HYPERLINK("#QN18_m1!q18중YEDU3A09","문24-9")</f>
        <v>문24-9</v>
      </c>
      <c r="J331" s="209" t="str">
        <f>HYPERLINK("#QN19_m1!q19중YEDU3A09","문25-9")</f>
        <v>문25-9</v>
      </c>
    </row>
    <row r="332" spans="2:10" ht="18" customHeight="1">
      <c r="B332" s="101" t="s">
        <v>1172</v>
      </c>
      <c r="C332" s="92" t="s">
        <v>1186</v>
      </c>
      <c r="D332" s="92" t="s">
        <v>1191</v>
      </c>
      <c r="E332" s="92" t="s">
        <v>1192</v>
      </c>
      <c r="F332" s="92" t="s">
        <v>1325</v>
      </c>
      <c r="G332" s="91" t="s">
        <v>298</v>
      </c>
      <c r="H332" s="211" t="str">
        <f>HYPERLINK("#CB_m1!code중YEDU3A10","YEDU3A10")</f>
        <v>YEDU3A10</v>
      </c>
      <c r="I332" s="209" t="str">
        <f>HYPERLINK("#QN18_m1!q18중YEDU3A10","문24-10")</f>
        <v>문24-10</v>
      </c>
      <c r="J332" s="209" t="str">
        <f>HYPERLINK("#QN19_m1!q19중YEDU3A10","문25-10")</f>
        <v>문25-10</v>
      </c>
    </row>
    <row r="333" spans="2:10" ht="18" customHeight="1">
      <c r="B333" s="101" t="s">
        <v>1172</v>
      </c>
      <c r="C333" s="92" t="s">
        <v>1186</v>
      </c>
      <c r="D333" s="92" t="s">
        <v>1191</v>
      </c>
      <c r="E333" s="92" t="s">
        <v>1192</v>
      </c>
      <c r="F333" s="92" t="s">
        <v>1328</v>
      </c>
      <c r="G333" s="91" t="s">
        <v>299</v>
      </c>
      <c r="H333" s="211" t="str">
        <f>HYPERLINK("#CB_m1!code중YEDU3A11","YEDU3A11")</f>
        <v>YEDU3A11</v>
      </c>
      <c r="I333" s="209" t="str">
        <f>HYPERLINK("#QN18_m1!q18중YEDU3A11","문24-11")</f>
        <v>문24-11</v>
      </c>
      <c r="J333" s="209" t="str">
        <f>HYPERLINK("#QN19_m1!q19중YEDU3A11","문25-11")</f>
        <v>문25-11</v>
      </c>
    </row>
    <row r="334" spans="2:10" ht="18" customHeight="1">
      <c r="B334" s="101" t="s">
        <v>1172</v>
      </c>
      <c r="C334" s="92" t="s">
        <v>1186</v>
      </c>
      <c r="D334" s="92" t="s">
        <v>1191</v>
      </c>
      <c r="E334" s="92" t="s">
        <v>1192</v>
      </c>
      <c r="F334" s="92" t="s">
        <v>1328</v>
      </c>
      <c r="G334" s="91" t="s">
        <v>300</v>
      </c>
      <c r="H334" s="211" t="str">
        <f>HYPERLINK("#CB_m1!code중YEDU3A12","YEDU3A12")</f>
        <v>YEDU3A12</v>
      </c>
      <c r="I334" s="209" t="str">
        <f>HYPERLINK("#QN18_m1!q18중YEDU3A12","문24-12")</f>
        <v>문24-12</v>
      </c>
      <c r="J334" s="209" t="str">
        <f>HYPERLINK("#QN19_m1!q19중YEDU3A12","문25-12")</f>
        <v>문25-12</v>
      </c>
    </row>
    <row r="335" spans="2:10" ht="18" customHeight="1">
      <c r="B335" s="101" t="s">
        <v>1172</v>
      </c>
      <c r="C335" s="92" t="s">
        <v>1186</v>
      </c>
      <c r="D335" s="92" t="s">
        <v>1191</v>
      </c>
      <c r="E335" s="92" t="s">
        <v>1192</v>
      </c>
      <c r="F335" s="92" t="s">
        <v>1326</v>
      </c>
      <c r="G335" s="91" t="s">
        <v>301</v>
      </c>
      <c r="H335" s="211" t="str">
        <f>HYPERLINK("#CB_m1!code중YEDU3A13","YEDU3A13")</f>
        <v>YEDU3A13</v>
      </c>
      <c r="I335" s="209" t="str">
        <f>HYPERLINK("#QN18_m1!q18중YEDU3A13","문24-13")</f>
        <v>문24-13</v>
      </c>
      <c r="J335" s="209" t="str">
        <f>HYPERLINK("#QN19_m1!q19중YEDU3A13","문25-13")</f>
        <v>문25-13</v>
      </c>
    </row>
    <row r="336" spans="2:10" ht="18" customHeight="1">
      <c r="B336" s="99" t="s">
        <v>1172</v>
      </c>
      <c r="C336" s="100" t="s">
        <v>1186</v>
      </c>
      <c r="D336" s="100" t="s">
        <v>1191</v>
      </c>
      <c r="E336" s="100" t="s">
        <v>1192</v>
      </c>
      <c r="F336" s="100" t="s">
        <v>1325</v>
      </c>
      <c r="G336" s="94" t="s">
        <v>302</v>
      </c>
      <c r="H336" s="212" t="str">
        <f>HYPERLINK("#CB_m1!code중YEDU3A14","YEDU3A14")</f>
        <v>YEDU3A14</v>
      </c>
      <c r="I336" s="207" t="str">
        <f>HYPERLINK("#QN18_m1!q18중YEDU3A14","문24-14")</f>
        <v>문24-14</v>
      </c>
      <c r="J336" s="207" t="str">
        <f>HYPERLINK("#QN19_m1!q19중YEDU3A14","문25-14")</f>
        <v>문25-14</v>
      </c>
    </row>
    <row r="337" spans="2:10" ht="18" customHeight="1">
      <c r="B337" s="96" t="s">
        <v>1172</v>
      </c>
      <c r="C337" s="90" t="s">
        <v>1193</v>
      </c>
      <c r="D337" s="90" t="s">
        <v>1194</v>
      </c>
      <c r="E337" s="90" t="s">
        <v>1195</v>
      </c>
      <c r="F337" s="90" t="s">
        <v>1</v>
      </c>
      <c r="G337" s="97" t="s">
        <v>1294</v>
      </c>
      <c r="H337" s="210" t="str">
        <f>HYPERLINK("#CB_m1!code중YFAM1A01","YFAM1A01")</f>
        <v>YFAM1A01</v>
      </c>
      <c r="I337" s="205" t="str">
        <f>HYPERLINK("#QN18_m1!q18중YFAM1A01","문21a")</f>
        <v>문21a</v>
      </c>
      <c r="J337" s="205" t="str">
        <f>HYPERLINK("#QN19_m1!q19중YFAM1A01","문21a")</f>
        <v>문21a</v>
      </c>
    </row>
    <row r="338" spans="2:10" ht="18" customHeight="1">
      <c r="B338" s="101" t="s">
        <v>1172</v>
      </c>
      <c r="C338" s="92" t="s">
        <v>1193</v>
      </c>
      <c r="D338" s="92" t="s">
        <v>1194</v>
      </c>
      <c r="E338" s="92" t="s">
        <v>1195</v>
      </c>
      <c r="F338" s="92" t="s">
        <v>1301</v>
      </c>
      <c r="G338" s="91" t="s">
        <v>1295</v>
      </c>
      <c r="H338" s="211" t="str">
        <f>HYPERLINK("#CB_m1!code중YFAM1A02","YFAM1A02")</f>
        <v>YFAM1A02</v>
      </c>
      <c r="I338" s="209" t="str">
        <f>HYPERLINK("#QN18_m1!q18중YFAM1A02","문21a")</f>
        <v>문21a</v>
      </c>
      <c r="J338" s="209" t="str">
        <f>HYPERLINK("#QN19_m1!q19중YFAM1A02","문21a")</f>
        <v>문21a</v>
      </c>
    </row>
    <row r="339" spans="2:10" ht="18" customHeight="1">
      <c r="B339" s="101" t="s">
        <v>1172</v>
      </c>
      <c r="C339" s="92" t="s">
        <v>1193</v>
      </c>
      <c r="D339" s="92" t="s">
        <v>1194</v>
      </c>
      <c r="E339" s="92" t="s">
        <v>1195</v>
      </c>
      <c r="F339" s="92" t="s">
        <v>1301</v>
      </c>
      <c r="G339" s="91" t="s">
        <v>1296</v>
      </c>
      <c r="H339" s="211" t="str">
        <f>HYPERLINK("#CB_m1!code중YFAM1A03","YFAM1A03")</f>
        <v>YFAM1A03</v>
      </c>
      <c r="I339" s="209" t="str">
        <f>HYPERLINK("#QN18_m1!q18중YFAM1A03","문21b")</f>
        <v>문21b</v>
      </c>
      <c r="J339" s="209" t="str">
        <f>HYPERLINK("#QN19_m1!q19중YFAM1A03","문21b")</f>
        <v>문21b</v>
      </c>
    </row>
    <row r="340" spans="2:10" ht="18" customHeight="1">
      <c r="B340" s="99" t="s">
        <v>1172</v>
      </c>
      <c r="C340" s="100" t="s">
        <v>1193</v>
      </c>
      <c r="D340" s="100" t="s">
        <v>1194</v>
      </c>
      <c r="E340" s="100" t="s">
        <v>1195</v>
      </c>
      <c r="F340" s="100" t="s">
        <v>1301</v>
      </c>
      <c r="G340" s="94" t="s">
        <v>1297</v>
      </c>
      <c r="H340" s="212" t="str">
        <f>HYPERLINK("#CB_m1!code중YFAM1A04","YFAM1A04")</f>
        <v>YFAM1A04</v>
      </c>
      <c r="I340" s="207" t="str">
        <f>HYPERLINK("#QN18_m1!q18중YFAM1A04","문21b")</f>
        <v>문21b</v>
      </c>
      <c r="J340" s="207" t="str">
        <f>HYPERLINK("#QN19_m1!q19중YFAM1A04","문21b")</f>
        <v>문21b</v>
      </c>
    </row>
    <row r="341" spans="2:10" ht="18" customHeight="1">
      <c r="B341" s="101" t="s">
        <v>1439</v>
      </c>
      <c r="C341" s="96" t="s">
        <v>1193</v>
      </c>
      <c r="D341" s="101" t="s">
        <v>1443</v>
      </c>
      <c r="E341" s="101" t="s">
        <v>1442</v>
      </c>
      <c r="F341" s="101" t="s">
        <v>1447</v>
      </c>
      <c r="G341" s="91" t="s">
        <v>1450</v>
      </c>
      <c r="H341" s="210" t="str">
        <f>HYPERLINK("#CB_m1!code중YFAM3A00","YFAM3A00")</f>
        <v>YFAM3A00</v>
      </c>
      <c r="I341" s="209"/>
      <c r="J341" s="209" t="str">
        <f>HYPERLINK("#QN19_m1!q19중YFAM3A00","문22")</f>
        <v>문22</v>
      </c>
    </row>
    <row r="342" spans="2:10" ht="18" customHeight="1">
      <c r="B342" s="101" t="s">
        <v>1440</v>
      </c>
      <c r="C342" s="101" t="s">
        <v>1193</v>
      </c>
      <c r="D342" s="101" t="s">
        <v>1444</v>
      </c>
      <c r="E342" s="101" t="s">
        <v>1686</v>
      </c>
      <c r="F342" s="101" t="s">
        <v>1448</v>
      </c>
      <c r="G342" s="91" t="s">
        <v>1451</v>
      </c>
      <c r="H342" s="211" t="str">
        <f>HYPERLINK("#CB_m1!code중YFAM3B00","YFAM3B00")</f>
        <v>YFAM3B00</v>
      </c>
      <c r="I342" s="209"/>
      <c r="J342" s="207" t="str">
        <f>HYPERLINK("#QN19_m1!q19중YFAM3B00","문22-1")</f>
        <v>문22-1</v>
      </c>
    </row>
    <row r="343" spans="2:10" ht="18" customHeight="1">
      <c r="B343" s="96" t="s">
        <v>1440</v>
      </c>
      <c r="C343" s="96" t="s">
        <v>1193</v>
      </c>
      <c r="D343" s="96" t="s">
        <v>1445</v>
      </c>
      <c r="E343" s="96" t="s">
        <v>1434</v>
      </c>
      <c r="F343" s="96" t="s">
        <v>1449</v>
      </c>
      <c r="G343" s="97" t="s">
        <v>1430</v>
      </c>
      <c r="H343" s="210" t="str">
        <f>HYPERLINK("#CB_m1!code중YFAM1B01","YFAM1B01")</f>
        <v>YFAM1B01</v>
      </c>
      <c r="I343" s="205"/>
      <c r="J343" s="205" t="str">
        <f>HYPERLINK("#QN19_m1!q19중YFAM1B01","문22-1a")</f>
        <v>문22-1a</v>
      </c>
    </row>
    <row r="344" spans="2:10" ht="18" customHeight="1">
      <c r="B344" s="101" t="s">
        <v>1440</v>
      </c>
      <c r="C344" s="101" t="s">
        <v>1193</v>
      </c>
      <c r="D344" s="101" t="s">
        <v>1443</v>
      </c>
      <c r="E344" s="101" t="s">
        <v>1434</v>
      </c>
      <c r="F344" s="101" t="s">
        <v>1448</v>
      </c>
      <c r="G344" s="91" t="s">
        <v>1431</v>
      </c>
      <c r="H344" s="211" t="str">
        <f>HYPERLINK("#CB_m1!code중YFAM1B02","YFAM1B02")</f>
        <v>YFAM1B02</v>
      </c>
      <c r="I344" s="209"/>
      <c r="J344" s="209" t="str">
        <f>HYPERLINK("#QN19_m1!q19중YFAM1B02","문22-1a")</f>
        <v>문22-1a</v>
      </c>
    </row>
    <row r="345" spans="2:10" ht="18" customHeight="1">
      <c r="B345" s="101" t="s">
        <v>1440</v>
      </c>
      <c r="C345" s="101" t="s">
        <v>1193</v>
      </c>
      <c r="D345" s="101" t="s">
        <v>1443</v>
      </c>
      <c r="E345" s="101" t="s">
        <v>1434</v>
      </c>
      <c r="F345" s="101" t="s">
        <v>1447</v>
      </c>
      <c r="G345" s="91" t="s">
        <v>1432</v>
      </c>
      <c r="H345" s="211" t="str">
        <f>HYPERLINK("#CB_m1!code중YFAM1B03","YFAM1B03")</f>
        <v>YFAM1B03</v>
      </c>
      <c r="I345" s="209"/>
      <c r="J345" s="209" t="str">
        <f>HYPERLINK("#QN19_m1!q19중YFAM1B03","문22-1b")</f>
        <v>문22-1b</v>
      </c>
    </row>
    <row r="346" spans="2:10" ht="18" customHeight="1">
      <c r="B346" s="99" t="s">
        <v>1440</v>
      </c>
      <c r="C346" s="99" t="s">
        <v>1193</v>
      </c>
      <c r="D346" s="99" t="s">
        <v>1446</v>
      </c>
      <c r="E346" s="99" t="s">
        <v>1434</v>
      </c>
      <c r="F346" s="99" t="s">
        <v>1449</v>
      </c>
      <c r="G346" s="94" t="s">
        <v>1433</v>
      </c>
      <c r="H346" s="212" t="str">
        <f>HYPERLINK("#CB_m1!code중YFAM1B04","YFAM1B04")</f>
        <v>YFAM1B04</v>
      </c>
      <c r="I346" s="207"/>
      <c r="J346" s="207" t="str">
        <f>HYPERLINK("#QN19_m1!q19중YFAM1B04","문22-1b")</f>
        <v>문22-1b</v>
      </c>
    </row>
    <row r="347" spans="2:10" ht="18" customHeight="1">
      <c r="B347" s="96" t="s">
        <v>1440</v>
      </c>
      <c r="C347" s="96" t="s">
        <v>1193</v>
      </c>
      <c r="D347" s="96" t="s">
        <v>1445</v>
      </c>
      <c r="E347" s="96" t="s">
        <v>1435</v>
      </c>
      <c r="F347" s="96" t="s">
        <v>1449</v>
      </c>
      <c r="G347" s="97" t="s">
        <v>1430</v>
      </c>
      <c r="H347" s="210" t="str">
        <f>HYPERLINK("#CB_m1!code중YFAM1C01","YFAM1C01")</f>
        <v>YFAM1C01</v>
      </c>
      <c r="I347" s="205"/>
      <c r="J347" s="205" t="str">
        <f>HYPERLINK("#QN19_m1!q19중YFAM1C01","문22-1a")</f>
        <v>문22-1a</v>
      </c>
    </row>
    <row r="348" spans="2:10" ht="18" customHeight="1">
      <c r="B348" s="101" t="s">
        <v>1440</v>
      </c>
      <c r="C348" s="101" t="s">
        <v>1193</v>
      </c>
      <c r="D348" s="101" t="s">
        <v>1443</v>
      </c>
      <c r="E348" s="101" t="s">
        <v>1435</v>
      </c>
      <c r="F348" s="101" t="s">
        <v>1448</v>
      </c>
      <c r="G348" s="91" t="s">
        <v>1431</v>
      </c>
      <c r="H348" s="211" t="str">
        <f>HYPERLINK("#CB_m1!code중YFAM1C02","YFAM1C02")</f>
        <v>YFAM1C02</v>
      </c>
      <c r="I348" s="209"/>
      <c r="J348" s="209" t="str">
        <f>HYPERLINK("#QN19_m1!q19중YFAM1C02","문22-1a")</f>
        <v>문22-1a</v>
      </c>
    </row>
    <row r="349" spans="2:10" ht="18" customHeight="1">
      <c r="B349" s="101" t="s">
        <v>1440</v>
      </c>
      <c r="C349" s="101" t="s">
        <v>1193</v>
      </c>
      <c r="D349" s="101" t="s">
        <v>1443</v>
      </c>
      <c r="E349" s="101" t="s">
        <v>1435</v>
      </c>
      <c r="F349" s="101" t="s">
        <v>1447</v>
      </c>
      <c r="G349" s="91" t="s">
        <v>1432</v>
      </c>
      <c r="H349" s="211" t="str">
        <f>HYPERLINK("#CB_m1!code중YFAM1C03","YFAM1C03")</f>
        <v>YFAM1C03</v>
      </c>
      <c r="I349" s="209"/>
      <c r="J349" s="209" t="str">
        <f>HYPERLINK("#QN19_m1!q19중YFAM1C03","문22-1b")</f>
        <v>문22-1b</v>
      </c>
    </row>
    <row r="350" spans="2:10" ht="18" customHeight="1">
      <c r="B350" s="99" t="s">
        <v>1440</v>
      </c>
      <c r="C350" s="99" t="s">
        <v>1193</v>
      </c>
      <c r="D350" s="99" t="s">
        <v>1446</v>
      </c>
      <c r="E350" s="99" t="s">
        <v>1435</v>
      </c>
      <c r="F350" s="99" t="s">
        <v>1449</v>
      </c>
      <c r="G350" s="94" t="s">
        <v>1433</v>
      </c>
      <c r="H350" s="212" t="str">
        <f>HYPERLINK("#CB_m1!code중YFAM1C04","YFAM1C04")</f>
        <v>YFAM1C04</v>
      </c>
      <c r="I350" s="207"/>
      <c r="J350" s="207" t="str">
        <f>HYPERLINK("#QN19_m1!q19중YFAM1C04","문22-1b")</f>
        <v>문22-1b</v>
      </c>
    </row>
    <row r="351" spans="2:10" ht="18" customHeight="1">
      <c r="B351" s="96" t="s">
        <v>1440</v>
      </c>
      <c r="C351" s="96" t="s">
        <v>1193</v>
      </c>
      <c r="D351" s="96" t="s">
        <v>1445</v>
      </c>
      <c r="E351" s="96" t="s">
        <v>1436</v>
      </c>
      <c r="F351" s="96" t="s">
        <v>1449</v>
      </c>
      <c r="G351" s="97" t="s">
        <v>1430</v>
      </c>
      <c r="H351" s="210" t="str">
        <f>HYPERLINK("#CB_m1!code중YFAM1D01","YFAM1D01")</f>
        <v>YFAM1D01</v>
      </c>
      <c r="I351" s="205"/>
      <c r="J351" s="205" t="str">
        <f>HYPERLINK("#QN19_m1!q19중YFAM1D01","문22-1a")</f>
        <v>문22-1a</v>
      </c>
    </row>
    <row r="352" spans="2:10" ht="18" customHeight="1">
      <c r="B352" s="101" t="s">
        <v>1440</v>
      </c>
      <c r="C352" s="101" t="s">
        <v>1193</v>
      </c>
      <c r="D352" s="101" t="s">
        <v>1443</v>
      </c>
      <c r="E352" s="101" t="s">
        <v>1436</v>
      </c>
      <c r="F352" s="101" t="s">
        <v>1448</v>
      </c>
      <c r="G352" s="91" t="s">
        <v>1431</v>
      </c>
      <c r="H352" s="211" t="str">
        <f>HYPERLINK("#CB_m1!code중YFAM1D02","YFAM1D02")</f>
        <v>YFAM1D02</v>
      </c>
      <c r="I352" s="209"/>
      <c r="J352" s="209" t="str">
        <f>HYPERLINK("#QN19_m1!q19중YFAM1D02","문22-1a")</f>
        <v>문22-1a</v>
      </c>
    </row>
    <row r="353" spans="2:10" ht="18" customHeight="1">
      <c r="B353" s="101" t="s">
        <v>1440</v>
      </c>
      <c r="C353" s="101" t="s">
        <v>1193</v>
      </c>
      <c r="D353" s="101" t="s">
        <v>1443</v>
      </c>
      <c r="E353" s="101" t="s">
        <v>1436</v>
      </c>
      <c r="F353" s="101" t="s">
        <v>1447</v>
      </c>
      <c r="G353" s="91" t="s">
        <v>1432</v>
      </c>
      <c r="H353" s="211" t="str">
        <f>HYPERLINK("#CB_m1!code중YFAM1D03","YFAM1D03")</f>
        <v>YFAM1D03</v>
      </c>
      <c r="I353" s="209"/>
      <c r="J353" s="209" t="str">
        <f>HYPERLINK("#QN19_m1!q19중YFAM1D03","문22-1b")</f>
        <v>문22-1b</v>
      </c>
    </row>
    <row r="354" spans="2:10" ht="18" customHeight="1">
      <c r="B354" s="99" t="s">
        <v>1440</v>
      </c>
      <c r="C354" s="99" t="s">
        <v>1193</v>
      </c>
      <c r="D354" s="99" t="s">
        <v>1446</v>
      </c>
      <c r="E354" s="99" t="s">
        <v>1436</v>
      </c>
      <c r="F354" s="99" t="s">
        <v>1449</v>
      </c>
      <c r="G354" s="94" t="s">
        <v>1433</v>
      </c>
      <c r="H354" s="212" t="str">
        <f>HYPERLINK("#CB_m1!code중YFAM1D04","YFAM1D04")</f>
        <v>YFAM1D04</v>
      </c>
      <c r="I354" s="207"/>
      <c r="J354" s="207" t="str">
        <f>HYPERLINK("#QN19_m1!q19중YFAM1D04","문22-1b")</f>
        <v>문22-1b</v>
      </c>
    </row>
    <row r="355" spans="2:10" ht="18" customHeight="1">
      <c r="B355" s="96" t="s">
        <v>1440</v>
      </c>
      <c r="C355" s="96" t="s">
        <v>1193</v>
      </c>
      <c r="D355" s="96" t="s">
        <v>1445</v>
      </c>
      <c r="E355" s="96" t="s">
        <v>1437</v>
      </c>
      <c r="F355" s="96" t="s">
        <v>1449</v>
      </c>
      <c r="G355" s="97" t="s">
        <v>1430</v>
      </c>
      <c r="H355" s="210" t="str">
        <f>HYPERLINK("#CB_m1!code중YFAM1E01","YFAM1E01")</f>
        <v>YFAM1E01</v>
      </c>
      <c r="I355" s="205"/>
      <c r="J355" s="205" t="str">
        <f>HYPERLINK("#QN19_m1!q19중YFAM1E01","문22-1a")</f>
        <v>문22-1a</v>
      </c>
    </row>
    <row r="356" spans="2:10" ht="18" customHeight="1">
      <c r="B356" s="101" t="s">
        <v>1440</v>
      </c>
      <c r="C356" s="101" t="s">
        <v>1193</v>
      </c>
      <c r="D356" s="101" t="s">
        <v>1443</v>
      </c>
      <c r="E356" s="101" t="s">
        <v>1437</v>
      </c>
      <c r="F356" s="101" t="s">
        <v>1448</v>
      </c>
      <c r="G356" s="91" t="s">
        <v>1431</v>
      </c>
      <c r="H356" s="211" t="str">
        <f>HYPERLINK("#CB_m1!code중YFAM1E02","YFAM1E02")</f>
        <v>YFAM1E02</v>
      </c>
      <c r="I356" s="209"/>
      <c r="J356" s="209" t="str">
        <f>HYPERLINK("#QN19_m1!q19중YFAM1E02","문22-1a")</f>
        <v>문22-1a</v>
      </c>
    </row>
    <row r="357" spans="2:10" ht="18" customHeight="1">
      <c r="B357" s="101" t="s">
        <v>1440</v>
      </c>
      <c r="C357" s="101" t="s">
        <v>1193</v>
      </c>
      <c r="D357" s="101" t="s">
        <v>1443</v>
      </c>
      <c r="E357" s="101" t="s">
        <v>1437</v>
      </c>
      <c r="F357" s="101" t="s">
        <v>1447</v>
      </c>
      <c r="G357" s="91" t="s">
        <v>1432</v>
      </c>
      <c r="H357" s="211" t="str">
        <f>HYPERLINK("#CB_m1!code중YFAM1E03","YFAM1E03")</f>
        <v>YFAM1E03</v>
      </c>
      <c r="I357" s="209"/>
      <c r="J357" s="209" t="str">
        <f>HYPERLINK("#QN19_m1!q19중YFAM1E03","문22-1b")</f>
        <v>문22-1b</v>
      </c>
    </row>
    <row r="358" spans="2:10" ht="18" customHeight="1">
      <c r="B358" s="99" t="s">
        <v>1440</v>
      </c>
      <c r="C358" s="99" t="s">
        <v>1193</v>
      </c>
      <c r="D358" s="99" t="s">
        <v>1446</v>
      </c>
      <c r="E358" s="99" t="s">
        <v>1437</v>
      </c>
      <c r="F358" s="99" t="s">
        <v>1449</v>
      </c>
      <c r="G358" s="94" t="s">
        <v>1433</v>
      </c>
      <c r="H358" s="212" t="str">
        <f>HYPERLINK("#CB_m1!code중YFAM1E04","YFAM1E04")</f>
        <v>YFAM1E04</v>
      </c>
      <c r="I358" s="207"/>
      <c r="J358" s="207" t="str">
        <f>HYPERLINK("#QN19_m1!q19중YFAM1E04","문22-1b")</f>
        <v>문22-1b</v>
      </c>
    </row>
    <row r="359" spans="2:10" ht="18" customHeight="1">
      <c r="B359" s="101" t="s">
        <v>1440</v>
      </c>
      <c r="C359" s="101" t="s">
        <v>1193</v>
      </c>
      <c r="D359" s="96" t="s">
        <v>1445</v>
      </c>
      <c r="E359" s="101" t="s">
        <v>1438</v>
      </c>
      <c r="F359" s="96" t="s">
        <v>1449</v>
      </c>
      <c r="G359" s="91" t="s">
        <v>1430</v>
      </c>
      <c r="H359" s="211" t="str">
        <f>HYPERLINK("#CB_m1!code중YFAM1F01","YFAM1F01")</f>
        <v>YFAM1F01</v>
      </c>
      <c r="I359" s="209"/>
      <c r="J359" s="209" t="str">
        <f>HYPERLINK("#QN19_m1!q19중YFAM1F01","문22-1a")</f>
        <v>문22-1a</v>
      </c>
    </row>
    <row r="360" spans="2:10" ht="18" customHeight="1">
      <c r="B360" s="101" t="s">
        <v>1440</v>
      </c>
      <c r="C360" s="101" t="s">
        <v>1193</v>
      </c>
      <c r="D360" s="101" t="s">
        <v>1443</v>
      </c>
      <c r="E360" s="101" t="s">
        <v>1438</v>
      </c>
      <c r="F360" s="101" t="s">
        <v>1448</v>
      </c>
      <c r="G360" s="91" t="s">
        <v>1431</v>
      </c>
      <c r="H360" s="211" t="str">
        <f>HYPERLINK("#CB_m1!code중YFAM1F02","YFAM1F02")</f>
        <v>YFAM1F02</v>
      </c>
      <c r="I360" s="209"/>
      <c r="J360" s="209" t="str">
        <f>HYPERLINK("#QN19_m1!q19중YFAM1F02","문22-1a")</f>
        <v>문22-1a</v>
      </c>
    </row>
    <row r="361" spans="2:10" ht="18" customHeight="1">
      <c r="B361" s="101" t="s">
        <v>1440</v>
      </c>
      <c r="C361" s="101" t="s">
        <v>1193</v>
      </c>
      <c r="D361" s="101" t="s">
        <v>1443</v>
      </c>
      <c r="E361" s="101" t="s">
        <v>1438</v>
      </c>
      <c r="F361" s="101" t="s">
        <v>1447</v>
      </c>
      <c r="G361" s="91" t="s">
        <v>1432</v>
      </c>
      <c r="H361" s="211" t="str">
        <f>HYPERLINK("#CB_m1!code중YFAM1F03","YFAM1F03")</f>
        <v>YFAM1F03</v>
      </c>
      <c r="I361" s="209"/>
      <c r="J361" s="209" t="str">
        <f>HYPERLINK("#QN19_m1!q19중YFAM1F03","문22-1b")</f>
        <v>문22-1b</v>
      </c>
    </row>
    <row r="362" spans="2:10" ht="18" customHeight="1">
      <c r="B362" s="99" t="s">
        <v>1172</v>
      </c>
      <c r="C362" s="99" t="s">
        <v>1193</v>
      </c>
      <c r="D362" s="99" t="s">
        <v>1446</v>
      </c>
      <c r="E362" s="101" t="s">
        <v>1438</v>
      </c>
      <c r="F362" s="99" t="s">
        <v>1449</v>
      </c>
      <c r="G362" s="91" t="s">
        <v>1433</v>
      </c>
      <c r="H362" s="212" t="str">
        <f>HYPERLINK("#CB_m1!code중YFAM1F04","YFAM1F04")</f>
        <v>YFAM1F04</v>
      </c>
      <c r="I362" s="209"/>
      <c r="J362" s="209" t="str">
        <f>HYPERLINK("#QN19_m1!q19중YFAM1F04","문22-1b")</f>
        <v>문22-1b</v>
      </c>
    </row>
    <row r="363" spans="2:10" ht="18" customHeight="1">
      <c r="B363" s="96" t="s">
        <v>1172</v>
      </c>
      <c r="C363" s="90" t="s">
        <v>1193</v>
      </c>
      <c r="D363" s="90" t="s">
        <v>1196</v>
      </c>
      <c r="E363" s="90" t="s">
        <v>1197</v>
      </c>
      <c r="F363" s="90" t="s">
        <v>1</v>
      </c>
      <c r="G363" s="97" t="s">
        <v>252</v>
      </c>
      <c r="H363" s="210" t="str">
        <f>HYPERLINK("#CB_m1!code중YFAM2A01","YFAM2A01")</f>
        <v>YFAM2A01</v>
      </c>
      <c r="I363" s="205" t="str">
        <f>HYPERLINK("#QN18_m1!q18중YFAM2A01","문22-1")</f>
        <v>문22-1</v>
      </c>
      <c r="J363" s="205" t="str">
        <f>HYPERLINK("#QN19_m1!q19중YFAM2A01","문23-1")</f>
        <v>문23-1</v>
      </c>
    </row>
    <row r="364" spans="2:10" ht="18" customHeight="1">
      <c r="B364" s="101" t="s">
        <v>1172</v>
      </c>
      <c r="C364" s="92" t="s">
        <v>1193</v>
      </c>
      <c r="D364" s="92" t="s">
        <v>1196</v>
      </c>
      <c r="E364" s="92" t="s">
        <v>1197</v>
      </c>
      <c r="F364" s="92" t="s">
        <v>1301</v>
      </c>
      <c r="G364" s="91" t="s">
        <v>253</v>
      </c>
      <c r="H364" s="211" t="str">
        <f>HYPERLINK("#CB_m1!code중YFAM2A02","YFAM2A02")</f>
        <v>YFAM2A02</v>
      </c>
      <c r="I364" s="209" t="str">
        <f>HYPERLINK("#QN18_m1!q18중YFAM2A02","문22-2")</f>
        <v>문22-2</v>
      </c>
      <c r="J364" s="209" t="str">
        <f>HYPERLINK("#QN19_m1!q19중YFAM2A02","문23-2")</f>
        <v>문23-2</v>
      </c>
    </row>
    <row r="365" spans="2:10" ht="18" customHeight="1">
      <c r="B365" s="101" t="s">
        <v>1172</v>
      </c>
      <c r="C365" s="92" t="s">
        <v>1193</v>
      </c>
      <c r="D365" s="92" t="s">
        <v>1196</v>
      </c>
      <c r="E365" s="92" t="s">
        <v>1197</v>
      </c>
      <c r="F365" s="92" t="s">
        <v>1301</v>
      </c>
      <c r="G365" s="91" t="s">
        <v>254</v>
      </c>
      <c r="H365" s="211" t="str">
        <f>HYPERLINK("#CB_m1!code중YFAM2A03","YFAM2A03")</f>
        <v>YFAM2A03</v>
      </c>
      <c r="I365" s="209" t="str">
        <f>HYPERLINK("#QN18_m1!q18중YFAM2A03","문22-3")</f>
        <v>문22-3</v>
      </c>
      <c r="J365" s="209" t="str">
        <f>HYPERLINK("#QN19_m1!q19중YFAM2A03","문23-3")</f>
        <v>문23-3</v>
      </c>
    </row>
    <row r="366" spans="2:10" ht="18" customHeight="1">
      <c r="B366" s="99" t="s">
        <v>1172</v>
      </c>
      <c r="C366" s="100" t="s">
        <v>1193</v>
      </c>
      <c r="D366" s="100" t="s">
        <v>1196</v>
      </c>
      <c r="E366" s="100" t="s">
        <v>1197</v>
      </c>
      <c r="F366" s="100" t="s">
        <v>1301</v>
      </c>
      <c r="G366" s="94" t="s">
        <v>255</v>
      </c>
      <c r="H366" s="212" t="str">
        <f>HYPERLINK("#CB_m1!code중YFAM2A04","YFAM2A04")</f>
        <v>YFAM2A04</v>
      </c>
      <c r="I366" s="207" t="str">
        <f>HYPERLINK("#QN18_m1!q18중YFAM2A04","문22-4")</f>
        <v>문22-4</v>
      </c>
      <c r="J366" s="207" t="str">
        <f>HYPERLINK("#QN19_m1!q19중YFAM2A04","문23-4")</f>
        <v>문23-4</v>
      </c>
    </row>
    <row r="367" spans="2:10" ht="18" customHeight="1">
      <c r="B367" s="96" t="s">
        <v>1172</v>
      </c>
      <c r="C367" s="90" t="s">
        <v>1193</v>
      </c>
      <c r="D367" s="90" t="s">
        <v>1196</v>
      </c>
      <c r="E367" s="90" t="s">
        <v>1198</v>
      </c>
      <c r="F367" s="90" t="s">
        <v>1301</v>
      </c>
      <c r="G367" s="97" t="s">
        <v>256</v>
      </c>
      <c r="H367" s="210" t="str">
        <f>HYPERLINK("#CB_m1!code중YFAM2B01","YFAM2B01")</f>
        <v>YFAM2B01</v>
      </c>
      <c r="I367" s="205" t="str">
        <f>HYPERLINK("#QN18_m1!q18중YFAM2B01","문22-5")</f>
        <v>문22-5</v>
      </c>
      <c r="J367" s="205" t="str">
        <f>HYPERLINK("#QN19_m1!q19중YFAM2B01","문23-5")</f>
        <v>문23-5</v>
      </c>
    </row>
    <row r="368" spans="2:10" ht="18" customHeight="1">
      <c r="B368" s="101" t="s">
        <v>1172</v>
      </c>
      <c r="C368" s="92" t="s">
        <v>1193</v>
      </c>
      <c r="D368" s="92" t="s">
        <v>1196</v>
      </c>
      <c r="E368" s="92" t="s">
        <v>1198</v>
      </c>
      <c r="F368" s="92" t="s">
        <v>1302</v>
      </c>
      <c r="G368" s="91" t="s">
        <v>257</v>
      </c>
      <c r="H368" s="211" t="str">
        <f>HYPERLINK("#CB_m1!code중YFAM2B02","YFAM2B02")</f>
        <v>YFAM2B02</v>
      </c>
      <c r="I368" s="209" t="str">
        <f>HYPERLINK("#QN18_m1!q18중YFAM2B02","문22-6")</f>
        <v>문22-6</v>
      </c>
      <c r="J368" s="209" t="str">
        <f>HYPERLINK("#QN19_m1!q19중YFAM2B02","문23-6")</f>
        <v>문23-6</v>
      </c>
    </row>
    <row r="369" spans="2:10" ht="18" customHeight="1">
      <c r="B369" s="101" t="s">
        <v>1172</v>
      </c>
      <c r="C369" s="92" t="s">
        <v>1193</v>
      </c>
      <c r="D369" s="92" t="s">
        <v>1196</v>
      </c>
      <c r="E369" s="92" t="s">
        <v>1198</v>
      </c>
      <c r="F369" s="92" t="s">
        <v>1302</v>
      </c>
      <c r="G369" s="91" t="s">
        <v>258</v>
      </c>
      <c r="H369" s="211" t="str">
        <f>HYPERLINK("#CB_m1!code중YFAM2B03","YFAM2B03")</f>
        <v>YFAM2B03</v>
      </c>
      <c r="I369" s="209" t="str">
        <f>HYPERLINK("#QN18_m1!q18중YFAM2B03","문22-7")</f>
        <v>문22-7</v>
      </c>
      <c r="J369" s="209" t="str">
        <f>HYPERLINK("#QN19_m1!q19중YFAM2B03","문23-7")</f>
        <v>문23-7</v>
      </c>
    </row>
    <row r="370" spans="2:10" ht="18" customHeight="1">
      <c r="B370" s="99" t="s">
        <v>1172</v>
      </c>
      <c r="C370" s="100" t="s">
        <v>1193</v>
      </c>
      <c r="D370" s="100" t="s">
        <v>1196</v>
      </c>
      <c r="E370" s="100" t="s">
        <v>1198</v>
      </c>
      <c r="F370" s="100" t="s">
        <v>1301</v>
      </c>
      <c r="G370" s="94" t="s">
        <v>259</v>
      </c>
      <c r="H370" s="212" t="str">
        <f>HYPERLINK("#CB_m1!code중YFAM2B04","YFAM2B04")</f>
        <v>YFAM2B04</v>
      </c>
      <c r="I370" s="207" t="str">
        <f>HYPERLINK("#QN18_m1!q18중YFAM2B04","문22-8")</f>
        <v>문22-8</v>
      </c>
      <c r="J370" s="207" t="str">
        <f>HYPERLINK("#QN19_m1!q19중YFAM2B04","문23-8")</f>
        <v>문23-8</v>
      </c>
    </row>
    <row r="371" spans="2:10" ht="18" customHeight="1">
      <c r="B371" s="96" t="s">
        <v>1172</v>
      </c>
      <c r="C371" s="90" t="s">
        <v>1193</v>
      </c>
      <c r="D371" s="90" t="s">
        <v>1196</v>
      </c>
      <c r="E371" s="90" t="s">
        <v>1199</v>
      </c>
      <c r="F371" s="90" t="s">
        <v>1302</v>
      </c>
      <c r="G371" s="97" t="s">
        <v>260</v>
      </c>
      <c r="H371" s="210" t="str">
        <f>HYPERLINK("#CB_m1!code중YFAM2C01","YFAM2C01")</f>
        <v>YFAM2C01</v>
      </c>
      <c r="I371" s="205" t="str">
        <f>HYPERLINK("#QN18_m1!q18중YFAM2C01","문22-9")</f>
        <v>문22-9</v>
      </c>
      <c r="J371" s="205" t="str">
        <f>HYPERLINK("#QN19_m1!q19중YFAM2C01","문23-9")</f>
        <v>문23-9</v>
      </c>
    </row>
    <row r="372" spans="2:10" ht="18" customHeight="1">
      <c r="B372" s="101" t="s">
        <v>1172</v>
      </c>
      <c r="C372" s="92" t="s">
        <v>1193</v>
      </c>
      <c r="D372" s="92" t="s">
        <v>1196</v>
      </c>
      <c r="E372" s="92" t="s">
        <v>1199</v>
      </c>
      <c r="F372" s="92" t="s">
        <v>1302</v>
      </c>
      <c r="G372" s="91" t="s">
        <v>261</v>
      </c>
      <c r="H372" s="211" t="str">
        <f>HYPERLINK("#CB_m1!code중YFAM2C02","YFAM2C02")</f>
        <v>YFAM2C02</v>
      </c>
      <c r="I372" s="209" t="str">
        <f>HYPERLINK("#QN18_m1!q18중YFAM2C02","문22-10")</f>
        <v>문22-10</v>
      </c>
      <c r="J372" s="209" t="str">
        <f>HYPERLINK("#QN19_m1!q19중YFAM2C02","문23-10")</f>
        <v>문23-10</v>
      </c>
    </row>
    <row r="373" spans="2:10" ht="18" customHeight="1">
      <c r="B373" s="101" t="s">
        <v>1172</v>
      </c>
      <c r="C373" s="92" t="s">
        <v>1193</v>
      </c>
      <c r="D373" s="92" t="s">
        <v>1196</v>
      </c>
      <c r="E373" s="92" t="s">
        <v>1199</v>
      </c>
      <c r="F373" s="92" t="s">
        <v>1301</v>
      </c>
      <c r="G373" s="91" t="s">
        <v>262</v>
      </c>
      <c r="H373" s="211" t="str">
        <f>HYPERLINK("#CB_m1!code중YFAM2C03","YFAM2C03")</f>
        <v>YFAM2C03</v>
      </c>
      <c r="I373" s="209" t="str">
        <f>HYPERLINK("#QN18_m1!q18중YFAM2C03","문22-11")</f>
        <v>문22-11</v>
      </c>
      <c r="J373" s="209" t="str">
        <f>HYPERLINK("#QN19_m1!q19중YFAM2C03","문23-11")</f>
        <v>문23-11</v>
      </c>
    </row>
    <row r="374" spans="2:10" ht="18" customHeight="1">
      <c r="B374" s="99" t="s">
        <v>1172</v>
      </c>
      <c r="C374" s="100" t="s">
        <v>1193</v>
      </c>
      <c r="D374" s="100" t="s">
        <v>1196</v>
      </c>
      <c r="E374" s="100" t="s">
        <v>1199</v>
      </c>
      <c r="F374" s="100" t="s">
        <v>1</v>
      </c>
      <c r="G374" s="94" t="s">
        <v>263</v>
      </c>
      <c r="H374" s="212" t="str">
        <f>HYPERLINK("#CB_m1!code중YFAM2C04","YFAM2C04")</f>
        <v>YFAM2C04</v>
      </c>
      <c r="I374" s="207" t="str">
        <f>HYPERLINK("#QN18_m1!q18중YFAM2C04","문22-12")</f>
        <v>문22-12</v>
      </c>
      <c r="J374" s="207" t="str">
        <f>HYPERLINK("#QN19_m1!q19중YFAM2C04","문23-12")</f>
        <v>문23-12</v>
      </c>
    </row>
    <row r="375" spans="2:10" ht="18" customHeight="1">
      <c r="B375" s="96" t="s">
        <v>1172</v>
      </c>
      <c r="C375" s="90" t="s">
        <v>1193</v>
      </c>
      <c r="D375" s="90" t="s">
        <v>1196</v>
      </c>
      <c r="E375" s="90" t="s">
        <v>1200</v>
      </c>
      <c r="F375" s="90" t="s">
        <v>1302</v>
      </c>
      <c r="G375" s="97" t="s">
        <v>264</v>
      </c>
      <c r="H375" s="210" t="str">
        <f>HYPERLINK("#CB_m1!code중YFAM2D01","YFAM2D01")</f>
        <v>YFAM2D01</v>
      </c>
      <c r="I375" s="205" t="str">
        <f>HYPERLINK("#QN18_m1!q18중YFAM2D01","문22-13")</f>
        <v>문22-13</v>
      </c>
      <c r="J375" s="205" t="str">
        <f>HYPERLINK("#QN19_m1!q19중YFAM2D01","문23-13")</f>
        <v>문23-13</v>
      </c>
    </row>
    <row r="376" spans="2:10" ht="18" customHeight="1">
      <c r="B376" s="101" t="s">
        <v>1172</v>
      </c>
      <c r="C376" s="92" t="s">
        <v>1193</v>
      </c>
      <c r="D376" s="92" t="s">
        <v>1196</v>
      </c>
      <c r="E376" s="92" t="s">
        <v>1200</v>
      </c>
      <c r="F376" s="92" t="s">
        <v>1301</v>
      </c>
      <c r="G376" s="91" t="s">
        <v>265</v>
      </c>
      <c r="H376" s="211" t="str">
        <f>HYPERLINK("#CB_m1!code중YFAM2D02","YFAM2D02")</f>
        <v>YFAM2D02</v>
      </c>
      <c r="I376" s="209" t="str">
        <f>HYPERLINK("#QN18_m1!q18중YFAM2D02","문22-14")</f>
        <v>문22-14</v>
      </c>
      <c r="J376" s="209" t="str">
        <f>HYPERLINK("#QN19_m1!q19중YFAM2D02","문23-14")</f>
        <v>문23-14</v>
      </c>
    </row>
    <row r="377" spans="2:10" ht="18" customHeight="1">
      <c r="B377" s="101" t="s">
        <v>1172</v>
      </c>
      <c r="C377" s="92" t="s">
        <v>1193</v>
      </c>
      <c r="D377" s="92" t="s">
        <v>1196</v>
      </c>
      <c r="E377" s="92" t="s">
        <v>1200</v>
      </c>
      <c r="F377" s="92" t="s">
        <v>1</v>
      </c>
      <c r="G377" s="91" t="s">
        <v>266</v>
      </c>
      <c r="H377" s="211" t="str">
        <f>HYPERLINK("#CB_m1!code중YFAM2D03","YFAM2D03")</f>
        <v>YFAM2D03</v>
      </c>
      <c r="I377" s="209" t="str">
        <f>HYPERLINK("#QN18_m1!q18중YFAM2D03","문22-15")</f>
        <v>문22-15</v>
      </c>
      <c r="J377" s="209" t="str">
        <f>HYPERLINK("#QN19_m1!q19중YFAM2D03","문23-15")</f>
        <v>문23-15</v>
      </c>
    </row>
    <row r="378" spans="2:10" ht="18" customHeight="1">
      <c r="B378" s="99" t="s">
        <v>1172</v>
      </c>
      <c r="C378" s="100" t="s">
        <v>1193</v>
      </c>
      <c r="D378" s="100" t="s">
        <v>1196</v>
      </c>
      <c r="E378" s="100" t="s">
        <v>1200</v>
      </c>
      <c r="F378" s="100" t="s">
        <v>1301</v>
      </c>
      <c r="G378" s="94" t="s">
        <v>267</v>
      </c>
      <c r="H378" s="212" t="str">
        <f>HYPERLINK("#CB_m1!code중YFAM2D04","YFAM2D04")</f>
        <v>YFAM2D04</v>
      </c>
      <c r="I378" s="207" t="str">
        <f>HYPERLINK("#QN18_m1!q18중YFAM2D04","문22-16")</f>
        <v>문22-16</v>
      </c>
      <c r="J378" s="207" t="str">
        <f>HYPERLINK("#QN19_m1!q19중YFAM2D04","문23-16")</f>
        <v>문23-16</v>
      </c>
    </row>
    <row r="379" spans="2:10" ht="18" customHeight="1">
      <c r="B379" s="96" t="s">
        <v>1172</v>
      </c>
      <c r="C379" s="90" t="s">
        <v>1193</v>
      </c>
      <c r="D379" s="90" t="s">
        <v>1196</v>
      </c>
      <c r="E379" s="90" t="s">
        <v>1201</v>
      </c>
      <c r="F379" s="90" t="s">
        <v>1302</v>
      </c>
      <c r="G379" s="97" t="s">
        <v>268</v>
      </c>
      <c r="H379" s="210" t="str">
        <f>HYPERLINK("#CB_m1!code중YFAM2E01","YFAM2E01")</f>
        <v>YFAM2E01</v>
      </c>
      <c r="I379" s="205" t="str">
        <f>HYPERLINK("#QN18_m1!q18중YFAM2E01","문22-17")</f>
        <v>문22-17</v>
      </c>
      <c r="J379" s="205" t="str">
        <f>HYPERLINK("#QN19_m1!q19중YFAM2E01","문23-17")</f>
        <v>문23-17</v>
      </c>
    </row>
    <row r="380" spans="2:10" ht="18" customHeight="1">
      <c r="B380" s="101" t="s">
        <v>1172</v>
      </c>
      <c r="C380" s="92" t="s">
        <v>1193</v>
      </c>
      <c r="D380" s="92" t="s">
        <v>1196</v>
      </c>
      <c r="E380" s="92" t="s">
        <v>1201</v>
      </c>
      <c r="F380" s="92" t="s">
        <v>1302</v>
      </c>
      <c r="G380" s="91" t="s">
        <v>269</v>
      </c>
      <c r="H380" s="211" t="str">
        <f>HYPERLINK("#CB_m1!code중YFAM2E02","YFAM2E02")</f>
        <v>YFAM2E02</v>
      </c>
      <c r="I380" s="209" t="str">
        <f>HYPERLINK("#QN18_m1!q18중YFAM2E02","문22-18")</f>
        <v>문22-18</v>
      </c>
      <c r="J380" s="209" t="str">
        <f>HYPERLINK("#QN19_m1!q19중YFAM2E02","문23-18")</f>
        <v>문23-18</v>
      </c>
    </row>
    <row r="381" spans="2:10" ht="18" customHeight="1">
      <c r="B381" s="101" t="s">
        <v>1172</v>
      </c>
      <c r="C381" s="92" t="s">
        <v>1193</v>
      </c>
      <c r="D381" s="92" t="s">
        <v>1196</v>
      </c>
      <c r="E381" s="92" t="s">
        <v>1201</v>
      </c>
      <c r="F381" s="92" t="s">
        <v>1302</v>
      </c>
      <c r="G381" s="91" t="s">
        <v>270</v>
      </c>
      <c r="H381" s="211" t="str">
        <f>HYPERLINK("#CB_m1!code중YFAM2E03","YFAM2E03")</f>
        <v>YFAM2E03</v>
      </c>
      <c r="I381" s="209" t="str">
        <f>HYPERLINK("#QN18_m1!q18중YFAM2E03","문22-19")</f>
        <v>문22-19</v>
      </c>
      <c r="J381" s="209" t="str">
        <f>HYPERLINK("#QN19_m1!q19중YFAM2E03","문23-19")</f>
        <v>문23-19</v>
      </c>
    </row>
    <row r="382" spans="2:10" ht="18" customHeight="1">
      <c r="B382" s="99" t="s">
        <v>1172</v>
      </c>
      <c r="C382" s="100" t="s">
        <v>1193</v>
      </c>
      <c r="D382" s="100" t="s">
        <v>1196</v>
      </c>
      <c r="E382" s="100" t="s">
        <v>1201</v>
      </c>
      <c r="F382" s="100" t="s">
        <v>1301</v>
      </c>
      <c r="G382" s="94" t="s">
        <v>271</v>
      </c>
      <c r="H382" s="212" t="str">
        <f>HYPERLINK("#CB_m1!code중YFAM2E04","YFAM2E04")</f>
        <v>YFAM2E04</v>
      </c>
      <c r="I382" s="207" t="str">
        <f>HYPERLINK("#QN18_m1!q18중YFAM2E04","문22-20")</f>
        <v>문22-20</v>
      </c>
      <c r="J382" s="207" t="str">
        <f>HYPERLINK("#QN19_m1!q19중YFAM2E04","문23-20")</f>
        <v>문23-20</v>
      </c>
    </row>
    <row r="383" spans="2:10" ht="18" customHeight="1">
      <c r="B383" s="101" t="s">
        <v>1172</v>
      </c>
      <c r="C383" s="92" t="s">
        <v>1193</v>
      </c>
      <c r="D383" s="92" t="s">
        <v>1196</v>
      </c>
      <c r="E383" s="92" t="s">
        <v>1202</v>
      </c>
      <c r="F383" s="92" t="s">
        <v>1301</v>
      </c>
      <c r="G383" s="91" t="s">
        <v>272</v>
      </c>
      <c r="H383" s="211" t="str">
        <f>HYPERLINK("#CB_m1!code중YFAM2F01","YFAM2F01")</f>
        <v>YFAM2F01</v>
      </c>
      <c r="I383" s="209" t="str">
        <f>HYPERLINK("#QN18_m1!q18중YFAM2F01","문22-21")</f>
        <v>문22-21</v>
      </c>
      <c r="J383" s="209" t="str">
        <f>HYPERLINK("#QN19_m1!q19중YFAM2F01","문23-21")</f>
        <v>문23-21</v>
      </c>
    </row>
    <row r="384" spans="2:10" ht="18" customHeight="1">
      <c r="B384" s="101" t="s">
        <v>1172</v>
      </c>
      <c r="C384" s="92" t="s">
        <v>1193</v>
      </c>
      <c r="D384" s="92" t="s">
        <v>1196</v>
      </c>
      <c r="E384" s="92" t="s">
        <v>1202</v>
      </c>
      <c r="F384" s="92" t="s">
        <v>1302</v>
      </c>
      <c r="G384" s="91" t="s">
        <v>273</v>
      </c>
      <c r="H384" s="211" t="str">
        <f>HYPERLINK("#CB_m1!code중YFAM2F02","YFAM2F02")</f>
        <v>YFAM2F02</v>
      </c>
      <c r="I384" s="209" t="str">
        <f>HYPERLINK("#QN18_m1!q18중YFAM2F02","문22-22")</f>
        <v>문22-22</v>
      </c>
      <c r="J384" s="209" t="str">
        <f>HYPERLINK("#QN19_m1!q19중YFAM2F02","문23-22")</f>
        <v>문23-22</v>
      </c>
    </row>
    <row r="385" spans="2:10" ht="18" customHeight="1">
      <c r="B385" s="101" t="s">
        <v>1172</v>
      </c>
      <c r="C385" s="92" t="s">
        <v>1193</v>
      </c>
      <c r="D385" s="92" t="s">
        <v>1196</v>
      </c>
      <c r="E385" s="92" t="s">
        <v>1202</v>
      </c>
      <c r="F385" s="92" t="s">
        <v>1302</v>
      </c>
      <c r="G385" s="91" t="s">
        <v>274</v>
      </c>
      <c r="H385" s="211" t="str">
        <f>HYPERLINK("#CB_m1!code중YFAM2F03","YFAM2F03")</f>
        <v>YFAM2F03</v>
      </c>
      <c r="I385" s="209" t="str">
        <f>HYPERLINK("#QN18_m1!q18중YFAM2F03","문22-23")</f>
        <v>문22-23</v>
      </c>
      <c r="J385" s="209" t="str">
        <f>HYPERLINK("#QN19_m1!q19중YFAM2F03","문23-23")</f>
        <v>문23-23</v>
      </c>
    </row>
    <row r="386" spans="2:10" ht="18" customHeight="1" thickBot="1">
      <c r="B386" s="108" t="s">
        <v>1172</v>
      </c>
      <c r="C386" s="112" t="s">
        <v>1193</v>
      </c>
      <c r="D386" s="112" t="s">
        <v>1196</v>
      </c>
      <c r="E386" s="112" t="s">
        <v>1202</v>
      </c>
      <c r="F386" s="112" t="s">
        <v>1302</v>
      </c>
      <c r="G386" s="109" t="s">
        <v>275</v>
      </c>
      <c r="H386" s="219" t="str">
        <f>HYPERLINK("#CB_m1!code중YFAM2F04","YFAM2F04")</f>
        <v>YFAM2F04</v>
      </c>
      <c r="I386" s="214" t="str">
        <f>HYPERLINK("#QN18_m1!q18중YFAM2F04","문22-24")</f>
        <v>문22-24</v>
      </c>
      <c r="J386" s="214" t="str">
        <f>HYPERLINK("#QN19_m1!q19중YFAM2F04","문23-24")</f>
        <v>문23-24</v>
      </c>
    </row>
  </sheetData>
  <sheetProtection algorithmName="SHA-512" hashValue="/qm1ni1EhByhHkqB6tdx7F8Pc0ax05xYsCiKj2ZJijqEjvbaS6MnU+pV77+U6rohX/VwdDxZTo33NvbFHFoz1Q==" saltValue="eFGDDixGslW0SVAyOiEYXg==" spinCount="100000" sheet="1" objects="1" scenarios="1"/>
  <mergeCells count="10">
    <mergeCell ref="B1:J2"/>
    <mergeCell ref="E4:E5"/>
    <mergeCell ref="F4:F5"/>
    <mergeCell ref="H4:H5"/>
    <mergeCell ref="B4:B5"/>
    <mergeCell ref="G4:G5"/>
    <mergeCell ref="C4:C5"/>
    <mergeCell ref="D4:D5"/>
    <mergeCell ref="I4:J4"/>
    <mergeCell ref="B3:J3"/>
  </mergeCells>
  <phoneticPr fontId="1" type="noConversion"/>
  <pageMargins left="0.7" right="0.7" top="0.75" bottom="0.75" header="0.3" footer="0.3"/>
  <pageSetup paperSize="9" scale="4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37"/>
  <sheetViews>
    <sheetView showGridLines="0" zoomScale="90" zoomScaleNormal="90" workbookViewId="0">
      <pane ySplit="5" topLeftCell="A6" activePane="bottomLeft" state="frozen"/>
      <selection pane="bottomLeft" activeCell="B1" sqref="B1:J2"/>
    </sheetView>
  </sheetViews>
  <sheetFormatPr defaultColWidth="9" defaultRowHeight="18" customHeight="1"/>
  <cols>
    <col min="1" max="1" width="2.625" style="87" customWidth="1"/>
    <col min="2" max="2" width="24.625" style="87" bestFit="1" customWidth="1"/>
    <col min="3" max="3" width="16.625" style="87" bestFit="1" customWidth="1"/>
    <col min="4" max="4" width="15.625" style="87" bestFit="1" customWidth="1"/>
    <col min="5" max="5" width="34.125" style="87" bestFit="1" customWidth="1"/>
    <col min="6" max="6" width="17.625" style="87" bestFit="1" customWidth="1"/>
    <col min="7" max="7" width="102.125" style="110" bestFit="1" customWidth="1"/>
    <col min="8" max="10" width="13.625" style="87" customWidth="1"/>
    <col min="11" max="16384" width="9" style="87"/>
  </cols>
  <sheetData>
    <row r="1" spans="2:10" s="86" customFormat="1" ht="18" customHeight="1">
      <c r="B1" s="269" t="s">
        <v>1758</v>
      </c>
      <c r="C1" s="269"/>
      <c r="D1" s="269"/>
      <c r="E1" s="269"/>
      <c r="F1" s="269"/>
      <c r="G1" s="269"/>
      <c r="H1" s="269"/>
      <c r="I1" s="269"/>
      <c r="J1" s="269"/>
    </row>
    <row r="2" spans="2:10" s="86" customFormat="1" ht="18" customHeight="1" thickBot="1">
      <c r="B2" s="270"/>
      <c r="C2" s="270"/>
      <c r="D2" s="270"/>
      <c r="E2" s="270"/>
      <c r="F2" s="270"/>
      <c r="G2" s="270"/>
      <c r="H2" s="270"/>
      <c r="I2" s="270"/>
      <c r="J2" s="270"/>
    </row>
    <row r="3" spans="2:10" s="86" customFormat="1" ht="18" customHeight="1" thickBot="1">
      <c r="B3" s="277" t="s">
        <v>1068</v>
      </c>
      <c r="C3" s="277"/>
      <c r="D3" s="277"/>
      <c r="E3" s="277"/>
      <c r="F3" s="277"/>
      <c r="G3" s="277"/>
      <c r="H3" s="277"/>
      <c r="I3" s="277"/>
      <c r="J3" s="277"/>
    </row>
    <row r="4" spans="2:10" ht="18" customHeight="1">
      <c r="B4" s="271" t="s">
        <v>1114</v>
      </c>
      <c r="C4" s="273" t="s">
        <v>1115</v>
      </c>
      <c r="D4" s="273" t="s">
        <v>1116</v>
      </c>
      <c r="E4" s="273" t="s">
        <v>1118</v>
      </c>
      <c r="F4" s="273" t="s">
        <v>1117</v>
      </c>
      <c r="G4" s="271" t="s">
        <v>16</v>
      </c>
      <c r="H4" s="273" t="s">
        <v>17</v>
      </c>
      <c r="I4" s="275" t="s">
        <v>18</v>
      </c>
      <c r="J4" s="276"/>
    </row>
    <row r="5" spans="2:10" ht="18" customHeight="1">
      <c r="B5" s="272"/>
      <c r="C5" s="274"/>
      <c r="D5" s="274"/>
      <c r="E5" s="274"/>
      <c r="F5" s="274"/>
      <c r="G5" s="272"/>
      <c r="H5" s="274"/>
      <c r="I5" s="88" t="s">
        <v>1066</v>
      </c>
      <c r="J5" s="88" t="s">
        <v>1672</v>
      </c>
    </row>
    <row r="6" spans="2:10" ht="18" customHeight="1">
      <c r="B6" s="89" t="s">
        <v>1301</v>
      </c>
      <c r="C6" s="90" t="s">
        <v>1301</v>
      </c>
      <c r="D6" s="90" t="s">
        <v>1301</v>
      </c>
      <c r="E6" s="90" t="s">
        <v>1301</v>
      </c>
      <c r="F6" s="90" t="s">
        <v>1301</v>
      </c>
      <c r="G6" s="97" t="s">
        <v>1097</v>
      </c>
      <c r="H6" s="90" t="s">
        <v>1095</v>
      </c>
      <c r="I6" s="98" t="s">
        <v>15</v>
      </c>
      <c r="J6" s="98" t="s">
        <v>15</v>
      </c>
    </row>
    <row r="7" spans="2:10" ht="18" customHeight="1">
      <c r="B7" s="87" t="s">
        <v>1301</v>
      </c>
      <c r="C7" s="92" t="s">
        <v>1301</v>
      </c>
      <c r="D7" s="92" t="s">
        <v>1301</v>
      </c>
      <c r="E7" s="92" t="s">
        <v>1301</v>
      </c>
      <c r="F7" s="92" t="s">
        <v>1</v>
      </c>
      <c r="G7" s="91" t="s">
        <v>1098</v>
      </c>
      <c r="H7" s="92" t="s">
        <v>1096</v>
      </c>
      <c r="I7" s="93" t="s">
        <v>1099</v>
      </c>
      <c r="J7" s="93" t="s">
        <v>1099</v>
      </c>
    </row>
    <row r="8" spans="2:10" ht="18" customHeight="1">
      <c r="B8" s="113" t="s">
        <v>1425</v>
      </c>
      <c r="C8" s="114" t="s">
        <v>1301</v>
      </c>
      <c r="D8" s="114" t="s">
        <v>1302</v>
      </c>
      <c r="E8" s="114" t="s">
        <v>1301</v>
      </c>
      <c r="F8" s="114" t="s">
        <v>1301</v>
      </c>
      <c r="G8" s="115" t="s">
        <v>23</v>
      </c>
      <c r="H8" s="202" t="str">
        <f>HYPERLINK("#CB_p!code보PARENT","PARENT")</f>
        <v>PARENT</v>
      </c>
      <c r="I8" s="203" t="str">
        <f>HYPERLINK("#QN18_p!q18보PARENT","SQ1")</f>
        <v>SQ1</v>
      </c>
      <c r="J8" s="203" t="str">
        <f>HYPERLINK("#QN19_p!q19보PARENT","SQ1")</f>
        <v>SQ1</v>
      </c>
    </row>
    <row r="9" spans="2:10" ht="18" customHeight="1">
      <c r="B9" s="116" t="s">
        <v>1425</v>
      </c>
      <c r="C9" s="117" t="s">
        <v>1301</v>
      </c>
      <c r="D9" s="117" t="s">
        <v>1301</v>
      </c>
      <c r="E9" s="117" t="s">
        <v>1302</v>
      </c>
      <c r="F9" s="117" t="s">
        <v>1301</v>
      </c>
      <c r="G9" s="118" t="s">
        <v>24</v>
      </c>
      <c r="H9" s="204" t="str">
        <f>HYPERLINK("#CB_p!code보PYBRT1A","PYBRT1A")</f>
        <v>PYBRT1A</v>
      </c>
      <c r="I9" s="205" t="str">
        <f>HYPERLINK("#QN18_p!q18보PYBRT1A","SQ2")</f>
        <v>SQ2</v>
      </c>
      <c r="J9" s="205" t="str">
        <f>HYPERLINK("#QN19_p!q19보PYBRT1A","SQ2")</f>
        <v>SQ2</v>
      </c>
    </row>
    <row r="10" spans="2:10" ht="18" customHeight="1">
      <c r="B10" s="119" t="s">
        <v>1425</v>
      </c>
      <c r="C10" s="104" t="s">
        <v>1301</v>
      </c>
      <c r="D10" s="104" t="s">
        <v>1301</v>
      </c>
      <c r="E10" s="104" t="s">
        <v>1302</v>
      </c>
      <c r="F10" s="104" t="s">
        <v>1301</v>
      </c>
      <c r="G10" s="105" t="s">
        <v>25</v>
      </c>
      <c r="H10" s="206" t="str">
        <f>HYPERLINK("#CB_p!code보PYBRT1B","PYBRT1B")</f>
        <v>PYBRT1B</v>
      </c>
      <c r="I10" s="207" t="str">
        <f>HYPERLINK("#QN18_p!q18보PYBRT1B","SQ2")</f>
        <v>SQ2</v>
      </c>
      <c r="J10" s="207" t="str">
        <f>HYPERLINK("#QN19_p!q19보PYBRT1B","SQ2")</f>
        <v>SQ2</v>
      </c>
    </row>
    <row r="11" spans="2:10" ht="18" customHeight="1">
      <c r="B11" s="120" t="s">
        <v>1425</v>
      </c>
      <c r="C11" s="102" t="s">
        <v>1302</v>
      </c>
      <c r="D11" s="102" t="s">
        <v>1304</v>
      </c>
      <c r="E11" s="102" t="s">
        <v>1301</v>
      </c>
      <c r="F11" s="102" t="s">
        <v>1</v>
      </c>
      <c r="G11" s="103" t="s">
        <v>26</v>
      </c>
      <c r="H11" s="208" t="str">
        <f>HYPERLINK("#CB_p!code보PYGENDER","PYGENDER")</f>
        <v>PYGENDER</v>
      </c>
      <c r="I11" s="209" t="str">
        <f>HYPERLINK("#QN18_p!q18보PYGENDER","SQ3")</f>
        <v>SQ3</v>
      </c>
      <c r="J11" s="209" t="str">
        <f>HYPERLINK("#QN19_p!q19보PYGENDER","SQ3")</f>
        <v>SQ3</v>
      </c>
    </row>
    <row r="12" spans="2:10" ht="18" customHeight="1">
      <c r="B12" s="116" t="s">
        <v>1425</v>
      </c>
      <c r="C12" s="117" t="s">
        <v>1301</v>
      </c>
      <c r="D12" s="117" t="s">
        <v>1302</v>
      </c>
      <c r="E12" s="117" t="s">
        <v>1302</v>
      </c>
      <c r="F12" s="117" t="s">
        <v>1301</v>
      </c>
      <c r="G12" s="97" t="s">
        <v>27</v>
      </c>
      <c r="H12" s="204" t="str">
        <f>HYPERLINK("#CB_p!code보PINCOME","PINCOME")</f>
        <v>PINCOME</v>
      </c>
      <c r="I12" s="205" t="str">
        <f>HYPERLINK("#QN18_p!q18보PINCOME","문23")</f>
        <v>문23</v>
      </c>
      <c r="J12" s="205" t="str">
        <f>HYPERLINK("#QN19_p!q19보PINCOME","문23")</f>
        <v>문23</v>
      </c>
    </row>
    <row r="13" spans="2:10" ht="18" customHeight="1">
      <c r="B13" s="119" t="s">
        <v>1425</v>
      </c>
      <c r="C13" s="104" t="s">
        <v>1302</v>
      </c>
      <c r="D13" s="104" t="s">
        <v>1426</v>
      </c>
      <c r="E13" s="104" t="s">
        <v>1302</v>
      </c>
      <c r="F13" s="104" t="s">
        <v>1301</v>
      </c>
      <c r="G13" s="94" t="s">
        <v>28</v>
      </c>
      <c r="H13" s="206" t="str">
        <f>HYPERLINK("#CB_p!code보PINCOME1","PINCOME1")</f>
        <v>PINCOME1</v>
      </c>
      <c r="I13" s="207" t="str">
        <f>HYPERLINK("#QN18_p!q18보PINCOME1","문24")</f>
        <v>문24</v>
      </c>
      <c r="J13" s="207" t="str">
        <f>HYPERLINK("#QN19_p!q19보PINCOME1","문24")</f>
        <v>문24</v>
      </c>
    </row>
    <row r="14" spans="2:10" ht="18" customHeight="1">
      <c r="B14" s="116" t="s">
        <v>1425</v>
      </c>
      <c r="C14" s="117" t="s">
        <v>1423</v>
      </c>
      <c r="D14" s="117" t="s">
        <v>1424</v>
      </c>
      <c r="E14" s="117" t="s">
        <v>1416</v>
      </c>
      <c r="F14" s="117" t="s">
        <v>1301</v>
      </c>
      <c r="G14" s="118" t="s">
        <v>29</v>
      </c>
      <c r="H14" s="204" t="str">
        <f>HYPERLINK("#CB_p!code보PYBRP1","PYBRP1")</f>
        <v>PYBRP1</v>
      </c>
      <c r="I14" s="205" t="str">
        <f>HYPERLINK("#QN18_p!q18보PYBRP1","문1")</f>
        <v>문1</v>
      </c>
      <c r="J14" s="205" t="str">
        <f>HYPERLINK("#QN19_p!q19보PYBRP1","문1")</f>
        <v>문1</v>
      </c>
    </row>
    <row r="15" spans="2:10" ht="18" customHeight="1">
      <c r="B15" s="120" t="s">
        <v>1422</v>
      </c>
      <c r="C15" s="102" t="s">
        <v>1424</v>
      </c>
      <c r="D15" s="102" t="s">
        <v>1302</v>
      </c>
      <c r="E15" s="102" t="s">
        <v>1416</v>
      </c>
      <c r="F15" s="102" t="s">
        <v>1302</v>
      </c>
      <c r="G15" s="103" t="s">
        <v>1093</v>
      </c>
      <c r="H15" s="208" t="str">
        <f>HYPERLINK("#CB_p!code보PYBRP2","PYBRP2")</f>
        <v>PYBRP2</v>
      </c>
      <c r="I15" s="209" t="str">
        <f>HYPERLINK("#QN18_p!q18보PYBRP2","문1-1")</f>
        <v>문1-1</v>
      </c>
      <c r="J15" s="209" t="str">
        <f>HYPERLINK("#QN19_p!q19보PYBRP2","문1-1")</f>
        <v>문1-1</v>
      </c>
    </row>
    <row r="16" spans="2:10" ht="18" customHeight="1">
      <c r="B16" s="119" t="s">
        <v>1422</v>
      </c>
      <c r="C16" s="104" t="s">
        <v>1302</v>
      </c>
      <c r="D16" s="104" t="s">
        <v>1302</v>
      </c>
      <c r="E16" s="104" t="s">
        <v>1416</v>
      </c>
      <c r="F16" s="104" t="s">
        <v>1301</v>
      </c>
      <c r="G16" s="105" t="s">
        <v>30</v>
      </c>
      <c r="H16" s="206" t="str">
        <f>HYPERLINK("#CB_p!code보PYBRP3","PYBRP3")</f>
        <v>PYBRP3</v>
      </c>
      <c r="I16" s="207" t="str">
        <f>HYPERLINK("#QN18_p!q18보PYBRP3","문1-2")</f>
        <v>문1-2</v>
      </c>
      <c r="J16" s="207" t="str">
        <f>HYPERLINK("#QN19_p!q19보PYBRP3","문1-2")</f>
        <v>문1-2</v>
      </c>
    </row>
    <row r="17" spans="2:10" ht="18" customHeight="1">
      <c r="B17" s="116" t="s">
        <v>1421</v>
      </c>
      <c r="C17" s="117" t="s">
        <v>1302</v>
      </c>
      <c r="D17" s="117" t="s">
        <v>1424</v>
      </c>
      <c r="E17" s="90" t="s">
        <v>1417</v>
      </c>
      <c r="F17" s="117" t="s">
        <v>1301</v>
      </c>
      <c r="G17" s="97" t="s">
        <v>31</v>
      </c>
      <c r="H17" s="204" t="str">
        <f>HYPERLINK("#CB_p!code보PBRP1","PBRP1")</f>
        <v>PBRP1</v>
      </c>
      <c r="I17" s="205" t="str">
        <f>HYPERLINK("#QN18_p!q18보PBRP1","문20")</f>
        <v>문20</v>
      </c>
      <c r="J17" s="205" t="str">
        <f>HYPERLINK("#QN19_p!q19보PBRP1","문20")</f>
        <v>문20</v>
      </c>
    </row>
    <row r="18" spans="2:10" ht="18" customHeight="1">
      <c r="B18" s="120" t="s">
        <v>1421</v>
      </c>
      <c r="C18" s="102" t="s">
        <v>1302</v>
      </c>
      <c r="D18" s="102" t="s">
        <v>1424</v>
      </c>
      <c r="E18" s="92" t="s">
        <v>1417</v>
      </c>
      <c r="F18" s="102" t="s">
        <v>1302</v>
      </c>
      <c r="G18" s="91" t="s">
        <v>1094</v>
      </c>
      <c r="H18" s="208" t="str">
        <f>HYPERLINK("#CB_p!code보PBRP2","PBRP2")</f>
        <v>PBRP2</v>
      </c>
      <c r="I18" s="209" t="str">
        <f>HYPERLINK("#QN18_p!q18보PBRP2","문20-1")</f>
        <v>문20-1</v>
      </c>
      <c r="J18" s="209" t="str">
        <f>HYPERLINK("#QN19_p!q19보PBRP2","문20-1")</f>
        <v>문20-1</v>
      </c>
    </row>
    <row r="19" spans="2:10" ht="18" customHeight="1">
      <c r="B19" s="119" t="s">
        <v>1421</v>
      </c>
      <c r="C19" s="104" t="s">
        <v>1302</v>
      </c>
      <c r="D19" s="104" t="s">
        <v>1302</v>
      </c>
      <c r="E19" s="100" t="s">
        <v>1417</v>
      </c>
      <c r="F19" s="104" t="s">
        <v>1301</v>
      </c>
      <c r="G19" s="94" t="s">
        <v>32</v>
      </c>
      <c r="H19" s="206" t="str">
        <f>HYPERLINK("#CB_p!code보PBRP3","PBRP3")</f>
        <v>PBRP3</v>
      </c>
      <c r="I19" s="207" t="str">
        <f>HYPERLINK("#QN18_p!q18보PBRP3","문20-2")</f>
        <v>문20-2</v>
      </c>
      <c r="J19" s="207" t="str">
        <f>HYPERLINK("#QN19_p!q19보PBRP3","문20-2")</f>
        <v>문20-2</v>
      </c>
    </row>
    <row r="20" spans="2:10" ht="18" customHeight="1">
      <c r="B20" s="116" t="s">
        <v>1421</v>
      </c>
      <c r="C20" s="117" t="s">
        <v>1302</v>
      </c>
      <c r="D20" s="117" t="s">
        <v>1302</v>
      </c>
      <c r="E20" s="90" t="s">
        <v>1418</v>
      </c>
      <c r="F20" s="117" t="s">
        <v>1302</v>
      </c>
      <c r="G20" s="97" t="s">
        <v>33</v>
      </c>
      <c r="H20" s="204" t="str">
        <f>HYPERLINK("#CB_p!code보PSCHOOL1","PSCHOOL1")</f>
        <v>PSCHOOL1</v>
      </c>
      <c r="I20" s="205" t="str">
        <f>HYPERLINK("#QN18_p!q18보PSCHOOL1","문21-1")</f>
        <v>문21-1</v>
      </c>
      <c r="J20" s="205" t="str">
        <f>HYPERLINK("#QN19_p!q19보PSCHOOL1","문21-1")</f>
        <v>문21-1</v>
      </c>
    </row>
    <row r="21" spans="2:10" ht="18" customHeight="1">
      <c r="B21" s="120" t="s">
        <v>1422</v>
      </c>
      <c r="C21" s="102" t="s">
        <v>1302</v>
      </c>
      <c r="D21" s="102" t="s">
        <v>1302</v>
      </c>
      <c r="E21" s="92" t="s">
        <v>1418</v>
      </c>
      <c r="F21" s="102" t="s">
        <v>1301</v>
      </c>
      <c r="G21" s="91" t="s">
        <v>34</v>
      </c>
      <c r="H21" s="208" t="str">
        <f>HYPERLINK("#CB_p!code보PSCHOOL2","PSCHOOL2")</f>
        <v>PSCHOOL2</v>
      </c>
      <c r="I21" s="209" t="str">
        <f>HYPERLINK("#QN18_p!q18보PSCHOOL2","문21-2")</f>
        <v>문21-2</v>
      </c>
      <c r="J21" s="209" t="str">
        <f>HYPERLINK("#QN19_p!q19보PSCHOOL2","문21-2")</f>
        <v>문21-2</v>
      </c>
    </row>
    <row r="22" spans="2:10" ht="18" customHeight="1">
      <c r="B22" s="119" t="s">
        <v>1422</v>
      </c>
      <c r="C22" s="104" t="s">
        <v>1423</v>
      </c>
      <c r="D22" s="104" t="s">
        <v>1302</v>
      </c>
      <c r="E22" s="100" t="s">
        <v>1418</v>
      </c>
      <c r="F22" s="104" t="s">
        <v>1302</v>
      </c>
      <c r="G22" s="94" t="s">
        <v>35</v>
      </c>
      <c r="H22" s="206" t="str">
        <f>HYPERLINK("#CB_p!code보PSCHOOL3","PSCHOOL3")</f>
        <v>PSCHOOL3</v>
      </c>
      <c r="I22" s="207" t="str">
        <f>HYPERLINK("#QN18_p!q18보PSCHOOL3","문21-3")</f>
        <v>문21-3</v>
      </c>
      <c r="J22" s="207" t="str">
        <f>HYPERLINK("#QN19_p!q19보PSCHOOL3","문21-3")</f>
        <v>문21-3</v>
      </c>
    </row>
    <row r="23" spans="2:10" ht="18" customHeight="1">
      <c r="B23" s="116" t="s">
        <v>1421</v>
      </c>
      <c r="C23" s="117" t="s">
        <v>1302</v>
      </c>
      <c r="D23" s="117" t="s">
        <v>1302</v>
      </c>
      <c r="E23" s="90" t="s">
        <v>1419</v>
      </c>
      <c r="F23" s="117" t="s">
        <v>1301</v>
      </c>
      <c r="G23" s="97" t="s">
        <v>36</v>
      </c>
      <c r="H23" s="204" t="str">
        <f>HYPERLINK("#CB_p!code보PWORKW1","PWORKW1")</f>
        <v>PWORKW1</v>
      </c>
      <c r="I23" s="205" t="str">
        <f>HYPERLINK("#QN18_p!q18보PWORKW1","문22-1")</f>
        <v>문22-1</v>
      </c>
      <c r="J23" s="205" t="str">
        <f>HYPERLINK("#QN19_p!q19보PWORKW1","문22-1")</f>
        <v>문22-1</v>
      </c>
    </row>
    <row r="24" spans="2:10" ht="18" customHeight="1">
      <c r="B24" s="120" t="s">
        <v>1422</v>
      </c>
      <c r="C24" s="102" t="s">
        <v>1302</v>
      </c>
      <c r="D24" s="102" t="s">
        <v>1302</v>
      </c>
      <c r="E24" s="92" t="s">
        <v>1419</v>
      </c>
      <c r="F24" s="102" t="s">
        <v>1302</v>
      </c>
      <c r="G24" s="91" t="s">
        <v>37</v>
      </c>
      <c r="H24" s="208" t="str">
        <f>HYPERLINK("#CB_p!code보PWORKW2","PWORKW2")</f>
        <v>PWORKW2</v>
      </c>
      <c r="I24" s="209" t="str">
        <f>HYPERLINK("#QN18_p!q18보PWORKW2","문22-2")</f>
        <v>문22-2</v>
      </c>
      <c r="J24" s="209" t="str">
        <f>HYPERLINK("#QN19_p!q19보PWORKW2","문22-2")</f>
        <v>문22-2</v>
      </c>
    </row>
    <row r="25" spans="2:10" ht="18" customHeight="1">
      <c r="B25" s="119" t="s">
        <v>1421</v>
      </c>
      <c r="C25" s="104" t="s">
        <v>1302</v>
      </c>
      <c r="D25" s="104" t="s">
        <v>1302</v>
      </c>
      <c r="E25" s="100" t="s">
        <v>1419</v>
      </c>
      <c r="F25" s="104" t="s">
        <v>1301</v>
      </c>
      <c r="G25" s="94" t="s">
        <v>38</v>
      </c>
      <c r="H25" s="206" t="str">
        <f>HYPERLINK("#CB_p!code보PWORKW3","PWORKW3")</f>
        <v>PWORKW3</v>
      </c>
      <c r="I25" s="207" t="str">
        <f>HYPERLINK("#QN18_p!q18보PWORKW3","문22-3")</f>
        <v>문22-3</v>
      </c>
      <c r="J25" s="207" t="str">
        <f>HYPERLINK("#QN19_p!q19보PWORKW3","문22-3")</f>
        <v>문22-3</v>
      </c>
    </row>
    <row r="26" spans="2:10" ht="18" customHeight="1">
      <c r="B26" s="116" t="s">
        <v>1422</v>
      </c>
      <c r="C26" s="117" t="s">
        <v>1302</v>
      </c>
      <c r="D26" s="117" t="s">
        <v>1302</v>
      </c>
      <c r="E26" s="90" t="s">
        <v>1420</v>
      </c>
      <c r="F26" s="117" t="s">
        <v>1301</v>
      </c>
      <c r="G26" s="97" t="s">
        <v>39</v>
      </c>
      <c r="H26" s="204" t="str">
        <f>HYPERLINK("#CB_p!code보PJOB1","PJOB1")</f>
        <v>PJOB1</v>
      </c>
      <c r="I26" s="205" t="str">
        <f>HYPERLINK("#QN18_p!q18보PJOB1","문22-1-1")</f>
        <v>문22-1-1</v>
      </c>
      <c r="J26" s="205" t="str">
        <f>HYPERLINK("#QN19_p!q19보PJOB1","문22-1-1")</f>
        <v>문22-1-1</v>
      </c>
    </row>
    <row r="27" spans="2:10" ht="18" customHeight="1">
      <c r="B27" s="120" t="s">
        <v>1422</v>
      </c>
      <c r="C27" s="102" t="s">
        <v>1423</v>
      </c>
      <c r="D27" s="102" t="s">
        <v>1302</v>
      </c>
      <c r="E27" s="92" t="s">
        <v>1420</v>
      </c>
      <c r="F27" s="102" t="s">
        <v>1302</v>
      </c>
      <c r="G27" s="91" t="s">
        <v>40</v>
      </c>
      <c r="H27" s="208" t="str">
        <f>HYPERLINK("#CB_p!code보PJOB2","PJOB2")</f>
        <v>PJOB2</v>
      </c>
      <c r="I27" s="209" t="str">
        <f>HYPERLINK("#QN18_p!q18보PJOB2","문22-1-2")</f>
        <v>문22-1-2</v>
      </c>
      <c r="J27" s="209" t="str">
        <f>HYPERLINK("#QN19_p!q19보PJOB2","문22-1-2")</f>
        <v>문22-1-2</v>
      </c>
    </row>
    <row r="28" spans="2:10" ht="18" customHeight="1">
      <c r="B28" s="120" t="s">
        <v>1422</v>
      </c>
      <c r="C28" s="102" t="s">
        <v>1302</v>
      </c>
      <c r="D28" s="102" t="s">
        <v>1302</v>
      </c>
      <c r="E28" s="92" t="s">
        <v>1420</v>
      </c>
      <c r="F28" s="102" t="s">
        <v>1302</v>
      </c>
      <c r="G28" s="91" t="s">
        <v>41</v>
      </c>
      <c r="H28" s="208" t="str">
        <f>HYPERLINK("#CB_p!code보PJOB3","PJOB3")</f>
        <v>PJOB3</v>
      </c>
      <c r="I28" s="209" t="str">
        <f>HYPERLINK("#QN18_p!q18보PJOB3","문22-1-3")</f>
        <v>문22-1-3</v>
      </c>
      <c r="J28" s="209" t="str">
        <f>HYPERLINK("#QN19_p!q19보PJOB3","문22-1-3")</f>
        <v>문22-1-3</v>
      </c>
    </row>
    <row r="29" spans="2:10" ht="18" customHeight="1">
      <c r="B29" s="120" t="s">
        <v>1422</v>
      </c>
      <c r="C29" s="102" t="s">
        <v>1302</v>
      </c>
      <c r="D29" s="102" t="s">
        <v>1302</v>
      </c>
      <c r="E29" s="92" t="s">
        <v>1420</v>
      </c>
      <c r="F29" s="102" t="s">
        <v>1302</v>
      </c>
      <c r="G29" s="91" t="s">
        <v>42</v>
      </c>
      <c r="H29" s="208" t="str">
        <f>HYPERLINK("#CB_p!code보PJOB1_T","PJOB1_T")</f>
        <v>PJOB1_T</v>
      </c>
      <c r="I29" s="209" t="str">
        <f>HYPERLINK("#QN18_p!q18보PJOB1_T","문22-1-1_T")</f>
        <v>문22-1-1_T</v>
      </c>
      <c r="J29" s="209" t="str">
        <f>HYPERLINK("#QN19_p!q19보PJOB1_T","문22-1-1_T")</f>
        <v>문22-1-1_T</v>
      </c>
    </row>
    <row r="30" spans="2:10" ht="18" customHeight="1">
      <c r="B30" s="120" t="s">
        <v>1421</v>
      </c>
      <c r="C30" s="102" t="s">
        <v>1302</v>
      </c>
      <c r="D30" s="102" t="s">
        <v>1302</v>
      </c>
      <c r="E30" s="92" t="s">
        <v>1420</v>
      </c>
      <c r="F30" s="102" t="s">
        <v>1301</v>
      </c>
      <c r="G30" s="91" t="s">
        <v>43</v>
      </c>
      <c r="H30" s="208" t="str">
        <f>HYPERLINK("#CB_p!code보PJOB2_T","PJOB2_T")</f>
        <v>PJOB2_T</v>
      </c>
      <c r="I30" s="209" t="str">
        <f>HYPERLINK("#QN18_p!q18보PJOB2_T","문22-1-2_T")</f>
        <v>문22-1-2_T</v>
      </c>
      <c r="J30" s="209" t="str">
        <f>HYPERLINK("#QN19_p!q19보PJOB2_T","문22-1-2_T")</f>
        <v>문22-1-2_T</v>
      </c>
    </row>
    <row r="31" spans="2:10" ht="18" customHeight="1">
      <c r="B31" s="119" t="s">
        <v>1421</v>
      </c>
      <c r="C31" s="104" t="s">
        <v>1302</v>
      </c>
      <c r="D31" s="104" t="s">
        <v>1302</v>
      </c>
      <c r="E31" s="100" t="s">
        <v>1420</v>
      </c>
      <c r="F31" s="104" t="s">
        <v>1302</v>
      </c>
      <c r="G31" s="94" t="s">
        <v>44</v>
      </c>
      <c r="H31" s="206" t="str">
        <f>HYPERLINK("#CB_p!code보PJOB3_T","PJOB3_T")</f>
        <v>PJOB3_T</v>
      </c>
      <c r="I31" s="207" t="str">
        <f>HYPERLINK("#QN18_p!q18보PJOB3_T","문22-1-3_T")</f>
        <v>문22-1-3_T</v>
      </c>
      <c r="J31" s="207" t="str">
        <f>HYPERLINK("#QN19_p!q19보PJOB3_T","문22-1-3_T")</f>
        <v>문22-1-3_T</v>
      </c>
    </row>
    <row r="32" spans="2:10" ht="18" customHeight="1">
      <c r="B32" s="106" t="s">
        <v>1343</v>
      </c>
      <c r="C32" s="106" t="s">
        <v>1193</v>
      </c>
      <c r="D32" s="106" t="s">
        <v>1344</v>
      </c>
      <c r="E32" s="106" t="s">
        <v>1345</v>
      </c>
      <c r="F32" s="106" t="s">
        <v>1</v>
      </c>
      <c r="G32" s="107" t="s">
        <v>1359</v>
      </c>
      <c r="H32" s="202" t="str">
        <f>HYPERLINK("#CB_p!code보PHOMPOP","PHOMPOP")</f>
        <v>PHOMPOP</v>
      </c>
      <c r="I32" s="203" t="str">
        <f>HYPERLINK("#QN18_p!q18보PHOMPOP","HQ1")</f>
        <v>HQ1</v>
      </c>
      <c r="J32" s="203" t="str">
        <f>HYPERLINK("#QN19_p!q19보PHOMPOP","HQ1")</f>
        <v>HQ1</v>
      </c>
    </row>
    <row r="33" spans="2:10" ht="18" customHeight="1">
      <c r="B33" s="96" t="s">
        <v>1343</v>
      </c>
      <c r="C33" s="96" t="s">
        <v>1193</v>
      </c>
      <c r="D33" s="96" t="s">
        <v>1344</v>
      </c>
      <c r="E33" s="96" t="s">
        <v>1345</v>
      </c>
      <c r="F33" s="96" t="s">
        <v>1</v>
      </c>
      <c r="G33" s="97" t="s">
        <v>1360</v>
      </c>
      <c r="H33" s="204" t="str">
        <f>HYPERLINK("#CB_p!code보PRELATE1","PRELATE1")</f>
        <v>PRELATE1</v>
      </c>
      <c r="I33" s="205" t="str">
        <f>HYPERLINK("#QN18_p!q18보PRELATE1___PBRTB1","HQ2-1")</f>
        <v>HQ2-1</v>
      </c>
      <c r="J33" s="205"/>
    </row>
    <row r="34" spans="2:10" ht="18" customHeight="1">
      <c r="B34" s="101" t="s">
        <v>1343</v>
      </c>
      <c r="C34" s="101" t="s">
        <v>1193</v>
      </c>
      <c r="D34" s="101" t="s">
        <v>1344</v>
      </c>
      <c r="E34" s="101" t="s">
        <v>1345</v>
      </c>
      <c r="F34" s="101" t="s">
        <v>1410</v>
      </c>
      <c r="G34" s="91" t="s">
        <v>1361</v>
      </c>
      <c r="H34" s="208" t="str">
        <f>HYPERLINK("#CB_p!code보PGENDER1","PGENDER1")</f>
        <v>PGENDER1</v>
      </c>
      <c r="I34" s="209" t="str">
        <f>HYPERLINK("#QN18_p!q18보PRELATE1___PBRTB1","HQ2-1")</f>
        <v>HQ2-1</v>
      </c>
      <c r="J34" s="209"/>
    </row>
    <row r="35" spans="2:10" ht="18" customHeight="1">
      <c r="B35" s="101" t="s">
        <v>1343</v>
      </c>
      <c r="C35" s="101" t="s">
        <v>1193</v>
      </c>
      <c r="D35" s="101" t="s">
        <v>1344</v>
      </c>
      <c r="E35" s="101" t="s">
        <v>1345</v>
      </c>
      <c r="F35" s="101" t="s">
        <v>1410</v>
      </c>
      <c r="G35" s="91" t="s">
        <v>1362</v>
      </c>
      <c r="H35" s="208" t="str">
        <f>HYPERLINK("#CB_p!code보PBRTA1","PBRTA1")</f>
        <v>PBRTA1</v>
      </c>
      <c r="I35" s="209" t="str">
        <f>HYPERLINK("#QN18_p!q18보PRELATE1___PBRTB1","HQ2-1")</f>
        <v>HQ2-1</v>
      </c>
      <c r="J35" s="209"/>
    </row>
    <row r="36" spans="2:10" ht="18" customHeight="1">
      <c r="B36" s="99" t="s">
        <v>1343</v>
      </c>
      <c r="C36" s="99" t="s">
        <v>1193</v>
      </c>
      <c r="D36" s="99" t="s">
        <v>1344</v>
      </c>
      <c r="E36" s="99" t="s">
        <v>1345</v>
      </c>
      <c r="F36" s="99" t="s">
        <v>1302</v>
      </c>
      <c r="G36" s="94" t="s">
        <v>1363</v>
      </c>
      <c r="H36" s="206" t="str">
        <f>HYPERLINK("#CB_p!code보PBRTB1","PBRTB1")</f>
        <v>PBRTB1</v>
      </c>
      <c r="I36" s="207" t="str">
        <f>HYPERLINK("#QN18_p!q18보PRELATE1___PBRTB1","HQ2-1")</f>
        <v>HQ2-1</v>
      </c>
      <c r="J36" s="207"/>
    </row>
    <row r="37" spans="2:10" ht="18" customHeight="1">
      <c r="B37" s="96" t="s">
        <v>1343</v>
      </c>
      <c r="C37" s="96" t="s">
        <v>1193</v>
      </c>
      <c r="D37" s="96" t="s">
        <v>1344</v>
      </c>
      <c r="E37" s="96" t="s">
        <v>1345</v>
      </c>
      <c r="F37" s="96" t="s">
        <v>1</v>
      </c>
      <c r="G37" s="97" t="s">
        <v>1364</v>
      </c>
      <c r="H37" s="204" t="str">
        <f>HYPERLINK("#CB_p!code보PRELATE1","PRELATE2")</f>
        <v>PRELATE2</v>
      </c>
      <c r="I37" s="205" t="str">
        <f>HYPERLINK("#QN18_p!q18보PRELATE2___PBRTB2","HQ2-2")</f>
        <v>HQ2-2</v>
      </c>
      <c r="J37" s="205"/>
    </row>
    <row r="38" spans="2:10" ht="18" customHeight="1">
      <c r="B38" s="101" t="s">
        <v>1343</v>
      </c>
      <c r="C38" s="101" t="s">
        <v>1193</v>
      </c>
      <c r="D38" s="101" t="s">
        <v>1344</v>
      </c>
      <c r="E38" s="101" t="s">
        <v>1345</v>
      </c>
      <c r="F38" s="101" t="s">
        <v>1302</v>
      </c>
      <c r="G38" s="91" t="s">
        <v>1365</v>
      </c>
      <c r="H38" s="208" t="str">
        <f>HYPERLINK("#CB_p!code보PGENDER1","PGENDER2")</f>
        <v>PGENDER2</v>
      </c>
      <c r="I38" s="209" t="str">
        <f>HYPERLINK("#QN18_p!q18보PRELATE2___PBRTB2","HQ2-2")</f>
        <v>HQ2-2</v>
      </c>
      <c r="J38" s="209"/>
    </row>
    <row r="39" spans="2:10" ht="18" customHeight="1">
      <c r="B39" s="101" t="s">
        <v>1343</v>
      </c>
      <c r="C39" s="101" t="s">
        <v>1193</v>
      </c>
      <c r="D39" s="101" t="s">
        <v>1344</v>
      </c>
      <c r="E39" s="101" t="s">
        <v>1345</v>
      </c>
      <c r="F39" s="101" t="s">
        <v>1</v>
      </c>
      <c r="G39" s="91" t="s">
        <v>1366</v>
      </c>
      <c r="H39" s="208" t="str">
        <f>HYPERLINK("#CB_p!code보PBRTA1","PBRTA2")</f>
        <v>PBRTA2</v>
      </c>
      <c r="I39" s="209" t="str">
        <f>HYPERLINK("#QN18_p!q18보PRELATE2___PBRTB2","HQ2-2")</f>
        <v>HQ2-2</v>
      </c>
      <c r="J39" s="209"/>
    </row>
    <row r="40" spans="2:10" ht="18" customHeight="1">
      <c r="B40" s="99" t="s">
        <v>1343</v>
      </c>
      <c r="C40" s="99" t="s">
        <v>1193</v>
      </c>
      <c r="D40" s="99" t="s">
        <v>1344</v>
      </c>
      <c r="E40" s="99" t="s">
        <v>1345</v>
      </c>
      <c r="F40" s="99" t="s">
        <v>1410</v>
      </c>
      <c r="G40" s="94" t="s">
        <v>1367</v>
      </c>
      <c r="H40" s="206" t="str">
        <f>HYPERLINK("#CB_p!code보PBRTB1","PBRTB2")</f>
        <v>PBRTB2</v>
      </c>
      <c r="I40" s="207" t="str">
        <f>HYPERLINK("#QN18_p!q18보PRELATE2___PBRTB2","HQ2-2")</f>
        <v>HQ2-2</v>
      </c>
      <c r="J40" s="207"/>
    </row>
    <row r="41" spans="2:10" ht="18" customHeight="1">
      <c r="B41" s="96" t="s">
        <v>1343</v>
      </c>
      <c r="C41" s="96" t="s">
        <v>1193</v>
      </c>
      <c r="D41" s="96" t="s">
        <v>1344</v>
      </c>
      <c r="E41" s="96" t="s">
        <v>1345</v>
      </c>
      <c r="F41" s="96" t="s">
        <v>1410</v>
      </c>
      <c r="G41" s="97" t="s">
        <v>1368</v>
      </c>
      <c r="H41" s="204" t="str">
        <f>HYPERLINK("#CB_p!code보PRELATE1","PRELATE3")</f>
        <v>PRELATE3</v>
      </c>
      <c r="I41" s="205" t="str">
        <f>HYPERLINK("#QN18_p!q18보PRELATE3___PBRTB3","HQ2-3")</f>
        <v>HQ2-3</v>
      </c>
      <c r="J41" s="205"/>
    </row>
    <row r="42" spans="2:10" ht="18" customHeight="1">
      <c r="B42" s="101" t="s">
        <v>1343</v>
      </c>
      <c r="C42" s="101" t="s">
        <v>1193</v>
      </c>
      <c r="D42" s="101" t="s">
        <v>1344</v>
      </c>
      <c r="E42" s="101" t="s">
        <v>1345</v>
      </c>
      <c r="F42" s="101" t="s">
        <v>1</v>
      </c>
      <c r="G42" s="91" t="s">
        <v>1369</v>
      </c>
      <c r="H42" s="208" t="str">
        <f>HYPERLINK("#CB_p!code보PGENDER1","PGENDER3")</f>
        <v>PGENDER3</v>
      </c>
      <c r="I42" s="209" t="str">
        <f>HYPERLINK("#QN18_p!q18보PRELATE3___PBRTB3","HQ2-3")</f>
        <v>HQ2-3</v>
      </c>
      <c r="J42" s="209"/>
    </row>
    <row r="43" spans="2:10" ht="18" customHeight="1">
      <c r="B43" s="101" t="s">
        <v>1343</v>
      </c>
      <c r="C43" s="101" t="s">
        <v>1193</v>
      </c>
      <c r="D43" s="101" t="s">
        <v>1344</v>
      </c>
      <c r="E43" s="101" t="s">
        <v>1345</v>
      </c>
      <c r="F43" s="101" t="s">
        <v>1302</v>
      </c>
      <c r="G43" s="91" t="s">
        <v>1370</v>
      </c>
      <c r="H43" s="208" t="str">
        <f>HYPERLINK("#CB_p!code보PBRTA1","PBRTA3")</f>
        <v>PBRTA3</v>
      </c>
      <c r="I43" s="209" t="str">
        <f>HYPERLINK("#QN18_p!q18보PRELATE3___PBRTB3","HQ2-3")</f>
        <v>HQ2-3</v>
      </c>
      <c r="J43" s="209"/>
    </row>
    <row r="44" spans="2:10" ht="18" customHeight="1">
      <c r="B44" s="99" t="s">
        <v>1343</v>
      </c>
      <c r="C44" s="99" t="s">
        <v>1193</v>
      </c>
      <c r="D44" s="99" t="s">
        <v>1344</v>
      </c>
      <c r="E44" s="99" t="s">
        <v>1345</v>
      </c>
      <c r="F44" s="99" t="s">
        <v>1302</v>
      </c>
      <c r="G44" s="94" t="s">
        <v>1371</v>
      </c>
      <c r="H44" s="206" t="str">
        <f>HYPERLINK("#CB_p!code보PBRTB1","PBRTB3")</f>
        <v>PBRTB3</v>
      </c>
      <c r="I44" s="207" t="str">
        <f>HYPERLINK("#QN18_p!q18보PRELATE3___PBRTB3","HQ2-3")</f>
        <v>HQ2-3</v>
      </c>
      <c r="J44" s="207"/>
    </row>
    <row r="45" spans="2:10" ht="18" customHeight="1">
      <c r="B45" s="96" t="s">
        <v>1343</v>
      </c>
      <c r="C45" s="96" t="s">
        <v>1193</v>
      </c>
      <c r="D45" s="96" t="s">
        <v>1344</v>
      </c>
      <c r="E45" s="96" t="s">
        <v>1345</v>
      </c>
      <c r="F45" s="96" t="s">
        <v>1</v>
      </c>
      <c r="G45" s="97" t="s">
        <v>1372</v>
      </c>
      <c r="H45" s="204" t="str">
        <f>HYPERLINK("#CB_p!code보PRELATE1","PRELATE4")</f>
        <v>PRELATE4</v>
      </c>
      <c r="I45" s="205" t="str">
        <f>HYPERLINK("#QN18_p!q18보PRELATE4___PBRTB4","HQ2-4")</f>
        <v>HQ2-4</v>
      </c>
      <c r="J45" s="205"/>
    </row>
    <row r="46" spans="2:10" ht="18" customHeight="1">
      <c r="B46" s="101" t="s">
        <v>1343</v>
      </c>
      <c r="C46" s="101" t="s">
        <v>1193</v>
      </c>
      <c r="D46" s="101" t="s">
        <v>1344</v>
      </c>
      <c r="E46" s="101" t="s">
        <v>1345</v>
      </c>
      <c r="F46" s="101" t="s">
        <v>1410</v>
      </c>
      <c r="G46" s="91" t="s">
        <v>1373</v>
      </c>
      <c r="H46" s="208" t="str">
        <f>HYPERLINK("#CB_p!code보PGENDER1","PGENDER4")</f>
        <v>PGENDER4</v>
      </c>
      <c r="I46" s="209" t="str">
        <f>HYPERLINK("#QN18_p!q18보PRELATE4___PBRTB4","HQ2-4")</f>
        <v>HQ2-4</v>
      </c>
      <c r="J46" s="209"/>
    </row>
    <row r="47" spans="2:10" ht="18" customHeight="1">
      <c r="B47" s="101" t="s">
        <v>1343</v>
      </c>
      <c r="C47" s="101" t="s">
        <v>1193</v>
      </c>
      <c r="D47" s="101" t="s">
        <v>1344</v>
      </c>
      <c r="E47" s="101" t="s">
        <v>1345</v>
      </c>
      <c r="F47" s="101" t="s">
        <v>1302</v>
      </c>
      <c r="G47" s="91" t="s">
        <v>1374</v>
      </c>
      <c r="H47" s="208" t="str">
        <f>HYPERLINK("#CB_p!code보PBRTA1","PBRTA4")</f>
        <v>PBRTA4</v>
      </c>
      <c r="I47" s="209" t="str">
        <f>HYPERLINK("#QN18_p!q18보PRELATE4___PBRTB4","HQ2-4")</f>
        <v>HQ2-4</v>
      </c>
      <c r="J47" s="209"/>
    </row>
    <row r="48" spans="2:10" ht="18" customHeight="1">
      <c r="B48" s="99" t="s">
        <v>1343</v>
      </c>
      <c r="C48" s="99" t="s">
        <v>1193</v>
      </c>
      <c r="D48" s="99" t="s">
        <v>1344</v>
      </c>
      <c r="E48" s="99" t="s">
        <v>1345</v>
      </c>
      <c r="F48" s="99" t="s">
        <v>1</v>
      </c>
      <c r="G48" s="94" t="s">
        <v>1375</v>
      </c>
      <c r="H48" s="206" t="str">
        <f>HYPERLINK("#CB_p!code보PBRTB1","PBRTB4")</f>
        <v>PBRTB4</v>
      </c>
      <c r="I48" s="207" t="str">
        <f>HYPERLINK("#QN18_p!q18보PRELATE4___PBRTB4","HQ2-4")</f>
        <v>HQ2-4</v>
      </c>
      <c r="J48" s="207"/>
    </row>
    <row r="49" spans="2:10" ht="18" customHeight="1">
      <c r="B49" s="96" t="s">
        <v>1343</v>
      </c>
      <c r="C49" s="96" t="s">
        <v>1193</v>
      </c>
      <c r="D49" s="96" t="s">
        <v>1344</v>
      </c>
      <c r="E49" s="96" t="s">
        <v>1345</v>
      </c>
      <c r="F49" s="96" t="s">
        <v>1302</v>
      </c>
      <c r="G49" s="97" t="s">
        <v>1376</v>
      </c>
      <c r="H49" s="204" t="str">
        <f>HYPERLINK("#CB_p!code보PRELATE1","PRELATE5")</f>
        <v>PRELATE5</v>
      </c>
      <c r="I49" s="205" t="str">
        <f>HYPERLINK("#QN18_p!q18보PRELATE5___PBRTB5","HQ2-5")</f>
        <v>HQ2-5</v>
      </c>
      <c r="J49" s="205"/>
    </row>
    <row r="50" spans="2:10" ht="18" customHeight="1">
      <c r="B50" s="101" t="s">
        <v>1343</v>
      </c>
      <c r="C50" s="101" t="s">
        <v>1193</v>
      </c>
      <c r="D50" s="101" t="s">
        <v>1344</v>
      </c>
      <c r="E50" s="101" t="s">
        <v>1345</v>
      </c>
      <c r="F50" s="101" t="s">
        <v>1410</v>
      </c>
      <c r="G50" s="91" t="s">
        <v>1377</v>
      </c>
      <c r="H50" s="208" t="str">
        <f>HYPERLINK("#CB_p!code보PGENDER1","PGENDER5")</f>
        <v>PGENDER5</v>
      </c>
      <c r="I50" s="209" t="str">
        <f>HYPERLINK("#QN18_p!q18보PRELATE5___PBRTB5","HQ2-5")</f>
        <v>HQ2-5</v>
      </c>
      <c r="J50" s="209"/>
    </row>
    <row r="51" spans="2:10" ht="18" customHeight="1">
      <c r="B51" s="101" t="s">
        <v>1343</v>
      </c>
      <c r="C51" s="101" t="s">
        <v>1193</v>
      </c>
      <c r="D51" s="101" t="s">
        <v>1344</v>
      </c>
      <c r="E51" s="101" t="s">
        <v>1345</v>
      </c>
      <c r="F51" s="101" t="s">
        <v>1302</v>
      </c>
      <c r="G51" s="91" t="s">
        <v>1378</v>
      </c>
      <c r="H51" s="208" t="str">
        <f>HYPERLINK("#CB_p!code보PBRTA1","PBRTA5")</f>
        <v>PBRTA5</v>
      </c>
      <c r="I51" s="209" t="str">
        <f>HYPERLINK("#QN18_p!q18보PRELATE5___PBRTB5","HQ2-5")</f>
        <v>HQ2-5</v>
      </c>
      <c r="J51" s="209"/>
    </row>
    <row r="52" spans="2:10" ht="18" customHeight="1">
      <c r="B52" s="99" t="s">
        <v>1343</v>
      </c>
      <c r="C52" s="99" t="s">
        <v>1193</v>
      </c>
      <c r="D52" s="99" t="s">
        <v>1344</v>
      </c>
      <c r="E52" s="99" t="s">
        <v>1345</v>
      </c>
      <c r="F52" s="99" t="s">
        <v>1410</v>
      </c>
      <c r="G52" s="94" t="s">
        <v>1379</v>
      </c>
      <c r="H52" s="206" t="str">
        <f>HYPERLINK("#CB_p!code보PBRTB1","PBRTB5")</f>
        <v>PBRTB5</v>
      </c>
      <c r="I52" s="207" t="str">
        <f>HYPERLINK("#QN18_p!q18보PRELATE5___PBRTB5","HQ2-5")</f>
        <v>HQ2-5</v>
      </c>
      <c r="J52" s="207"/>
    </row>
    <row r="53" spans="2:10" ht="18" customHeight="1">
      <c r="B53" s="96" t="s">
        <v>1343</v>
      </c>
      <c r="C53" s="96" t="s">
        <v>1193</v>
      </c>
      <c r="D53" s="96" t="s">
        <v>1344</v>
      </c>
      <c r="E53" s="96" t="s">
        <v>1345</v>
      </c>
      <c r="F53" s="96" t="s">
        <v>1302</v>
      </c>
      <c r="G53" s="97" t="s">
        <v>1380</v>
      </c>
      <c r="H53" s="204" t="str">
        <f>HYPERLINK("#CB_p!code보PRELATE1","PRELATE6")</f>
        <v>PRELATE6</v>
      </c>
      <c r="I53" s="205" t="str">
        <f>HYPERLINK("#QN18_p!q18보PRELATE6___PBRTB6","HQ2-6")</f>
        <v>HQ2-6</v>
      </c>
      <c r="J53" s="205"/>
    </row>
    <row r="54" spans="2:10" ht="18" customHeight="1">
      <c r="B54" s="101" t="s">
        <v>1343</v>
      </c>
      <c r="C54" s="101" t="s">
        <v>1193</v>
      </c>
      <c r="D54" s="101" t="s">
        <v>1344</v>
      </c>
      <c r="E54" s="101" t="s">
        <v>1345</v>
      </c>
      <c r="F54" s="101" t="s">
        <v>1302</v>
      </c>
      <c r="G54" s="91" t="s">
        <v>1381</v>
      </c>
      <c r="H54" s="208" t="str">
        <f>HYPERLINK("#CB_p!code보PGENDER1","PGENDER6")</f>
        <v>PGENDER6</v>
      </c>
      <c r="I54" s="209" t="str">
        <f>HYPERLINK("#QN18_p!q18보PRELATE6___PBRTB6","HQ2-6")</f>
        <v>HQ2-6</v>
      </c>
      <c r="J54" s="209"/>
    </row>
    <row r="55" spans="2:10" ht="18" customHeight="1">
      <c r="B55" s="101" t="s">
        <v>1343</v>
      </c>
      <c r="C55" s="101" t="s">
        <v>1193</v>
      </c>
      <c r="D55" s="101" t="s">
        <v>1344</v>
      </c>
      <c r="E55" s="101" t="s">
        <v>1345</v>
      </c>
      <c r="F55" s="101" t="s">
        <v>1302</v>
      </c>
      <c r="G55" s="91" t="s">
        <v>1382</v>
      </c>
      <c r="H55" s="208" t="str">
        <f>HYPERLINK("#CB_p!code보PBRTA1","PBRTA6")</f>
        <v>PBRTA6</v>
      </c>
      <c r="I55" s="209" t="str">
        <f>HYPERLINK("#QN18_p!q18보PRELATE6___PBRTB6","HQ2-6")</f>
        <v>HQ2-6</v>
      </c>
      <c r="J55" s="209"/>
    </row>
    <row r="56" spans="2:10" ht="18" customHeight="1">
      <c r="B56" s="99" t="s">
        <v>1343</v>
      </c>
      <c r="C56" s="99" t="s">
        <v>1193</v>
      </c>
      <c r="D56" s="99" t="s">
        <v>1344</v>
      </c>
      <c r="E56" s="99" t="s">
        <v>1345</v>
      </c>
      <c r="F56" s="99" t="s">
        <v>1302</v>
      </c>
      <c r="G56" s="94" t="s">
        <v>1383</v>
      </c>
      <c r="H56" s="206" t="str">
        <f>HYPERLINK("#CB_p!code보PBRTB1","PBRTB6")</f>
        <v>PBRTB6</v>
      </c>
      <c r="I56" s="207" t="str">
        <f>HYPERLINK("#QN18_p!q18보PRELATE6___PBRTB6","HQ2-6")</f>
        <v>HQ2-6</v>
      </c>
      <c r="J56" s="207"/>
    </row>
    <row r="57" spans="2:10" ht="18" customHeight="1">
      <c r="B57" s="96" t="s">
        <v>1343</v>
      </c>
      <c r="C57" s="96" t="s">
        <v>1193</v>
      </c>
      <c r="D57" s="96" t="s">
        <v>1344</v>
      </c>
      <c r="E57" s="96" t="s">
        <v>1345</v>
      </c>
      <c r="F57" s="96" t="s">
        <v>1302</v>
      </c>
      <c r="G57" s="97" t="s">
        <v>1384</v>
      </c>
      <c r="H57" s="204" t="str">
        <f>HYPERLINK("#CB_p!code보PRELATE1","PRELATE7")</f>
        <v>PRELATE7</v>
      </c>
      <c r="I57" s="205" t="str">
        <f>HYPERLINK("#QN18_p!q18보PRELATE7___PBRTB7","HQ2-7")</f>
        <v>HQ2-7</v>
      </c>
      <c r="J57" s="205"/>
    </row>
    <row r="58" spans="2:10" ht="18" customHeight="1">
      <c r="B58" s="101" t="s">
        <v>1343</v>
      </c>
      <c r="C58" s="101" t="s">
        <v>1193</v>
      </c>
      <c r="D58" s="101" t="s">
        <v>1344</v>
      </c>
      <c r="E58" s="101" t="s">
        <v>1345</v>
      </c>
      <c r="F58" s="101" t="s">
        <v>1302</v>
      </c>
      <c r="G58" s="91" t="s">
        <v>1385</v>
      </c>
      <c r="H58" s="208" t="str">
        <f>HYPERLINK("#CB_p!code보PGENDER1","PGENDER7")</f>
        <v>PGENDER7</v>
      </c>
      <c r="I58" s="209" t="str">
        <f>HYPERLINK("#QN18_p!q18보PRELATE7___PBRTB7","HQ2-7")</f>
        <v>HQ2-7</v>
      </c>
      <c r="J58" s="209"/>
    </row>
    <row r="59" spans="2:10" ht="18" customHeight="1">
      <c r="B59" s="101" t="s">
        <v>1343</v>
      </c>
      <c r="C59" s="101" t="s">
        <v>1193</v>
      </c>
      <c r="D59" s="101" t="s">
        <v>1344</v>
      </c>
      <c r="E59" s="101" t="s">
        <v>1345</v>
      </c>
      <c r="F59" s="101" t="s">
        <v>1302</v>
      </c>
      <c r="G59" s="91" t="s">
        <v>1386</v>
      </c>
      <c r="H59" s="208" t="str">
        <f>HYPERLINK("#CB_p!code보PBRTA1","PBRTA7")</f>
        <v>PBRTA7</v>
      </c>
      <c r="I59" s="209" t="str">
        <f>HYPERLINK("#QN18_p!q18보PRELATE7___PBRTB7","HQ2-7")</f>
        <v>HQ2-7</v>
      </c>
      <c r="J59" s="209"/>
    </row>
    <row r="60" spans="2:10" ht="18" customHeight="1">
      <c r="B60" s="99" t="s">
        <v>1343</v>
      </c>
      <c r="C60" s="99" t="s">
        <v>1193</v>
      </c>
      <c r="D60" s="99" t="s">
        <v>1344</v>
      </c>
      <c r="E60" s="99" t="s">
        <v>1345</v>
      </c>
      <c r="F60" s="99" t="s">
        <v>1302</v>
      </c>
      <c r="G60" s="94" t="s">
        <v>1387</v>
      </c>
      <c r="H60" s="206" t="str">
        <f>HYPERLINK("#CB_p!code보PBRTB1","PBRTB7")</f>
        <v>PBRTB7</v>
      </c>
      <c r="I60" s="207" t="str">
        <f>HYPERLINK("#QN18_p!q18보PRELATE7___PBRTB7","HQ2-7")</f>
        <v>HQ2-7</v>
      </c>
      <c r="J60" s="207"/>
    </row>
    <row r="61" spans="2:10" ht="18" customHeight="1">
      <c r="B61" s="96" t="s">
        <v>1343</v>
      </c>
      <c r="C61" s="96" t="s">
        <v>1193</v>
      </c>
      <c r="D61" s="96" t="s">
        <v>1344</v>
      </c>
      <c r="E61" s="96" t="s">
        <v>1345</v>
      </c>
      <c r="F61" s="96" t="s">
        <v>1302</v>
      </c>
      <c r="G61" s="97" t="s">
        <v>1388</v>
      </c>
      <c r="H61" s="204" t="str">
        <f>HYPERLINK("#CB_p!code보PRELATE1","PRELATE8")</f>
        <v>PRELATE8</v>
      </c>
      <c r="I61" s="205" t="str">
        <f>HYPERLINK("#QN18_p!q18보PRELATE8___PBRTB8","HQ2-8")</f>
        <v>HQ2-8</v>
      </c>
      <c r="J61" s="205"/>
    </row>
    <row r="62" spans="2:10" ht="18" customHeight="1">
      <c r="B62" s="101" t="s">
        <v>1343</v>
      </c>
      <c r="C62" s="101" t="s">
        <v>1193</v>
      </c>
      <c r="D62" s="101" t="s">
        <v>1344</v>
      </c>
      <c r="E62" s="101" t="s">
        <v>1345</v>
      </c>
      <c r="F62" s="101" t="s">
        <v>1302</v>
      </c>
      <c r="G62" s="91" t="s">
        <v>1389</v>
      </c>
      <c r="H62" s="208" t="str">
        <f>HYPERLINK("#CB_p!code보PGENDER1","PGENDER8")</f>
        <v>PGENDER8</v>
      </c>
      <c r="I62" s="209" t="str">
        <f>HYPERLINK("#QN18_p!q18보PRELATE8___PBRTB8","HQ2-8")</f>
        <v>HQ2-8</v>
      </c>
      <c r="J62" s="209"/>
    </row>
    <row r="63" spans="2:10" ht="18" customHeight="1">
      <c r="B63" s="101" t="s">
        <v>1343</v>
      </c>
      <c r="C63" s="101" t="s">
        <v>1193</v>
      </c>
      <c r="D63" s="101" t="s">
        <v>1344</v>
      </c>
      <c r="E63" s="101" t="s">
        <v>1345</v>
      </c>
      <c r="F63" s="101" t="s">
        <v>1302</v>
      </c>
      <c r="G63" s="91" t="s">
        <v>1390</v>
      </c>
      <c r="H63" s="208" t="str">
        <f>HYPERLINK("#CB_p!code보PBRTA1","PBRTA8")</f>
        <v>PBRTA8</v>
      </c>
      <c r="I63" s="209" t="str">
        <f>HYPERLINK("#QN18_p!q18보PRELATE8___PBRTB8","HQ2-8")</f>
        <v>HQ2-8</v>
      </c>
      <c r="J63" s="209"/>
    </row>
    <row r="64" spans="2:10" ht="18" customHeight="1">
      <c r="B64" s="99" t="s">
        <v>1343</v>
      </c>
      <c r="C64" s="99" t="s">
        <v>1193</v>
      </c>
      <c r="D64" s="99" t="s">
        <v>1344</v>
      </c>
      <c r="E64" s="99" t="s">
        <v>1345</v>
      </c>
      <c r="F64" s="99" t="s">
        <v>1302</v>
      </c>
      <c r="G64" s="94" t="s">
        <v>1391</v>
      </c>
      <c r="H64" s="206" t="str">
        <f>HYPERLINK("#CB_p!code보PBRTB1","PBRTB8")</f>
        <v>PBRTB8</v>
      </c>
      <c r="I64" s="207" t="str">
        <f>HYPERLINK("#QN18_p!q18보PRELATE8___PBRTB8","HQ2-8")</f>
        <v>HQ2-8</v>
      </c>
      <c r="J64" s="207"/>
    </row>
    <row r="65" spans="2:10" ht="18" customHeight="1">
      <c r="B65" s="96" t="s">
        <v>1343</v>
      </c>
      <c r="C65" s="96" t="s">
        <v>1193</v>
      </c>
      <c r="D65" s="96" t="s">
        <v>1344</v>
      </c>
      <c r="E65" s="96" t="s">
        <v>1345</v>
      </c>
      <c r="F65" s="96" t="s">
        <v>1</v>
      </c>
      <c r="G65" s="97" t="s">
        <v>1360</v>
      </c>
      <c r="H65" s="210" t="str">
        <f>HYPERLINK("#CB_p!code보PFRELATION1","PFRELATION1")</f>
        <v>PFRELATION1</v>
      </c>
      <c r="I65" s="205"/>
      <c r="J65" s="205" t="str">
        <f>HYPERLINK("#QN19_p!q19보PFRELATION1___PFBRTB1","HQ2-1")</f>
        <v>HQ2-1</v>
      </c>
    </row>
    <row r="66" spans="2:10" ht="18" customHeight="1">
      <c r="B66" s="101" t="s">
        <v>1343</v>
      </c>
      <c r="C66" s="101" t="s">
        <v>1193</v>
      </c>
      <c r="D66" s="101" t="s">
        <v>1344</v>
      </c>
      <c r="E66" s="101" t="s">
        <v>1345</v>
      </c>
      <c r="F66" s="101" t="s">
        <v>1410</v>
      </c>
      <c r="G66" s="91" t="s">
        <v>1361</v>
      </c>
      <c r="H66" s="211" t="str">
        <f>HYPERLINK("#CB_p!code보PFGENDER1","PFGENDER1")</f>
        <v>PFGENDER1</v>
      </c>
      <c r="I66" s="209"/>
      <c r="J66" s="209" t="str">
        <f>HYPERLINK("#QN19_p!q19보PFRELATION1___PFBRTB1","HQ2-2")</f>
        <v>HQ2-2</v>
      </c>
    </row>
    <row r="67" spans="2:10" ht="18" customHeight="1">
      <c r="B67" s="101" t="s">
        <v>1343</v>
      </c>
      <c r="C67" s="101" t="s">
        <v>1193</v>
      </c>
      <c r="D67" s="101" t="s">
        <v>1344</v>
      </c>
      <c r="E67" s="101" t="s">
        <v>1345</v>
      </c>
      <c r="F67" s="101" t="s">
        <v>1410</v>
      </c>
      <c r="G67" s="91" t="s">
        <v>1362</v>
      </c>
      <c r="H67" s="211" t="str">
        <f>HYPERLINK("#CB_p!code보PFBRTA1","PFBRTA1")</f>
        <v>PFBRTA1</v>
      </c>
      <c r="I67" s="209"/>
      <c r="J67" s="209" t="str">
        <f>HYPERLINK("#QN19_p!q19보PFRELATION1___PFBRTB1","HQ2-3")</f>
        <v>HQ2-3</v>
      </c>
    </row>
    <row r="68" spans="2:10" ht="18" customHeight="1">
      <c r="B68" s="99" t="s">
        <v>1343</v>
      </c>
      <c r="C68" s="99" t="s">
        <v>1193</v>
      </c>
      <c r="D68" s="99" t="s">
        <v>1344</v>
      </c>
      <c r="E68" s="99" t="s">
        <v>1345</v>
      </c>
      <c r="F68" s="99" t="s">
        <v>1302</v>
      </c>
      <c r="G68" s="94" t="s">
        <v>1363</v>
      </c>
      <c r="H68" s="212" t="str">
        <f>HYPERLINK("#CB_p!code보PFBRTB1","PFBRTB1")</f>
        <v>PFBRTB1</v>
      </c>
      <c r="I68" s="207"/>
      <c r="J68" s="207" t="str">
        <f>HYPERLINK("#QN19_p!q19보PFRELATION1___PFBRTB1","HQ2-3")</f>
        <v>HQ2-3</v>
      </c>
    </row>
    <row r="69" spans="2:10" ht="18" customHeight="1">
      <c r="B69" s="96" t="s">
        <v>1343</v>
      </c>
      <c r="C69" s="96" t="s">
        <v>1193</v>
      </c>
      <c r="D69" s="96" t="s">
        <v>1344</v>
      </c>
      <c r="E69" s="96" t="s">
        <v>1345</v>
      </c>
      <c r="F69" s="96" t="s">
        <v>1</v>
      </c>
      <c r="G69" s="97" t="s">
        <v>1364</v>
      </c>
      <c r="H69" s="210" t="str">
        <f>HYPERLINK("#CB_p!code보PFRELATION1","PFRELATION2")</f>
        <v>PFRELATION2</v>
      </c>
      <c r="I69" s="205"/>
      <c r="J69" s="205" t="str">
        <f>HYPERLINK("#QN19_p!q19보PFRELATION2___PFBRTB2","HQ2-1")</f>
        <v>HQ2-1</v>
      </c>
    </row>
    <row r="70" spans="2:10" ht="18" customHeight="1">
      <c r="B70" s="101" t="s">
        <v>1343</v>
      </c>
      <c r="C70" s="101" t="s">
        <v>1193</v>
      </c>
      <c r="D70" s="101" t="s">
        <v>1344</v>
      </c>
      <c r="E70" s="101" t="s">
        <v>1345</v>
      </c>
      <c r="F70" s="101" t="s">
        <v>1302</v>
      </c>
      <c r="G70" s="91" t="s">
        <v>1365</v>
      </c>
      <c r="H70" s="211" t="str">
        <f>HYPERLINK("#CB_p!code보PFGENDER1","PFGENDER2")</f>
        <v>PFGENDER2</v>
      </c>
      <c r="I70" s="209"/>
      <c r="J70" s="209" t="str">
        <f>HYPERLINK("#QN19_p!q19보PFRELATION2___PFBRTB2","HQ2-2")</f>
        <v>HQ2-2</v>
      </c>
    </row>
    <row r="71" spans="2:10" ht="18" customHeight="1">
      <c r="B71" s="101" t="s">
        <v>1343</v>
      </c>
      <c r="C71" s="101" t="s">
        <v>1193</v>
      </c>
      <c r="D71" s="101" t="s">
        <v>1344</v>
      </c>
      <c r="E71" s="101" t="s">
        <v>1345</v>
      </c>
      <c r="F71" s="101" t="s">
        <v>1</v>
      </c>
      <c r="G71" s="91" t="s">
        <v>1366</v>
      </c>
      <c r="H71" s="211" t="str">
        <f>HYPERLINK("#CB_p!code보PFBRTA1","PFBRTA2")</f>
        <v>PFBRTA2</v>
      </c>
      <c r="I71" s="209"/>
      <c r="J71" s="209" t="str">
        <f>HYPERLINK("#QN19_p!q19보PFRELATION2___PFBRTB2","HQ2-3")</f>
        <v>HQ2-3</v>
      </c>
    </row>
    <row r="72" spans="2:10" ht="18" customHeight="1">
      <c r="B72" s="99" t="s">
        <v>1343</v>
      </c>
      <c r="C72" s="99" t="s">
        <v>1193</v>
      </c>
      <c r="D72" s="99" t="s">
        <v>1344</v>
      </c>
      <c r="E72" s="99" t="s">
        <v>1345</v>
      </c>
      <c r="F72" s="99" t="s">
        <v>1410</v>
      </c>
      <c r="G72" s="94" t="s">
        <v>1367</v>
      </c>
      <c r="H72" s="212" t="str">
        <f>HYPERLINK("#CB_p!code보PFBRTB1","PFBRTB2")</f>
        <v>PFBRTB2</v>
      </c>
      <c r="I72" s="207"/>
      <c r="J72" s="207" t="str">
        <f>HYPERLINK("#QN19_p!q19보PFRELATION2___PFBRTB2","HQ2-3")</f>
        <v>HQ2-3</v>
      </c>
    </row>
    <row r="73" spans="2:10" ht="18" customHeight="1">
      <c r="B73" s="96" t="s">
        <v>1343</v>
      </c>
      <c r="C73" s="96" t="s">
        <v>1193</v>
      </c>
      <c r="D73" s="96" t="s">
        <v>1344</v>
      </c>
      <c r="E73" s="96" t="s">
        <v>1345</v>
      </c>
      <c r="F73" s="96" t="s">
        <v>1410</v>
      </c>
      <c r="G73" s="97" t="s">
        <v>1368</v>
      </c>
      <c r="H73" s="210" t="str">
        <f>HYPERLINK("#CB_p!code보PFRELATION1","PFRELATION3")</f>
        <v>PFRELATION3</v>
      </c>
      <c r="I73" s="205"/>
      <c r="J73" s="205" t="str">
        <f>HYPERLINK("#QN19_p!q19보PFRELATION3___PFBRTB3","HQ2-1")</f>
        <v>HQ2-1</v>
      </c>
    </row>
    <row r="74" spans="2:10" ht="18" customHeight="1">
      <c r="B74" s="101" t="s">
        <v>1343</v>
      </c>
      <c r="C74" s="101" t="s">
        <v>1193</v>
      </c>
      <c r="D74" s="101" t="s">
        <v>1344</v>
      </c>
      <c r="E74" s="101" t="s">
        <v>1345</v>
      </c>
      <c r="F74" s="101" t="s">
        <v>1</v>
      </c>
      <c r="G74" s="91" t="s">
        <v>1369</v>
      </c>
      <c r="H74" s="211" t="str">
        <f>HYPERLINK("#CB_p!code보PFGENDER1","PFGENDER3")</f>
        <v>PFGENDER3</v>
      </c>
      <c r="I74" s="209"/>
      <c r="J74" s="209" t="str">
        <f>HYPERLINK("#QN19_p!q19보PFRELATION3___PFBRTB3","HQ2-2")</f>
        <v>HQ2-2</v>
      </c>
    </row>
    <row r="75" spans="2:10" ht="18" customHeight="1">
      <c r="B75" s="101" t="s">
        <v>1343</v>
      </c>
      <c r="C75" s="101" t="s">
        <v>1193</v>
      </c>
      <c r="D75" s="101" t="s">
        <v>1344</v>
      </c>
      <c r="E75" s="101" t="s">
        <v>1345</v>
      </c>
      <c r="F75" s="101" t="s">
        <v>1302</v>
      </c>
      <c r="G75" s="91" t="s">
        <v>1370</v>
      </c>
      <c r="H75" s="211" t="str">
        <f>HYPERLINK("#CB_p!code보PFBRTA1","PFBRTA3")</f>
        <v>PFBRTA3</v>
      </c>
      <c r="I75" s="209"/>
      <c r="J75" s="209" t="str">
        <f>HYPERLINK("#QN19_p!q19보PFRELATION3___PFBRTB3","HQ2-3")</f>
        <v>HQ2-3</v>
      </c>
    </row>
    <row r="76" spans="2:10" ht="18" customHeight="1">
      <c r="B76" s="99" t="s">
        <v>1343</v>
      </c>
      <c r="C76" s="99" t="s">
        <v>1193</v>
      </c>
      <c r="D76" s="99" t="s">
        <v>1344</v>
      </c>
      <c r="E76" s="99" t="s">
        <v>1345</v>
      </c>
      <c r="F76" s="99" t="s">
        <v>1302</v>
      </c>
      <c r="G76" s="94" t="s">
        <v>1371</v>
      </c>
      <c r="H76" s="212" t="str">
        <f>HYPERLINK("#CB_p!code보PFBRTB1","PFBRTB3")</f>
        <v>PFBRTB3</v>
      </c>
      <c r="I76" s="207"/>
      <c r="J76" s="207" t="str">
        <f>HYPERLINK("#QN19_p!q19보PFRELATION3___PFBRTB3","HQ2-3")</f>
        <v>HQ2-3</v>
      </c>
    </row>
    <row r="77" spans="2:10" ht="18" customHeight="1">
      <c r="B77" s="96" t="s">
        <v>1343</v>
      </c>
      <c r="C77" s="96" t="s">
        <v>1193</v>
      </c>
      <c r="D77" s="96" t="s">
        <v>1344</v>
      </c>
      <c r="E77" s="96" t="s">
        <v>1345</v>
      </c>
      <c r="F77" s="96" t="s">
        <v>1</v>
      </c>
      <c r="G77" s="97" t="s">
        <v>1372</v>
      </c>
      <c r="H77" s="210" t="str">
        <f>HYPERLINK("#CB_p!code보PFRELATION1","PFRELATION4")</f>
        <v>PFRELATION4</v>
      </c>
      <c r="I77" s="205"/>
      <c r="J77" s="205" t="str">
        <f>HYPERLINK("#QN19_p!q19보PFRELATION4___PFBRTB4","HQ2-1")</f>
        <v>HQ2-1</v>
      </c>
    </row>
    <row r="78" spans="2:10" ht="18" customHeight="1">
      <c r="B78" s="101" t="s">
        <v>1343</v>
      </c>
      <c r="C78" s="101" t="s">
        <v>1193</v>
      </c>
      <c r="D78" s="101" t="s">
        <v>1344</v>
      </c>
      <c r="E78" s="101" t="s">
        <v>1345</v>
      </c>
      <c r="F78" s="101" t="s">
        <v>1410</v>
      </c>
      <c r="G78" s="91" t="s">
        <v>1373</v>
      </c>
      <c r="H78" s="211" t="str">
        <f>HYPERLINK("#CB_p!code보PFGENDER1","PFGENDER4")</f>
        <v>PFGENDER4</v>
      </c>
      <c r="I78" s="209"/>
      <c r="J78" s="209" t="str">
        <f>HYPERLINK("#QN19_p!q19보PFRELATION4___PFBRTB4","HQ2-2")</f>
        <v>HQ2-2</v>
      </c>
    </row>
    <row r="79" spans="2:10" ht="18" customHeight="1">
      <c r="B79" s="101" t="s">
        <v>1343</v>
      </c>
      <c r="C79" s="101" t="s">
        <v>1193</v>
      </c>
      <c r="D79" s="101" t="s">
        <v>1344</v>
      </c>
      <c r="E79" s="101" t="s">
        <v>1345</v>
      </c>
      <c r="F79" s="101" t="s">
        <v>1302</v>
      </c>
      <c r="G79" s="91" t="s">
        <v>1374</v>
      </c>
      <c r="H79" s="211" t="str">
        <f>HYPERLINK("#CB_p!code보PFBRTA1","PFBRTA4")</f>
        <v>PFBRTA4</v>
      </c>
      <c r="I79" s="209"/>
      <c r="J79" s="209" t="str">
        <f>HYPERLINK("#QN19_p!q19보PFRELATION4___PFBRTB4","HQ2-3")</f>
        <v>HQ2-3</v>
      </c>
    </row>
    <row r="80" spans="2:10" ht="18" customHeight="1">
      <c r="B80" s="99" t="s">
        <v>1343</v>
      </c>
      <c r="C80" s="99" t="s">
        <v>1193</v>
      </c>
      <c r="D80" s="99" t="s">
        <v>1344</v>
      </c>
      <c r="E80" s="99" t="s">
        <v>1345</v>
      </c>
      <c r="F80" s="99" t="s">
        <v>1</v>
      </c>
      <c r="G80" s="94" t="s">
        <v>1375</v>
      </c>
      <c r="H80" s="212" t="str">
        <f>HYPERLINK("#CB_p!code보PFBRTB1","PFBRTB4")</f>
        <v>PFBRTB4</v>
      </c>
      <c r="I80" s="207"/>
      <c r="J80" s="207" t="str">
        <f>HYPERLINK("#QN19_p!q19보PFRELATION4___PFBRTB4","HQ2-3")</f>
        <v>HQ2-3</v>
      </c>
    </row>
    <row r="81" spans="2:10" ht="18" customHeight="1">
      <c r="B81" s="96" t="s">
        <v>1343</v>
      </c>
      <c r="C81" s="96" t="s">
        <v>1193</v>
      </c>
      <c r="D81" s="96" t="s">
        <v>1344</v>
      </c>
      <c r="E81" s="96" t="s">
        <v>1345</v>
      </c>
      <c r="F81" s="96" t="s">
        <v>1302</v>
      </c>
      <c r="G81" s="97" t="s">
        <v>1376</v>
      </c>
      <c r="H81" s="210" t="str">
        <f>HYPERLINK("#CB_p!code보PFRELATION1","PFRELATION5")</f>
        <v>PFRELATION5</v>
      </c>
      <c r="I81" s="205"/>
      <c r="J81" s="205" t="str">
        <f>HYPERLINK("#QN19_p!q19보PFRELATION5___PFBRTB5","HQ2-1")</f>
        <v>HQ2-1</v>
      </c>
    </row>
    <row r="82" spans="2:10" ht="18" customHeight="1">
      <c r="B82" s="101" t="s">
        <v>1343</v>
      </c>
      <c r="C82" s="101" t="s">
        <v>1193</v>
      </c>
      <c r="D82" s="101" t="s">
        <v>1344</v>
      </c>
      <c r="E82" s="101" t="s">
        <v>1345</v>
      </c>
      <c r="F82" s="101" t="s">
        <v>1410</v>
      </c>
      <c r="G82" s="91" t="s">
        <v>1377</v>
      </c>
      <c r="H82" s="211" t="str">
        <f>HYPERLINK("#CB_p!code보PFGENDER1","PFGENDER5")</f>
        <v>PFGENDER5</v>
      </c>
      <c r="I82" s="209"/>
      <c r="J82" s="209" t="str">
        <f>HYPERLINK("#QN19_p!q19보PFRELATION5___PFBRTB5","HQ2-2")</f>
        <v>HQ2-2</v>
      </c>
    </row>
    <row r="83" spans="2:10" ht="18" customHeight="1">
      <c r="B83" s="101" t="s">
        <v>1343</v>
      </c>
      <c r="C83" s="101" t="s">
        <v>1193</v>
      </c>
      <c r="D83" s="101" t="s">
        <v>1344</v>
      </c>
      <c r="E83" s="101" t="s">
        <v>1345</v>
      </c>
      <c r="F83" s="101" t="s">
        <v>1302</v>
      </c>
      <c r="G83" s="91" t="s">
        <v>1378</v>
      </c>
      <c r="H83" s="211" t="str">
        <f>HYPERLINK("#CB_p!code보PFBRTA1","PFBRTA5")</f>
        <v>PFBRTA5</v>
      </c>
      <c r="I83" s="209"/>
      <c r="J83" s="209" t="str">
        <f>HYPERLINK("#QN19_p!q19보PFRELATION5___PFBRTB5","HQ2-3")</f>
        <v>HQ2-3</v>
      </c>
    </row>
    <row r="84" spans="2:10" ht="18" customHeight="1">
      <c r="B84" s="99" t="s">
        <v>1343</v>
      </c>
      <c r="C84" s="99" t="s">
        <v>1193</v>
      </c>
      <c r="D84" s="99" t="s">
        <v>1344</v>
      </c>
      <c r="E84" s="99" t="s">
        <v>1345</v>
      </c>
      <c r="F84" s="99" t="s">
        <v>1410</v>
      </c>
      <c r="G84" s="94" t="s">
        <v>1379</v>
      </c>
      <c r="H84" s="212" t="str">
        <f>HYPERLINK("#CB_p!code보PFBRTB1","PFBRTB5")</f>
        <v>PFBRTB5</v>
      </c>
      <c r="I84" s="207"/>
      <c r="J84" s="207" t="str">
        <f>HYPERLINK("#QN19_p!q19보PFRELATION5___PFBRTB5","HQ2-3")</f>
        <v>HQ2-3</v>
      </c>
    </row>
    <row r="85" spans="2:10" ht="18" customHeight="1">
      <c r="B85" s="96" t="s">
        <v>1343</v>
      </c>
      <c r="C85" s="96" t="s">
        <v>1193</v>
      </c>
      <c r="D85" s="96" t="s">
        <v>1344</v>
      </c>
      <c r="E85" s="96" t="s">
        <v>1345</v>
      </c>
      <c r="F85" s="96" t="s">
        <v>1302</v>
      </c>
      <c r="G85" s="97" t="s">
        <v>1380</v>
      </c>
      <c r="H85" s="210" t="str">
        <f>HYPERLINK("#CB_p!code보PFRELATION1","PFRELATION6")</f>
        <v>PFRELATION6</v>
      </c>
      <c r="I85" s="205"/>
      <c r="J85" s="205" t="str">
        <f>HYPERLINK("#QN19_p!q19보PFRELATION6___PFBRTB6","HQ2-1")</f>
        <v>HQ2-1</v>
      </c>
    </row>
    <row r="86" spans="2:10" ht="18" customHeight="1">
      <c r="B86" s="101" t="s">
        <v>1343</v>
      </c>
      <c r="C86" s="101" t="s">
        <v>1193</v>
      </c>
      <c r="D86" s="101" t="s">
        <v>1344</v>
      </c>
      <c r="E86" s="101" t="s">
        <v>1345</v>
      </c>
      <c r="F86" s="101" t="s">
        <v>1302</v>
      </c>
      <c r="G86" s="91" t="s">
        <v>1381</v>
      </c>
      <c r="H86" s="211" t="str">
        <f>HYPERLINK("#CB_p!code보PFGENDER1","PFGENDER6")</f>
        <v>PFGENDER6</v>
      </c>
      <c r="I86" s="209"/>
      <c r="J86" s="209" t="str">
        <f>HYPERLINK("#QN19_p!q19보PFRELATION6___PFBRTB6","HQ2-2")</f>
        <v>HQ2-2</v>
      </c>
    </row>
    <row r="87" spans="2:10" ht="18" customHeight="1">
      <c r="B87" s="101" t="s">
        <v>1343</v>
      </c>
      <c r="C87" s="101" t="s">
        <v>1193</v>
      </c>
      <c r="D87" s="101" t="s">
        <v>1344</v>
      </c>
      <c r="E87" s="101" t="s">
        <v>1345</v>
      </c>
      <c r="F87" s="101" t="s">
        <v>1302</v>
      </c>
      <c r="G87" s="91" t="s">
        <v>1382</v>
      </c>
      <c r="H87" s="211" t="str">
        <f>HYPERLINK("#CB_p!code보PFBRTA1","PFBRTA6")</f>
        <v>PFBRTA6</v>
      </c>
      <c r="I87" s="209"/>
      <c r="J87" s="209" t="str">
        <f>HYPERLINK("#QN19_p!q19보PFRELATION6___PFBRTB6","HQ2-3")</f>
        <v>HQ2-3</v>
      </c>
    </row>
    <row r="88" spans="2:10" ht="18" customHeight="1">
      <c r="B88" s="99" t="s">
        <v>1343</v>
      </c>
      <c r="C88" s="99" t="s">
        <v>1193</v>
      </c>
      <c r="D88" s="99" t="s">
        <v>1344</v>
      </c>
      <c r="E88" s="99" t="s">
        <v>1345</v>
      </c>
      <c r="F88" s="99" t="s">
        <v>1302</v>
      </c>
      <c r="G88" s="94" t="s">
        <v>1383</v>
      </c>
      <c r="H88" s="212" t="str">
        <f>HYPERLINK("#CB_p!code보PFBRTB1","PFBRTB6")</f>
        <v>PFBRTB6</v>
      </c>
      <c r="I88" s="207"/>
      <c r="J88" s="207" t="str">
        <f>HYPERLINK("#QN19_p!q19보PFRELATION6___PFBRTB6","HQ2-3")</f>
        <v>HQ2-3</v>
      </c>
    </row>
    <row r="89" spans="2:10" ht="18" customHeight="1">
      <c r="B89" s="96" t="s">
        <v>1343</v>
      </c>
      <c r="C89" s="96" t="s">
        <v>1193</v>
      </c>
      <c r="D89" s="96" t="s">
        <v>1344</v>
      </c>
      <c r="E89" s="96" t="s">
        <v>1345</v>
      </c>
      <c r="F89" s="96" t="s">
        <v>1302</v>
      </c>
      <c r="G89" s="97" t="s">
        <v>1384</v>
      </c>
      <c r="H89" s="210" t="str">
        <f>HYPERLINK("#CB_p!code보PFRELATION1","PFRELATION7")</f>
        <v>PFRELATION7</v>
      </c>
      <c r="I89" s="205"/>
      <c r="J89" s="205" t="str">
        <f>HYPERLINK("#QN19_p!q19보PFRELATION7___PFBRTB7","HQ2-1")</f>
        <v>HQ2-1</v>
      </c>
    </row>
    <row r="90" spans="2:10" ht="18" customHeight="1">
      <c r="B90" s="101" t="s">
        <v>1343</v>
      </c>
      <c r="C90" s="101" t="s">
        <v>1193</v>
      </c>
      <c r="D90" s="101" t="s">
        <v>1344</v>
      </c>
      <c r="E90" s="101" t="s">
        <v>1345</v>
      </c>
      <c r="F90" s="101" t="s">
        <v>1302</v>
      </c>
      <c r="G90" s="91" t="s">
        <v>1385</v>
      </c>
      <c r="H90" s="211" t="str">
        <f>HYPERLINK("#CB_p!code보PFGENDER1","PFGENDER7")</f>
        <v>PFGENDER7</v>
      </c>
      <c r="I90" s="209"/>
      <c r="J90" s="209" t="str">
        <f>HYPERLINK("#QN19_p!q19보PFRELATION7___PFBRTB7","HQ2-2")</f>
        <v>HQ2-2</v>
      </c>
    </row>
    <row r="91" spans="2:10" ht="18" customHeight="1">
      <c r="B91" s="101" t="s">
        <v>1343</v>
      </c>
      <c r="C91" s="101" t="s">
        <v>1193</v>
      </c>
      <c r="D91" s="101" t="s">
        <v>1344</v>
      </c>
      <c r="E91" s="101" t="s">
        <v>1345</v>
      </c>
      <c r="F91" s="101" t="s">
        <v>1302</v>
      </c>
      <c r="G91" s="91" t="s">
        <v>1386</v>
      </c>
      <c r="H91" s="211" t="str">
        <f>HYPERLINK("#CB_p!code보PFBRTA1","PFBRTA7")</f>
        <v>PFBRTA7</v>
      </c>
      <c r="I91" s="209"/>
      <c r="J91" s="209" t="str">
        <f>HYPERLINK("#QN19_p!q19보PFRELATION7___PFBRTB7","HQ2-3")</f>
        <v>HQ2-3</v>
      </c>
    </row>
    <row r="92" spans="2:10" ht="18" customHeight="1">
      <c r="B92" s="99" t="s">
        <v>1343</v>
      </c>
      <c r="C92" s="99" t="s">
        <v>1193</v>
      </c>
      <c r="D92" s="99" t="s">
        <v>1344</v>
      </c>
      <c r="E92" s="99" t="s">
        <v>1345</v>
      </c>
      <c r="F92" s="99" t="s">
        <v>1302</v>
      </c>
      <c r="G92" s="94" t="s">
        <v>1387</v>
      </c>
      <c r="H92" s="212" t="str">
        <f>HYPERLINK("#CB_p!code보PFBRTB1","PFBRTB7")</f>
        <v>PFBRTB7</v>
      </c>
      <c r="I92" s="207"/>
      <c r="J92" s="207" t="str">
        <f>HYPERLINK("#QN19_p!q19보PFRELATION7___PFBRTB7","HQ2-3")</f>
        <v>HQ2-3</v>
      </c>
    </row>
    <row r="93" spans="2:10" ht="18" customHeight="1">
      <c r="B93" s="96" t="s">
        <v>1343</v>
      </c>
      <c r="C93" s="96" t="s">
        <v>1193</v>
      </c>
      <c r="D93" s="96" t="s">
        <v>1344</v>
      </c>
      <c r="E93" s="96" t="s">
        <v>1345</v>
      </c>
      <c r="F93" s="96" t="s">
        <v>1302</v>
      </c>
      <c r="G93" s="97" t="s">
        <v>1388</v>
      </c>
      <c r="H93" s="210" t="str">
        <f>HYPERLINK("#CB_p!code보PFRELATION1","PFRELATION8")</f>
        <v>PFRELATION8</v>
      </c>
      <c r="I93" s="205"/>
      <c r="J93" s="205" t="str">
        <f>HYPERLINK("#QN19_p!q19보PFRELATION8___PFBRTB8","HQ2-1")</f>
        <v>HQ2-1</v>
      </c>
    </row>
    <row r="94" spans="2:10" ht="18" customHeight="1">
      <c r="B94" s="101" t="s">
        <v>1343</v>
      </c>
      <c r="C94" s="101" t="s">
        <v>1193</v>
      </c>
      <c r="D94" s="101" t="s">
        <v>1344</v>
      </c>
      <c r="E94" s="101" t="s">
        <v>1345</v>
      </c>
      <c r="F94" s="101" t="s">
        <v>1302</v>
      </c>
      <c r="G94" s="91" t="s">
        <v>1389</v>
      </c>
      <c r="H94" s="211" t="str">
        <f>HYPERLINK("#CB_p!code보PFGENDER1","PFGENDER8")</f>
        <v>PFGENDER8</v>
      </c>
      <c r="I94" s="209"/>
      <c r="J94" s="209" t="str">
        <f>HYPERLINK("#QN19_p!q19보PFRELATION8___PFBRTB8","HQ2-2")</f>
        <v>HQ2-2</v>
      </c>
    </row>
    <row r="95" spans="2:10" ht="18" customHeight="1">
      <c r="B95" s="101" t="s">
        <v>1343</v>
      </c>
      <c r="C95" s="101" t="s">
        <v>1193</v>
      </c>
      <c r="D95" s="101" t="s">
        <v>1344</v>
      </c>
      <c r="E95" s="101" t="s">
        <v>1345</v>
      </c>
      <c r="F95" s="101" t="s">
        <v>1302</v>
      </c>
      <c r="G95" s="91" t="s">
        <v>1390</v>
      </c>
      <c r="H95" s="211" t="str">
        <f>HYPERLINK("#CB_p!code보PFBRTA1","PFBRTA8")</f>
        <v>PFBRTA8</v>
      </c>
      <c r="I95" s="209"/>
      <c r="J95" s="209" t="str">
        <f>HYPERLINK("#QN19_p!q19보PFRELATION8___PFBRTB8","HQ2-3")</f>
        <v>HQ2-3</v>
      </c>
    </row>
    <row r="96" spans="2:10" ht="18" customHeight="1">
      <c r="B96" s="99" t="s">
        <v>1343</v>
      </c>
      <c r="C96" s="99" t="s">
        <v>1193</v>
      </c>
      <c r="D96" s="99" t="s">
        <v>1344</v>
      </c>
      <c r="E96" s="99" t="s">
        <v>1345</v>
      </c>
      <c r="F96" s="99" t="s">
        <v>1302</v>
      </c>
      <c r="G96" s="94" t="s">
        <v>1391</v>
      </c>
      <c r="H96" s="212" t="str">
        <f>HYPERLINK("#CB_p!code보PFBRTB1","PFBRTB8")</f>
        <v>PFBRTB8</v>
      </c>
      <c r="I96" s="207"/>
      <c r="J96" s="207" t="str">
        <f>HYPERLINK("#QN19_p!q19보PFRELATION8___PFBRTB8","HQ2-3")</f>
        <v>HQ2-3</v>
      </c>
    </row>
    <row r="97" spans="2:10" ht="18" customHeight="1">
      <c r="B97" s="96" t="s">
        <v>1343</v>
      </c>
      <c r="C97" s="96" t="s">
        <v>1193</v>
      </c>
      <c r="D97" s="96" t="s">
        <v>1344</v>
      </c>
      <c r="E97" s="96" t="s">
        <v>1345</v>
      </c>
      <c r="F97" s="96" t="s">
        <v>1302</v>
      </c>
      <c r="G97" s="118" t="s">
        <v>1392</v>
      </c>
      <c r="H97" s="204" t="str">
        <f>HYPERLINK("#CB_p!code보PFAM1A00","PFAM1A00")</f>
        <v>PFAM1A00</v>
      </c>
      <c r="I97" s="205" t="str">
        <f>HYPERLINK("#QN18_p!q18보PFAM1A00","문2")</f>
        <v>문2</v>
      </c>
      <c r="J97" s="205" t="str">
        <f>HYPERLINK("#QN19_p!q19보PFAM1A00","문2")</f>
        <v>문2</v>
      </c>
    </row>
    <row r="98" spans="2:10" ht="18" customHeight="1">
      <c r="B98" s="99" t="s">
        <v>1343</v>
      </c>
      <c r="C98" s="99" t="s">
        <v>1193</v>
      </c>
      <c r="D98" s="99" t="s">
        <v>1344</v>
      </c>
      <c r="E98" s="99" t="s">
        <v>1345</v>
      </c>
      <c r="F98" s="99" t="s">
        <v>1302</v>
      </c>
      <c r="G98" s="105" t="s">
        <v>1393</v>
      </c>
      <c r="H98" s="206" t="str">
        <f>HYPERLINK("#CB_p!code보PFAM1A00_T","PFAM1A00_T")</f>
        <v>PFAM1A00_T</v>
      </c>
      <c r="I98" s="207" t="str">
        <f>HYPERLINK("#QN18_p!q18보PFAM1A00_T","문2_T")</f>
        <v>문2_T</v>
      </c>
      <c r="J98" s="207" t="str">
        <f>HYPERLINK("#QN19_p!q19보PFAM1A00_T","문2_T")</f>
        <v>문2_T</v>
      </c>
    </row>
    <row r="99" spans="2:10" ht="18" customHeight="1">
      <c r="B99" s="96" t="s">
        <v>1343</v>
      </c>
      <c r="C99" s="96" t="s">
        <v>1193</v>
      </c>
      <c r="D99" s="96" t="s">
        <v>1346</v>
      </c>
      <c r="E99" s="96" t="s">
        <v>1347</v>
      </c>
      <c r="F99" s="96" t="s">
        <v>1302</v>
      </c>
      <c r="G99" s="97" t="s">
        <v>1394</v>
      </c>
      <c r="H99" s="204" t="str">
        <f>HYPERLINK("#CB_p!code보PFAM2A01","PFAM2A01")</f>
        <v>PFAM2A01</v>
      </c>
      <c r="I99" s="205" t="str">
        <f>HYPERLINK("#QN18_p!q18보PFAM2A01","문4-1")</f>
        <v>문4-1</v>
      </c>
      <c r="J99" s="205" t="str">
        <f>HYPERLINK("#QN19_p!q19보PFAM2A01","문4-1")</f>
        <v>문4-1</v>
      </c>
    </row>
    <row r="100" spans="2:10" ht="18" customHeight="1">
      <c r="B100" s="101" t="s">
        <v>1343</v>
      </c>
      <c r="C100" s="101" t="s">
        <v>1193</v>
      </c>
      <c r="D100" s="101" t="s">
        <v>1346</v>
      </c>
      <c r="E100" s="101" t="s">
        <v>1347</v>
      </c>
      <c r="F100" s="101" t="s">
        <v>1302</v>
      </c>
      <c r="G100" s="91" t="s">
        <v>1395</v>
      </c>
      <c r="H100" s="208" t="str">
        <f>HYPERLINK("#CB_p!code보PFAM2A01_T","PFAM2A01_T")</f>
        <v>PFAM2A01_T</v>
      </c>
      <c r="I100" s="209" t="str">
        <f>HYPERLINK("#QN18_p!q18보PFAM2A01_T","문4-1_T")</f>
        <v>문4-1_T</v>
      </c>
      <c r="J100" s="209" t="str">
        <f>HYPERLINK("#QN19_p!q19보PFAM2A01_T","문4-1_T")</f>
        <v>문4-1_T</v>
      </c>
    </row>
    <row r="101" spans="2:10" ht="18" customHeight="1">
      <c r="B101" s="101" t="s">
        <v>1343</v>
      </c>
      <c r="C101" s="101" t="s">
        <v>1193</v>
      </c>
      <c r="D101" s="101" t="s">
        <v>1346</v>
      </c>
      <c r="E101" s="101" t="s">
        <v>1347</v>
      </c>
      <c r="F101" s="101" t="s">
        <v>1302</v>
      </c>
      <c r="G101" s="91" t="s">
        <v>1396</v>
      </c>
      <c r="H101" s="208" t="str">
        <f>HYPERLINK("#CB_p!code보PFAM2A02","PFAM2A02")</f>
        <v>PFAM2A02</v>
      </c>
      <c r="I101" s="209" t="str">
        <f>HYPERLINK("#QN18_p!q18보PFAM2A02","문4-2")</f>
        <v>문4-2</v>
      </c>
      <c r="J101" s="209" t="str">
        <f>HYPERLINK("#QN19_p!q19보PFAM2A02","문4-2")</f>
        <v>문4-2</v>
      </c>
    </row>
    <row r="102" spans="2:10" ht="18" customHeight="1">
      <c r="B102" s="101" t="s">
        <v>1343</v>
      </c>
      <c r="C102" s="101" t="s">
        <v>1193</v>
      </c>
      <c r="D102" s="101" t="s">
        <v>1346</v>
      </c>
      <c r="E102" s="101" t="s">
        <v>1347</v>
      </c>
      <c r="F102" s="101" t="s">
        <v>1302</v>
      </c>
      <c r="G102" s="91" t="s">
        <v>1397</v>
      </c>
      <c r="H102" s="208" t="str">
        <f>HYPERLINK("#CB_p!code보PFAM2A02_T","PFAM2A02_T")</f>
        <v>PFAM2A02_T</v>
      </c>
      <c r="I102" s="209" t="str">
        <f>HYPERLINK("#QN18_p!q18보PFAM2A02_T","문4-2_T")</f>
        <v>문4-2_T</v>
      </c>
      <c r="J102" s="209" t="str">
        <f>HYPERLINK("#QN19_p!q19보PFAM2A02_T","문4-2_T")</f>
        <v>문4-2_T</v>
      </c>
    </row>
    <row r="103" spans="2:10" ht="18" customHeight="1">
      <c r="B103" s="101" t="s">
        <v>1343</v>
      </c>
      <c r="C103" s="101" t="s">
        <v>1193</v>
      </c>
      <c r="D103" s="101" t="s">
        <v>1346</v>
      </c>
      <c r="E103" s="101" t="s">
        <v>1347</v>
      </c>
      <c r="F103" s="101" t="s">
        <v>1302</v>
      </c>
      <c r="G103" s="91" t="s">
        <v>1398</v>
      </c>
      <c r="H103" s="208" t="str">
        <f>HYPERLINK("#CB_p!code보PFAM2A03","PFAM2A03")</f>
        <v>PFAM2A03</v>
      </c>
      <c r="I103" s="209" t="str">
        <f>HYPERLINK("#QN18_p!q18보PFAM2A03","문4-3")</f>
        <v>문4-3</v>
      </c>
      <c r="J103" s="209" t="str">
        <f>HYPERLINK("#QN19_p!q19보PFAM2A03","문4-3")</f>
        <v>문4-3</v>
      </c>
    </row>
    <row r="104" spans="2:10" ht="18" customHeight="1">
      <c r="B104" s="101" t="s">
        <v>1343</v>
      </c>
      <c r="C104" s="101" t="s">
        <v>1193</v>
      </c>
      <c r="D104" s="101" t="s">
        <v>1346</v>
      </c>
      <c r="E104" s="101" t="s">
        <v>1347</v>
      </c>
      <c r="F104" s="101" t="s">
        <v>1302</v>
      </c>
      <c r="G104" s="91" t="s">
        <v>1399</v>
      </c>
      <c r="H104" s="208" t="str">
        <f>HYPERLINK("#CB_p!code보PFAM2A03_T","PFAM2A03_T")</f>
        <v>PFAM2A03_T</v>
      </c>
      <c r="I104" s="209" t="str">
        <f>HYPERLINK("#QN18_p!q18보PFAM2A03_T","문4-3_T")</f>
        <v>문4-3_T</v>
      </c>
      <c r="J104" s="209" t="str">
        <f>HYPERLINK("#QN19_p!q19보PFAM2A03_T","문4-3_T")</f>
        <v>문4-3_T</v>
      </c>
    </row>
    <row r="105" spans="2:10" ht="18" customHeight="1">
      <c r="B105" s="101" t="s">
        <v>1343</v>
      </c>
      <c r="C105" s="101" t="s">
        <v>1193</v>
      </c>
      <c r="D105" s="101" t="s">
        <v>1346</v>
      </c>
      <c r="E105" s="101" t="s">
        <v>1347</v>
      </c>
      <c r="F105" s="101" t="s">
        <v>1302</v>
      </c>
      <c r="G105" s="91" t="s">
        <v>1400</v>
      </c>
      <c r="H105" s="208" t="str">
        <f>HYPERLINK("#CB_p!code보PFAM2A04","PFAM2A04")</f>
        <v>PFAM2A04</v>
      </c>
      <c r="I105" s="209" t="str">
        <f>HYPERLINK("#QN18_p!q18보PFAM2A04","문4-4")</f>
        <v>문4-4</v>
      </c>
      <c r="J105" s="209" t="str">
        <f>HYPERLINK("#QN19_p!q19보PFAM2A04","문4-4")</f>
        <v>문4-4</v>
      </c>
    </row>
    <row r="106" spans="2:10" ht="18" customHeight="1">
      <c r="B106" s="99" t="s">
        <v>1343</v>
      </c>
      <c r="C106" s="99" t="s">
        <v>1193</v>
      </c>
      <c r="D106" s="99" t="s">
        <v>1346</v>
      </c>
      <c r="E106" s="99" t="s">
        <v>1347</v>
      </c>
      <c r="F106" s="99" t="s">
        <v>1302</v>
      </c>
      <c r="G106" s="94" t="s">
        <v>1401</v>
      </c>
      <c r="H106" s="206" t="str">
        <f>HYPERLINK("#CB_p!code보PFAM2A04_T","PFAM2A04_T")</f>
        <v>PFAM2A04_T</v>
      </c>
      <c r="I106" s="207" t="str">
        <f>HYPERLINK("#QN18_p!q18보PFAM2A04_T","문4-4_T")</f>
        <v>문4-4_T</v>
      </c>
      <c r="J106" s="207" t="str">
        <f>HYPERLINK("#QN19_p!q19보PFAM2A04_T","문4-4_T")</f>
        <v>문4-4_T</v>
      </c>
    </row>
    <row r="107" spans="2:10" ht="18" customHeight="1">
      <c r="B107" s="96" t="s">
        <v>1343</v>
      </c>
      <c r="C107" s="96" t="s">
        <v>1193</v>
      </c>
      <c r="D107" s="96" t="s">
        <v>1348</v>
      </c>
      <c r="E107" s="96" t="s">
        <v>1349</v>
      </c>
      <c r="F107" s="96" t="s">
        <v>1302</v>
      </c>
      <c r="G107" s="97" t="s">
        <v>1235</v>
      </c>
      <c r="H107" s="204" t="str">
        <f>HYPERLINK("#CB_p!code보PFAM3A00","PFAM3A00")</f>
        <v>PFAM3A00</v>
      </c>
      <c r="I107" s="205" t="str">
        <f>HYPERLINK("#QN18_p!q18보PFAM3A00","문6")</f>
        <v>문6</v>
      </c>
      <c r="J107" s="205" t="str">
        <f>HYPERLINK("#QN19_p!q19보PFAM3A00","문6")</f>
        <v>문6</v>
      </c>
    </row>
    <row r="108" spans="2:10" ht="18" customHeight="1">
      <c r="B108" s="101" t="s">
        <v>1343</v>
      </c>
      <c r="C108" s="101" t="s">
        <v>1193</v>
      </c>
      <c r="D108" s="101" t="s">
        <v>1348</v>
      </c>
      <c r="E108" s="101" t="s">
        <v>1350</v>
      </c>
      <c r="F108" s="101" t="s">
        <v>1302</v>
      </c>
      <c r="G108" s="91" t="s">
        <v>1236</v>
      </c>
      <c r="H108" s="208" t="str">
        <f>HYPERLINK("#CB_p!code보PFAM3B00","PFAM3B00")</f>
        <v>PFAM3B00</v>
      </c>
      <c r="I108" s="209" t="str">
        <f>HYPERLINK("#QN18_p!q18보PFAM3B00","문7")</f>
        <v>문7</v>
      </c>
      <c r="J108" s="209" t="str">
        <f>HYPERLINK("#QN19_p!q19보PFAM3B00","문7")</f>
        <v>문7</v>
      </c>
    </row>
    <row r="109" spans="2:10" ht="18" customHeight="1">
      <c r="B109" s="101" t="s">
        <v>1343</v>
      </c>
      <c r="C109" s="101" t="s">
        <v>1193</v>
      </c>
      <c r="D109" s="101" t="s">
        <v>1348</v>
      </c>
      <c r="E109" s="101" t="s">
        <v>1351</v>
      </c>
      <c r="F109" s="101" t="s">
        <v>1302</v>
      </c>
      <c r="G109" s="91" t="s">
        <v>1292</v>
      </c>
      <c r="H109" s="208" t="str">
        <f>HYPERLINK("#CB_p!code보PFAM3C00","PFAM3C00")</f>
        <v>PFAM3C00</v>
      </c>
      <c r="I109" s="209" t="str">
        <f>HYPERLINK("#QN18_p!q18보PFAM3C00","문8")</f>
        <v>문8</v>
      </c>
      <c r="J109" s="209" t="str">
        <f>HYPERLINK("#QN19_p!q19보PFAM3C00","문8")</f>
        <v>문8</v>
      </c>
    </row>
    <row r="110" spans="2:10" ht="18" customHeight="1">
      <c r="B110" s="99" t="s">
        <v>1343</v>
      </c>
      <c r="C110" s="99" t="s">
        <v>1193</v>
      </c>
      <c r="D110" s="99" t="s">
        <v>1348</v>
      </c>
      <c r="E110" s="99" t="s">
        <v>1352</v>
      </c>
      <c r="F110" s="99" t="s">
        <v>1302</v>
      </c>
      <c r="G110" s="94" t="s">
        <v>1238</v>
      </c>
      <c r="H110" s="206" t="str">
        <f>HYPERLINK("#CB_p!code보PFAM3D00","PFAM3D00")</f>
        <v>PFAM3D00</v>
      </c>
      <c r="I110" s="207" t="str">
        <f>HYPERLINK("#QN18_p!q18보PFAM3D00","문9")</f>
        <v>문9</v>
      </c>
      <c r="J110" s="207" t="str">
        <f>HYPERLINK("#QN19_p!q19보PFAM3D00","문9")</f>
        <v>문9</v>
      </c>
    </row>
    <row r="111" spans="2:10" ht="18" customHeight="1">
      <c r="B111" s="96" t="s">
        <v>1343</v>
      </c>
      <c r="C111" s="96" t="s">
        <v>1193</v>
      </c>
      <c r="D111" s="101" t="s">
        <v>1506</v>
      </c>
      <c r="E111" s="101" t="s">
        <v>1508</v>
      </c>
      <c r="F111" s="101" t="s">
        <v>1504</v>
      </c>
      <c r="G111" s="91" t="s">
        <v>1509</v>
      </c>
      <c r="H111" s="204" t="str">
        <f>HYPERLINK("#CB_p!code보PFAM6A00","PFAM6A00")</f>
        <v>PFAM6A00</v>
      </c>
      <c r="I111" s="209"/>
      <c r="J111" s="205" t="str">
        <f>HYPERLINK("#QN19_p!q19보PFAM5A00","문5")</f>
        <v>문5</v>
      </c>
    </row>
    <row r="112" spans="2:10" ht="18" customHeight="1">
      <c r="B112" s="99" t="s">
        <v>1343</v>
      </c>
      <c r="C112" s="99" t="s">
        <v>1193</v>
      </c>
      <c r="D112" s="101" t="s">
        <v>1507</v>
      </c>
      <c r="E112" s="101" t="s">
        <v>1685</v>
      </c>
      <c r="F112" s="101" t="s">
        <v>1505</v>
      </c>
      <c r="G112" s="91" t="s">
        <v>1510</v>
      </c>
      <c r="H112" s="206" t="str">
        <f>HYPERLINK("#CB_p!code보PFAM6B00","PFAM6B00")</f>
        <v>PFAM6B00</v>
      </c>
      <c r="I112" s="209"/>
      <c r="J112" s="207" t="str">
        <f>HYPERLINK("#QN19_p!q19보PFAM5B00","문5-1")</f>
        <v>문5-1</v>
      </c>
    </row>
    <row r="113" spans="2:10" ht="18" customHeight="1">
      <c r="B113" s="96" t="s">
        <v>1343</v>
      </c>
      <c r="C113" s="96" t="s">
        <v>1193</v>
      </c>
      <c r="D113" s="96" t="s">
        <v>1353</v>
      </c>
      <c r="E113" s="96" t="s">
        <v>1783</v>
      </c>
      <c r="F113" s="96" t="s">
        <v>1302</v>
      </c>
      <c r="G113" s="97" t="s">
        <v>1294</v>
      </c>
      <c r="H113" s="204" t="str">
        <f>HYPERLINK("#CB_p!code보PFAM4A01","PFAM4A01")</f>
        <v>PFAM4A01</v>
      </c>
      <c r="I113" s="205" t="str">
        <f>HYPERLINK("#QN18_p!q18보PFAM4A01","문5a")</f>
        <v>문5a</v>
      </c>
      <c r="J113" s="205"/>
    </row>
    <row r="114" spans="2:10" ht="18" customHeight="1">
      <c r="B114" s="101" t="s">
        <v>1343</v>
      </c>
      <c r="C114" s="101" t="s">
        <v>1193</v>
      </c>
      <c r="D114" s="101" t="s">
        <v>1353</v>
      </c>
      <c r="E114" s="101" t="s">
        <v>1784</v>
      </c>
      <c r="F114" s="101" t="s">
        <v>1302</v>
      </c>
      <c r="G114" s="91" t="s">
        <v>1295</v>
      </c>
      <c r="H114" s="208" t="str">
        <f>HYPERLINK("#CB_p!code보PFAM4A02","PFAM4A02")</f>
        <v>PFAM4A02</v>
      </c>
      <c r="I114" s="209" t="str">
        <f>HYPERLINK("#QN18_p!q18보PFAM4A02","문5a")</f>
        <v>문5a</v>
      </c>
      <c r="J114" s="209"/>
    </row>
    <row r="115" spans="2:10" ht="18" customHeight="1">
      <c r="B115" s="101" t="s">
        <v>1343</v>
      </c>
      <c r="C115" s="101" t="s">
        <v>1193</v>
      </c>
      <c r="D115" s="101" t="s">
        <v>1353</v>
      </c>
      <c r="E115" s="101" t="s">
        <v>1784</v>
      </c>
      <c r="F115" s="101" t="s">
        <v>1302</v>
      </c>
      <c r="G115" s="91" t="s">
        <v>1296</v>
      </c>
      <c r="H115" s="208" t="str">
        <f>HYPERLINK("#CB_p!code보PFAM4A03","PFAM4A03")</f>
        <v>PFAM4A03</v>
      </c>
      <c r="I115" s="209" t="str">
        <f>HYPERLINK("#QN18_p!q18보PFAM4A03","문5b")</f>
        <v>문5b</v>
      </c>
      <c r="J115" s="209"/>
    </row>
    <row r="116" spans="2:10" ht="18" customHeight="1">
      <c r="B116" s="99" t="s">
        <v>1343</v>
      </c>
      <c r="C116" s="99" t="s">
        <v>1193</v>
      </c>
      <c r="D116" s="99" t="s">
        <v>1353</v>
      </c>
      <c r="E116" s="99" t="s">
        <v>1785</v>
      </c>
      <c r="F116" s="99" t="s">
        <v>1302</v>
      </c>
      <c r="G116" s="94" t="s">
        <v>1297</v>
      </c>
      <c r="H116" s="206" t="str">
        <f>HYPERLINK("#CB_p!code보PFAM4A04","PFAM4A04")</f>
        <v>PFAM4A04</v>
      </c>
      <c r="I116" s="207" t="str">
        <f>HYPERLINK("#QN18_p!q18보PFAM4A04","문5b")</f>
        <v>문5b</v>
      </c>
      <c r="J116" s="207"/>
    </row>
    <row r="117" spans="2:10" ht="18" customHeight="1">
      <c r="B117" s="96" t="s">
        <v>1343</v>
      </c>
      <c r="C117" s="96" t="s">
        <v>1193</v>
      </c>
      <c r="D117" s="96" t="s">
        <v>1353</v>
      </c>
      <c r="E117" s="96" t="s">
        <v>1690</v>
      </c>
      <c r="F117" s="96" t="s">
        <v>1</v>
      </c>
      <c r="G117" s="97" t="s">
        <v>1294</v>
      </c>
      <c r="H117" s="204" t="str">
        <f>HYPERLINK("#CB_p!code보PFAM5A01","PFAM5A01")</f>
        <v>PFAM5A01</v>
      </c>
      <c r="I117" s="209"/>
      <c r="J117" s="205" t="str">
        <f>HYPERLINK("#QN19_p!q19보PFAM5A01","문5-1a")</f>
        <v>문5-1a</v>
      </c>
    </row>
    <row r="118" spans="2:10" ht="18" customHeight="1">
      <c r="B118" s="101" t="s">
        <v>1343</v>
      </c>
      <c r="C118" s="101" t="s">
        <v>1193</v>
      </c>
      <c r="D118" s="101" t="s">
        <v>1353</v>
      </c>
      <c r="E118" s="101" t="s">
        <v>1690</v>
      </c>
      <c r="F118" s="101" t="s">
        <v>1</v>
      </c>
      <c r="G118" s="91" t="s">
        <v>1295</v>
      </c>
      <c r="H118" s="208" t="str">
        <f>HYPERLINK("#CB_p!code보PFAM5A02","PFAM5A02")</f>
        <v>PFAM5A02</v>
      </c>
      <c r="I118" s="209"/>
      <c r="J118" s="209" t="str">
        <f>HYPERLINK("#QN19_p!q19보PFAM5A02","문5-1a")</f>
        <v>문5-1a</v>
      </c>
    </row>
    <row r="119" spans="2:10" ht="18" customHeight="1">
      <c r="B119" s="101" t="s">
        <v>1343</v>
      </c>
      <c r="C119" s="101" t="s">
        <v>1193</v>
      </c>
      <c r="D119" s="101" t="s">
        <v>1353</v>
      </c>
      <c r="E119" s="101" t="s">
        <v>1690</v>
      </c>
      <c r="F119" s="101" t="s">
        <v>1</v>
      </c>
      <c r="G119" s="91" t="s">
        <v>1296</v>
      </c>
      <c r="H119" s="208" t="str">
        <f>HYPERLINK("#CB_p!code보PFAM5A03","PFAM5A03")</f>
        <v>PFAM5A03</v>
      </c>
      <c r="I119" s="209"/>
      <c r="J119" s="209" t="str">
        <f>HYPERLINK("#QN19_p!q19보PFAM5A03","문5-1b")</f>
        <v>문5-1b</v>
      </c>
    </row>
    <row r="120" spans="2:10" ht="18" customHeight="1">
      <c r="B120" s="99" t="s">
        <v>1343</v>
      </c>
      <c r="C120" s="99" t="s">
        <v>1193</v>
      </c>
      <c r="D120" s="99" t="s">
        <v>1353</v>
      </c>
      <c r="E120" s="99" t="s">
        <v>1690</v>
      </c>
      <c r="F120" s="99" t="s">
        <v>1</v>
      </c>
      <c r="G120" s="94" t="s">
        <v>1297</v>
      </c>
      <c r="H120" s="206" t="str">
        <f>HYPERLINK("#CB_p!code보PFAM5A04","PFAM5A04")</f>
        <v>PFAM5A04</v>
      </c>
      <c r="I120" s="209"/>
      <c r="J120" s="207" t="str">
        <f>HYPERLINK("#QN19_p!q19보PFAM5A04","문5-1b")</f>
        <v>문5-1b</v>
      </c>
    </row>
    <row r="121" spans="2:10" ht="18" customHeight="1">
      <c r="B121" s="96" t="s">
        <v>1343</v>
      </c>
      <c r="C121" s="96" t="s">
        <v>1193</v>
      </c>
      <c r="D121" s="96" t="s">
        <v>1353</v>
      </c>
      <c r="E121" s="96" t="s">
        <v>1511</v>
      </c>
      <c r="F121" s="96" t="s">
        <v>1503</v>
      </c>
      <c r="G121" s="97" t="s">
        <v>1294</v>
      </c>
      <c r="H121" s="204" t="str">
        <f>HYPERLINK("#CB_p!code보PFAM5B01","PFAM5B01")</f>
        <v>PFAM5B01</v>
      </c>
      <c r="I121" s="205"/>
      <c r="J121" s="205" t="str">
        <f>HYPERLINK("#QN19_p!q19보PFAM5B01","문5-1a")</f>
        <v>문5-1a</v>
      </c>
    </row>
    <row r="122" spans="2:10" ht="18" customHeight="1">
      <c r="B122" s="101" t="s">
        <v>1343</v>
      </c>
      <c r="C122" s="101" t="s">
        <v>1193</v>
      </c>
      <c r="D122" s="101" t="s">
        <v>1353</v>
      </c>
      <c r="E122" s="101" t="s">
        <v>1511</v>
      </c>
      <c r="F122" s="101" t="s">
        <v>1503</v>
      </c>
      <c r="G122" s="91" t="s">
        <v>1295</v>
      </c>
      <c r="H122" s="208" t="str">
        <f>HYPERLINK("#CB_p!code보PFAM5B02","PFAM5B02")</f>
        <v>PFAM5B02</v>
      </c>
      <c r="I122" s="209"/>
      <c r="J122" s="209" t="str">
        <f>HYPERLINK("#QN19_p!q19보PFAM5B02","문5-1a")</f>
        <v>문5-1a</v>
      </c>
    </row>
    <row r="123" spans="2:10" ht="18" customHeight="1">
      <c r="B123" s="101" t="s">
        <v>1343</v>
      </c>
      <c r="C123" s="101" t="s">
        <v>1193</v>
      </c>
      <c r="D123" s="101" t="s">
        <v>1353</v>
      </c>
      <c r="E123" s="101" t="s">
        <v>1511</v>
      </c>
      <c r="F123" s="101" t="s">
        <v>1503</v>
      </c>
      <c r="G123" s="91" t="s">
        <v>1296</v>
      </c>
      <c r="H123" s="208" t="str">
        <f>HYPERLINK("#CB_p!code보PFAM5B03","PFAM5B03")</f>
        <v>PFAM5B03</v>
      </c>
      <c r="I123" s="209"/>
      <c r="J123" s="209" t="str">
        <f>HYPERLINK("#QN19_p!q19보PFAM5B03","문5-1b")</f>
        <v>문5-1b</v>
      </c>
    </row>
    <row r="124" spans="2:10" ht="18" customHeight="1">
      <c r="B124" s="99" t="s">
        <v>1343</v>
      </c>
      <c r="C124" s="99" t="s">
        <v>1193</v>
      </c>
      <c r="D124" s="99" t="s">
        <v>1353</v>
      </c>
      <c r="E124" s="99" t="s">
        <v>1511</v>
      </c>
      <c r="F124" s="99" t="s">
        <v>1503</v>
      </c>
      <c r="G124" s="94" t="s">
        <v>1297</v>
      </c>
      <c r="H124" s="206" t="str">
        <f>HYPERLINK("#CB_p!code보PFAM5B04","PFAM5B04")</f>
        <v>PFAM5B04</v>
      </c>
      <c r="I124" s="207"/>
      <c r="J124" s="207" t="str">
        <f>HYPERLINK("#QN19_p!q19보PFAM5B04","문5-1b")</f>
        <v>문5-1b</v>
      </c>
    </row>
    <row r="125" spans="2:10" ht="18" customHeight="1">
      <c r="B125" s="96" t="s">
        <v>1343</v>
      </c>
      <c r="C125" s="96" t="s">
        <v>1193</v>
      </c>
      <c r="D125" s="96" t="s">
        <v>1353</v>
      </c>
      <c r="E125" s="96" t="s">
        <v>1512</v>
      </c>
      <c r="F125" s="96" t="s">
        <v>1503</v>
      </c>
      <c r="G125" s="97" t="s">
        <v>1294</v>
      </c>
      <c r="H125" s="204" t="str">
        <f>HYPERLINK("#CB_p!code보PFAM5C01","PFAM5C01")</f>
        <v>PFAM5C01</v>
      </c>
      <c r="I125" s="205"/>
      <c r="J125" s="205" t="str">
        <f>HYPERLINK("#QN19_p!q19보PFAM5C01","문5-1a")</f>
        <v>문5-1a</v>
      </c>
    </row>
    <row r="126" spans="2:10" ht="18" customHeight="1">
      <c r="B126" s="101" t="s">
        <v>1343</v>
      </c>
      <c r="C126" s="101" t="s">
        <v>1193</v>
      </c>
      <c r="D126" s="101" t="s">
        <v>1353</v>
      </c>
      <c r="E126" s="101" t="s">
        <v>1512</v>
      </c>
      <c r="F126" s="101" t="s">
        <v>1515</v>
      </c>
      <c r="G126" s="91" t="s">
        <v>1295</v>
      </c>
      <c r="H126" s="208" t="str">
        <f>HYPERLINK("#CB_p!code보PFAM5C02","PFAM5C02")</f>
        <v>PFAM5C02</v>
      </c>
      <c r="I126" s="209"/>
      <c r="J126" s="209" t="str">
        <f>HYPERLINK("#QN19_p!q19보PFAM5C02","문5-1a")</f>
        <v>문5-1a</v>
      </c>
    </row>
    <row r="127" spans="2:10" ht="18" customHeight="1">
      <c r="B127" s="101" t="s">
        <v>1343</v>
      </c>
      <c r="C127" s="101" t="s">
        <v>1193</v>
      </c>
      <c r="D127" s="101" t="s">
        <v>1353</v>
      </c>
      <c r="E127" s="101" t="s">
        <v>1512</v>
      </c>
      <c r="F127" s="101" t="s">
        <v>1515</v>
      </c>
      <c r="G127" s="91" t="s">
        <v>1296</v>
      </c>
      <c r="H127" s="208" t="str">
        <f>HYPERLINK("#CB_p!code보PFAM5C03","PFAM5C03")</f>
        <v>PFAM5C03</v>
      </c>
      <c r="I127" s="209"/>
      <c r="J127" s="209" t="str">
        <f>HYPERLINK("#QN19_p!q19보PFAM5C03","문5-1b")</f>
        <v>문5-1b</v>
      </c>
    </row>
    <row r="128" spans="2:10" ht="18" customHeight="1">
      <c r="B128" s="99" t="s">
        <v>1343</v>
      </c>
      <c r="C128" s="99" t="s">
        <v>1193</v>
      </c>
      <c r="D128" s="99" t="s">
        <v>1353</v>
      </c>
      <c r="E128" s="99" t="s">
        <v>1512</v>
      </c>
      <c r="F128" s="99" t="s">
        <v>1503</v>
      </c>
      <c r="G128" s="94" t="s">
        <v>1297</v>
      </c>
      <c r="H128" s="206" t="str">
        <f>HYPERLINK("#CB_p!code보PFAM5C04","PFAM5C04")</f>
        <v>PFAM5C04</v>
      </c>
      <c r="I128" s="207"/>
      <c r="J128" s="207" t="str">
        <f>HYPERLINK("#QN19_p!q19보PFAM5C04","문5-1b")</f>
        <v>문5-1b</v>
      </c>
    </row>
    <row r="129" spans="2:10" ht="18" customHeight="1">
      <c r="B129" s="96" t="s">
        <v>1343</v>
      </c>
      <c r="C129" s="96" t="s">
        <v>1193</v>
      </c>
      <c r="D129" s="96" t="s">
        <v>1353</v>
      </c>
      <c r="E129" s="96" t="s">
        <v>1513</v>
      </c>
      <c r="F129" s="96" t="s">
        <v>1503</v>
      </c>
      <c r="G129" s="97" t="s">
        <v>1294</v>
      </c>
      <c r="H129" s="204" t="str">
        <f>HYPERLINK("#CB_p!code보PFAM5D01","PFAM5D01")</f>
        <v>PFAM5D01</v>
      </c>
      <c r="I129" s="205"/>
      <c r="J129" s="205" t="str">
        <f>HYPERLINK("#QN19_p!q19보PFAM5D01","문5-1a")</f>
        <v>문5-1a</v>
      </c>
    </row>
    <row r="130" spans="2:10" ht="18" customHeight="1">
      <c r="B130" s="101" t="s">
        <v>1343</v>
      </c>
      <c r="C130" s="101" t="s">
        <v>1193</v>
      </c>
      <c r="D130" s="101" t="s">
        <v>1353</v>
      </c>
      <c r="E130" s="101" t="s">
        <v>1513</v>
      </c>
      <c r="F130" s="101" t="s">
        <v>1515</v>
      </c>
      <c r="G130" s="91" t="s">
        <v>1295</v>
      </c>
      <c r="H130" s="208" t="str">
        <f>HYPERLINK("#CB_p!code보PFAM5D02","PFAM5D02")</f>
        <v>PFAM5D02</v>
      </c>
      <c r="I130" s="209"/>
      <c r="J130" s="209" t="str">
        <f>HYPERLINK("#QN19_p!q19보PFAM5D02","문5-1a")</f>
        <v>문5-1a</v>
      </c>
    </row>
    <row r="131" spans="2:10" ht="18" customHeight="1">
      <c r="B131" s="101" t="s">
        <v>1343</v>
      </c>
      <c r="C131" s="101" t="s">
        <v>1193</v>
      </c>
      <c r="D131" s="101" t="s">
        <v>1353</v>
      </c>
      <c r="E131" s="101" t="s">
        <v>1513</v>
      </c>
      <c r="F131" s="101" t="s">
        <v>1515</v>
      </c>
      <c r="G131" s="91" t="s">
        <v>1296</v>
      </c>
      <c r="H131" s="208" t="str">
        <f>HYPERLINK("#CB_p!code보PFAM5D03","PFAM5D03")</f>
        <v>PFAM5D03</v>
      </c>
      <c r="I131" s="209"/>
      <c r="J131" s="209" t="str">
        <f>HYPERLINK("#QN19_p!q19보PFAM5D03","문5-1b")</f>
        <v>문5-1b</v>
      </c>
    </row>
    <row r="132" spans="2:10" ht="18" customHeight="1">
      <c r="B132" s="99" t="s">
        <v>1343</v>
      </c>
      <c r="C132" s="99" t="s">
        <v>1193</v>
      </c>
      <c r="D132" s="99" t="s">
        <v>1353</v>
      </c>
      <c r="E132" s="99" t="s">
        <v>1513</v>
      </c>
      <c r="F132" s="99" t="s">
        <v>1503</v>
      </c>
      <c r="G132" s="94" t="s">
        <v>1297</v>
      </c>
      <c r="H132" s="206" t="str">
        <f>HYPERLINK("#CB_p!code보PFAM5D04","PFAM5D04")</f>
        <v>PFAM5D04</v>
      </c>
      <c r="I132" s="207"/>
      <c r="J132" s="207" t="str">
        <f>HYPERLINK("#QN19_p!q19보PFAM5D04","문5-1b")</f>
        <v>문5-1b</v>
      </c>
    </row>
    <row r="133" spans="2:10" ht="18" customHeight="1">
      <c r="B133" s="96" t="s">
        <v>1343</v>
      </c>
      <c r="C133" s="96" t="s">
        <v>1193</v>
      </c>
      <c r="D133" s="96" t="s">
        <v>1353</v>
      </c>
      <c r="E133" s="96" t="s">
        <v>1514</v>
      </c>
      <c r="F133" s="96" t="s">
        <v>1515</v>
      </c>
      <c r="G133" s="97" t="s">
        <v>1294</v>
      </c>
      <c r="H133" s="204" t="str">
        <f>HYPERLINK("#CB_p!code보PFAM5E01","PFAM5E01")</f>
        <v>PFAM5E01</v>
      </c>
      <c r="I133" s="205"/>
      <c r="J133" s="205" t="str">
        <f>HYPERLINK("#QN19_p!q19보PFAM5E01","문5-1a")</f>
        <v>문5-1a</v>
      </c>
    </row>
    <row r="134" spans="2:10" ht="18" customHeight="1">
      <c r="B134" s="101" t="s">
        <v>1343</v>
      </c>
      <c r="C134" s="101" t="s">
        <v>1193</v>
      </c>
      <c r="D134" s="101" t="s">
        <v>1353</v>
      </c>
      <c r="E134" s="101" t="s">
        <v>1514</v>
      </c>
      <c r="F134" s="101" t="s">
        <v>1515</v>
      </c>
      <c r="G134" s="91" t="s">
        <v>1295</v>
      </c>
      <c r="H134" s="208" t="str">
        <f>HYPERLINK("#CB_p!code보PFAM5E02","PFAM5E02")</f>
        <v>PFAM5E02</v>
      </c>
      <c r="I134" s="209"/>
      <c r="J134" s="209" t="str">
        <f>HYPERLINK("#QN19_p!q19보PFAM5E02","문5-1a")</f>
        <v>문5-1a</v>
      </c>
    </row>
    <row r="135" spans="2:10" ht="18" customHeight="1">
      <c r="B135" s="101" t="s">
        <v>1343</v>
      </c>
      <c r="C135" s="101" t="s">
        <v>1193</v>
      </c>
      <c r="D135" s="101" t="s">
        <v>1353</v>
      </c>
      <c r="E135" s="101" t="s">
        <v>1514</v>
      </c>
      <c r="F135" s="101" t="s">
        <v>1515</v>
      </c>
      <c r="G135" s="91" t="s">
        <v>1296</v>
      </c>
      <c r="H135" s="208" t="str">
        <f>HYPERLINK("#CB_p!code보PFAM5E03","PFAM5E03")</f>
        <v>PFAM5E03</v>
      </c>
      <c r="I135" s="209"/>
      <c r="J135" s="209" t="str">
        <f>HYPERLINK("#QN19_p!q19보PFAM5E03","문5-1b")</f>
        <v>문5-1b</v>
      </c>
    </row>
    <row r="136" spans="2:10" ht="18" customHeight="1">
      <c r="B136" s="99" t="s">
        <v>1343</v>
      </c>
      <c r="C136" s="99" t="s">
        <v>1193</v>
      </c>
      <c r="D136" s="99" t="s">
        <v>1353</v>
      </c>
      <c r="E136" s="99" t="s">
        <v>1514</v>
      </c>
      <c r="F136" s="99" t="s">
        <v>1503</v>
      </c>
      <c r="G136" s="94" t="s">
        <v>1297</v>
      </c>
      <c r="H136" s="206" t="str">
        <f>HYPERLINK("#CB_p!code보PFAM5E04","PFAM5E04")</f>
        <v>PFAM5E04</v>
      </c>
      <c r="I136" s="207"/>
      <c r="J136" s="207" t="str">
        <f>HYPERLINK("#QN19_p!q19보PFAM5E04","문5-1b")</f>
        <v>문5-1b</v>
      </c>
    </row>
    <row r="137" spans="2:10" ht="18" customHeight="1">
      <c r="B137" s="96" t="s">
        <v>1343</v>
      </c>
      <c r="C137" s="96" t="s">
        <v>1354</v>
      </c>
      <c r="D137" s="96" t="s">
        <v>1355</v>
      </c>
      <c r="E137" s="96" t="s">
        <v>1355</v>
      </c>
      <c r="F137" s="96" t="s">
        <v>1302</v>
      </c>
      <c r="G137" s="118" t="s">
        <v>1402</v>
      </c>
      <c r="H137" s="204" t="str">
        <f>HYPERLINK("#CB_p!code보PEDU1A00","PEDU1A00")</f>
        <v>PEDU1A00</v>
      </c>
      <c r="I137" s="205" t="str">
        <f>HYPERLINK("#QN18_p!q18보PEDU1A00","문3")</f>
        <v>문3</v>
      </c>
      <c r="J137" s="205" t="str">
        <f>HYPERLINK("#QN19_p!q19보PEDU1A00","문3")</f>
        <v>문3</v>
      </c>
    </row>
    <row r="138" spans="2:10" ht="18" customHeight="1">
      <c r="B138" s="101" t="s">
        <v>1343</v>
      </c>
      <c r="C138" s="101" t="s">
        <v>1354</v>
      </c>
      <c r="D138" s="101" t="s">
        <v>1355</v>
      </c>
      <c r="E138" s="101" t="s">
        <v>1355</v>
      </c>
      <c r="F138" s="101" t="s">
        <v>1302</v>
      </c>
      <c r="G138" s="91" t="s">
        <v>1403</v>
      </c>
      <c r="H138" s="208" t="str">
        <f>HYPERLINK("#CB_p!code보PEDU1B01","PEDU1B01")</f>
        <v>PEDU1B01</v>
      </c>
      <c r="I138" s="209" t="str">
        <f>HYPERLINK("#QN18_p!q18보PEDU1B01","문3-1")</f>
        <v>문3-1</v>
      </c>
      <c r="J138" s="209" t="str">
        <f>HYPERLINK("#QN19_p!q19보PEDU1B01","문3-1")</f>
        <v>문3-1</v>
      </c>
    </row>
    <row r="139" spans="2:10" ht="18" customHeight="1">
      <c r="B139" s="101" t="s">
        <v>1343</v>
      </c>
      <c r="C139" s="101" t="s">
        <v>1354</v>
      </c>
      <c r="D139" s="101" t="s">
        <v>1355</v>
      </c>
      <c r="E139" s="101" t="s">
        <v>1355</v>
      </c>
      <c r="F139" s="101" t="s">
        <v>1302</v>
      </c>
      <c r="G139" s="91" t="s">
        <v>1404</v>
      </c>
      <c r="H139" s="208" t="str">
        <f>HYPERLINK("#CB_p!code보PEDU1B02","PEDU1B02")</f>
        <v>PEDU1B02</v>
      </c>
      <c r="I139" s="209" t="str">
        <f>HYPERLINK("#QN18_p!q18보PEDU1B02","문3-1")</f>
        <v>문3-1</v>
      </c>
      <c r="J139" s="209" t="str">
        <f>HYPERLINK("#QN19_p!q19보PEDU1B02","문3-1")</f>
        <v>문3-1</v>
      </c>
    </row>
    <row r="140" spans="2:10" ht="18" customHeight="1">
      <c r="B140" s="101" t="s">
        <v>1343</v>
      </c>
      <c r="C140" s="101" t="s">
        <v>1354</v>
      </c>
      <c r="D140" s="101" t="s">
        <v>1355</v>
      </c>
      <c r="E140" s="101" t="s">
        <v>1355</v>
      </c>
      <c r="F140" s="101" t="s">
        <v>1302</v>
      </c>
      <c r="G140" s="91" t="s">
        <v>1405</v>
      </c>
      <c r="H140" s="208" t="str">
        <f>HYPERLINK("#CB_p!code보PEDU1B02_T","PEDU1B02_T")</f>
        <v>PEDU1B02_T</v>
      </c>
      <c r="I140" s="209" t="str">
        <f>HYPERLINK("#QN18_p!q18보PEDU1B02_T","문3-1_T")</f>
        <v>문3-1_T</v>
      </c>
      <c r="J140" s="209" t="str">
        <f>HYPERLINK("#QN19_p!q19보PEDU1B02_T","문3-1_T")</f>
        <v>문3-1_T</v>
      </c>
    </row>
    <row r="141" spans="2:10" ht="18" customHeight="1">
      <c r="B141" s="101" t="s">
        <v>1343</v>
      </c>
      <c r="C141" s="101" t="s">
        <v>1354</v>
      </c>
      <c r="D141" s="101" t="s">
        <v>1355</v>
      </c>
      <c r="E141" s="101" t="s">
        <v>1355</v>
      </c>
      <c r="F141" s="101" t="s">
        <v>1302</v>
      </c>
      <c r="G141" s="91" t="s">
        <v>1406</v>
      </c>
      <c r="H141" s="208" t="str">
        <f>HYPERLINK("#CB_p!code보PEDU1C00","PEDU1C00")</f>
        <v>PEDU1C00</v>
      </c>
      <c r="I141" s="209" t="str">
        <f>HYPERLINK("#QN18_p!q18보PEDU1C00","문3-2")</f>
        <v>문3-2</v>
      </c>
      <c r="J141" s="209" t="str">
        <f>HYPERLINK("#QN19_p!q19보PEDU1C00","문3-2")</f>
        <v>문3-2</v>
      </c>
    </row>
    <row r="142" spans="2:10" ht="18" customHeight="1">
      <c r="B142" s="101" t="s">
        <v>1343</v>
      </c>
      <c r="C142" s="101" t="s">
        <v>1354</v>
      </c>
      <c r="D142" s="101" t="s">
        <v>1355</v>
      </c>
      <c r="E142" s="101" t="s">
        <v>1355</v>
      </c>
      <c r="F142" s="101" t="s">
        <v>1302</v>
      </c>
      <c r="G142" s="91" t="s">
        <v>1407</v>
      </c>
      <c r="H142" s="208" t="str">
        <f>HYPERLINK("#CB_p!code보PEDU1B03","PEDU1B03")</f>
        <v>PEDU1B03</v>
      </c>
      <c r="I142" s="209" t="str">
        <f>HYPERLINK("#QN18_p!q18보PEDU1B03","문3-3")</f>
        <v>문3-3</v>
      </c>
      <c r="J142" s="209" t="str">
        <f>HYPERLINK("#QN19_p!q19보PEDU1B03","문3-3")</f>
        <v>문3-3</v>
      </c>
    </row>
    <row r="143" spans="2:10" ht="18" customHeight="1">
      <c r="B143" s="101" t="s">
        <v>1343</v>
      </c>
      <c r="C143" s="101" t="s">
        <v>1354</v>
      </c>
      <c r="D143" s="101" t="s">
        <v>1355</v>
      </c>
      <c r="E143" s="101" t="s">
        <v>1355</v>
      </c>
      <c r="F143" s="101" t="s">
        <v>1302</v>
      </c>
      <c r="G143" s="91" t="s">
        <v>1408</v>
      </c>
      <c r="H143" s="208" t="str">
        <f>HYPERLINK("#CB_p!code보PEDU1B04","PEDU1B04")</f>
        <v>PEDU1B04</v>
      </c>
      <c r="I143" s="209" t="str">
        <f>HYPERLINK("#QN18_p!q18보PEDU1B04","문3-3")</f>
        <v>문3-3</v>
      </c>
      <c r="J143" s="209" t="str">
        <f>HYPERLINK("#QN19_p!q19보PEDU1B04","문3-3")</f>
        <v>문3-3</v>
      </c>
    </row>
    <row r="144" spans="2:10" ht="18" customHeight="1">
      <c r="B144" s="99" t="s">
        <v>1343</v>
      </c>
      <c r="C144" s="99" t="s">
        <v>1354</v>
      </c>
      <c r="D144" s="99" t="s">
        <v>1355</v>
      </c>
      <c r="E144" s="99" t="s">
        <v>1355</v>
      </c>
      <c r="F144" s="99" t="s">
        <v>1302</v>
      </c>
      <c r="G144" s="94" t="s">
        <v>1409</v>
      </c>
      <c r="H144" s="206" t="str">
        <f>HYPERLINK("#CB_p!code보PEDU1B04_T","PEDU1B04_T")</f>
        <v>PEDU1B04_T</v>
      </c>
      <c r="I144" s="207" t="str">
        <f>HYPERLINK("#QN18_p!q18보PEDU1B04_T","문3-3_T")</f>
        <v>문3-3_T</v>
      </c>
      <c r="J144" s="207" t="str">
        <f>HYPERLINK("#QN19_p!q19보PEDU1B04_T","문3-3_T")</f>
        <v>문3-3_T</v>
      </c>
    </row>
    <row r="145" spans="2:10" ht="18" customHeight="1">
      <c r="B145" s="96" t="s">
        <v>1356</v>
      </c>
      <c r="C145" s="96" t="s">
        <v>1357</v>
      </c>
      <c r="D145" s="96" t="s">
        <v>1141</v>
      </c>
      <c r="E145" s="96" t="s">
        <v>1142</v>
      </c>
      <c r="F145" s="96" t="s">
        <v>1302</v>
      </c>
      <c r="G145" s="97" t="s">
        <v>164</v>
      </c>
      <c r="H145" s="204" t="str">
        <f>HYPERLINK("#CB_p!code보PPSY1A01","PPSY1A01")</f>
        <v>PPSY1A01</v>
      </c>
      <c r="I145" s="205" t="str">
        <f>HYPERLINK("#QN18_p!q18보PPSY1A01","문11-1")</f>
        <v>문11-1</v>
      </c>
      <c r="J145" s="205" t="str">
        <f>HYPERLINK("#QN19_p!q19보PPSY1A01","문11-1")</f>
        <v>문11-1</v>
      </c>
    </row>
    <row r="146" spans="2:10" ht="18" customHeight="1">
      <c r="B146" s="101" t="s">
        <v>1356</v>
      </c>
      <c r="C146" s="101" t="s">
        <v>1357</v>
      </c>
      <c r="D146" s="101" t="s">
        <v>1141</v>
      </c>
      <c r="E146" s="101" t="s">
        <v>1142</v>
      </c>
      <c r="F146" s="101" t="s">
        <v>1302</v>
      </c>
      <c r="G146" s="91" t="s">
        <v>165</v>
      </c>
      <c r="H146" s="208" t="str">
        <f>HYPERLINK("#CB_p!code보PPSY1A02","PPSY1A02")</f>
        <v>PPSY1A02</v>
      </c>
      <c r="I146" s="209" t="str">
        <f>HYPERLINK("#QN18_p!q18보PPSY1A02","문11-2")</f>
        <v>문11-2</v>
      </c>
      <c r="J146" s="209" t="str">
        <f>HYPERLINK("#QN19_p!q19보PPSY1A02","문11-2")</f>
        <v>문11-2</v>
      </c>
    </row>
    <row r="147" spans="2:10" ht="18" customHeight="1">
      <c r="B147" s="101" t="s">
        <v>1356</v>
      </c>
      <c r="C147" s="101" t="s">
        <v>1357</v>
      </c>
      <c r="D147" s="101" t="s">
        <v>1141</v>
      </c>
      <c r="E147" s="101" t="s">
        <v>1142</v>
      </c>
      <c r="F147" s="101" t="s">
        <v>1302</v>
      </c>
      <c r="G147" s="91" t="s">
        <v>166</v>
      </c>
      <c r="H147" s="208" t="str">
        <f>HYPERLINK("#CB_p!code보PPSY1A03","PPSY1A03")</f>
        <v>PPSY1A03</v>
      </c>
      <c r="I147" s="209" t="str">
        <f>HYPERLINK("#QN18_p!q18보PPSY1A03","문11-3")</f>
        <v>문11-3</v>
      </c>
      <c r="J147" s="209" t="str">
        <f>HYPERLINK("#QN19_p!q19보PPSY1A03","문11-3")</f>
        <v>문11-3</v>
      </c>
    </row>
    <row r="148" spans="2:10" ht="18" customHeight="1">
      <c r="B148" s="101" t="s">
        <v>1356</v>
      </c>
      <c r="C148" s="101" t="s">
        <v>1357</v>
      </c>
      <c r="D148" s="101" t="s">
        <v>1141</v>
      </c>
      <c r="E148" s="101" t="s">
        <v>1142</v>
      </c>
      <c r="F148" s="101" t="s">
        <v>1302</v>
      </c>
      <c r="G148" s="91" t="s">
        <v>167</v>
      </c>
      <c r="H148" s="208" t="str">
        <f>HYPERLINK("#CB_p!code보PPSY1A04","PPSY1A04")</f>
        <v>PPSY1A04</v>
      </c>
      <c r="I148" s="209" t="str">
        <f>HYPERLINK("#QN18_p!q18보PPSY1A04","문11-4")</f>
        <v>문11-4</v>
      </c>
      <c r="J148" s="209" t="str">
        <f>HYPERLINK("#QN19_p!q19보PPSY1A04","문11-4")</f>
        <v>문11-4</v>
      </c>
    </row>
    <row r="149" spans="2:10" ht="18" customHeight="1">
      <c r="B149" s="99" t="s">
        <v>1356</v>
      </c>
      <c r="C149" s="99" t="s">
        <v>1357</v>
      </c>
      <c r="D149" s="99" t="s">
        <v>1141</v>
      </c>
      <c r="E149" s="99" t="s">
        <v>1142</v>
      </c>
      <c r="F149" s="99" t="s">
        <v>1302</v>
      </c>
      <c r="G149" s="94" t="s">
        <v>168</v>
      </c>
      <c r="H149" s="206" t="str">
        <f>HYPERLINK("#CB_p!code보PPSY1A05","PPSY1A05")</f>
        <v>PPSY1A05</v>
      </c>
      <c r="I149" s="207" t="str">
        <f>HYPERLINK("#QN18_p!q18보PPSY1A05","문11-5")</f>
        <v>문11-5</v>
      </c>
      <c r="J149" s="207" t="str">
        <f>HYPERLINK("#QN19_p!q19보PPSY1A05","문11-5")</f>
        <v>문11-5</v>
      </c>
    </row>
    <row r="150" spans="2:10" ht="18" customHeight="1">
      <c r="B150" s="96" t="s">
        <v>1356</v>
      </c>
      <c r="C150" s="96" t="s">
        <v>1357</v>
      </c>
      <c r="D150" s="96" t="s">
        <v>1143</v>
      </c>
      <c r="E150" s="96" t="s">
        <v>1144</v>
      </c>
      <c r="F150" s="96" t="s">
        <v>1302</v>
      </c>
      <c r="G150" s="97" t="s">
        <v>1243</v>
      </c>
      <c r="H150" s="204" t="str">
        <f>HYPERLINK("#CB_p!code보PPSY2A01","PPSY2A01")</f>
        <v>PPSY2A01</v>
      </c>
      <c r="I150" s="205" t="str">
        <f>HYPERLINK("#QN18_p!q18보PPSY2A01","문12a-1")</f>
        <v>문12a-1</v>
      </c>
      <c r="J150" s="205" t="str">
        <f>HYPERLINK("#QN19_p!q19보PPSY2A01","문12a-1")</f>
        <v>문12a-1</v>
      </c>
    </row>
    <row r="151" spans="2:10" ht="18" customHeight="1">
      <c r="B151" s="101" t="s">
        <v>1356</v>
      </c>
      <c r="C151" s="101" t="s">
        <v>1357</v>
      </c>
      <c r="D151" s="101" t="s">
        <v>1143</v>
      </c>
      <c r="E151" s="101" t="s">
        <v>1144</v>
      </c>
      <c r="F151" s="101" t="s">
        <v>1302</v>
      </c>
      <c r="G151" s="91" t="s">
        <v>1244</v>
      </c>
      <c r="H151" s="208" t="str">
        <f>HYPERLINK("#CB_p!code보PPSY2A02","PPSY2A02")</f>
        <v>PPSY2A02</v>
      </c>
      <c r="I151" s="209" t="str">
        <f>HYPERLINK("#QN18_p!q18보PPSY2A02","문12a-2")</f>
        <v>문12a-2</v>
      </c>
      <c r="J151" s="209" t="str">
        <f>HYPERLINK("#QN19_p!q19보PPSY2A02","문12a-2")</f>
        <v>문12a-2</v>
      </c>
    </row>
    <row r="152" spans="2:10" ht="18" customHeight="1">
      <c r="B152" s="101" t="s">
        <v>1356</v>
      </c>
      <c r="C152" s="101" t="s">
        <v>1357</v>
      </c>
      <c r="D152" s="101" t="s">
        <v>1143</v>
      </c>
      <c r="E152" s="101" t="s">
        <v>1144</v>
      </c>
      <c r="F152" s="101" t="s">
        <v>1302</v>
      </c>
      <c r="G152" s="91" t="s">
        <v>1245</v>
      </c>
      <c r="H152" s="208" t="str">
        <f>HYPERLINK("#CB_p!code보PPSY2A03","PPSY2A03")</f>
        <v>PPSY2A03</v>
      </c>
      <c r="I152" s="209" t="str">
        <f>HYPERLINK("#QN18_p!q18보PPSY2A03","문12b-1")</f>
        <v>문12b-1</v>
      </c>
      <c r="J152" s="209" t="str">
        <f>HYPERLINK("#QN19_p!q19보PPSY2A03","문12b-1")</f>
        <v>문12b-1</v>
      </c>
    </row>
    <row r="153" spans="2:10" ht="18" customHeight="1">
      <c r="B153" s="99" t="s">
        <v>1356</v>
      </c>
      <c r="C153" s="99" t="s">
        <v>1357</v>
      </c>
      <c r="D153" s="99" t="s">
        <v>1143</v>
      </c>
      <c r="E153" s="99" t="s">
        <v>1144</v>
      </c>
      <c r="F153" s="99" t="s">
        <v>1302</v>
      </c>
      <c r="G153" s="94" t="s">
        <v>1246</v>
      </c>
      <c r="H153" s="206" t="str">
        <f>HYPERLINK("#CB_p!code보PPSY2A04","PPSY2A04")</f>
        <v>PPSY2A04</v>
      </c>
      <c r="I153" s="207" t="str">
        <f>HYPERLINK("#QN18_p!q18보PPSY2A04","문12b-2")</f>
        <v>문12b-2</v>
      </c>
      <c r="J153" s="207" t="str">
        <f>HYPERLINK("#QN19_p!q19보PPSY2A04","문12b-2")</f>
        <v>문12b-2</v>
      </c>
    </row>
    <row r="154" spans="2:10" ht="18" customHeight="1">
      <c r="B154" s="96" t="s">
        <v>1356</v>
      </c>
      <c r="C154" s="96" t="s">
        <v>1357</v>
      </c>
      <c r="D154" s="96" t="s">
        <v>1145</v>
      </c>
      <c r="E154" s="96" t="s">
        <v>1146</v>
      </c>
      <c r="F154" s="96" t="s">
        <v>1302</v>
      </c>
      <c r="G154" s="97" t="s">
        <v>178</v>
      </c>
      <c r="H154" s="204" t="str">
        <f>HYPERLINK("#CB_p!code보PPSY3A01","PPSY3A01")</f>
        <v>PPSY3A01</v>
      </c>
      <c r="I154" s="205" t="str">
        <f>HYPERLINK("#QN18_p!q18보PPSY3A01","문13-1")</f>
        <v>문13-1</v>
      </c>
      <c r="J154" s="205" t="str">
        <f>HYPERLINK("#QN19_p!q19보PPSY3A01","문13-1")</f>
        <v>문13-1</v>
      </c>
    </row>
    <row r="155" spans="2:10" ht="18" customHeight="1">
      <c r="B155" s="101" t="s">
        <v>1356</v>
      </c>
      <c r="C155" s="101" t="s">
        <v>1357</v>
      </c>
      <c r="D155" s="101" t="s">
        <v>1145</v>
      </c>
      <c r="E155" s="101" t="s">
        <v>1146</v>
      </c>
      <c r="F155" s="101" t="s">
        <v>1302</v>
      </c>
      <c r="G155" s="91" t="s">
        <v>179</v>
      </c>
      <c r="H155" s="208" t="str">
        <f>HYPERLINK("#CB_p!code보PPSY3A02","PPSY3A02")</f>
        <v>PPSY3A02</v>
      </c>
      <c r="I155" s="209" t="str">
        <f>HYPERLINK("#QN18_p!q18보PPSY3A02","문13-2")</f>
        <v>문13-2</v>
      </c>
      <c r="J155" s="209" t="str">
        <f>HYPERLINK("#QN19_p!q19보PPSY3A02","문13-2")</f>
        <v>문13-2</v>
      </c>
    </row>
    <row r="156" spans="2:10" ht="18" customHeight="1">
      <c r="B156" s="101" t="s">
        <v>1356</v>
      </c>
      <c r="C156" s="101" t="s">
        <v>1357</v>
      </c>
      <c r="D156" s="101" t="s">
        <v>1145</v>
      </c>
      <c r="E156" s="101" t="s">
        <v>1146</v>
      </c>
      <c r="F156" s="101" t="s">
        <v>1302</v>
      </c>
      <c r="G156" s="91" t="s">
        <v>180</v>
      </c>
      <c r="H156" s="208" t="str">
        <f>HYPERLINK("#CB_p!code보PPSY3A03","PPSY3A03")</f>
        <v>PPSY3A03</v>
      </c>
      <c r="I156" s="209" t="str">
        <f>HYPERLINK("#QN18_p!q18보PPSY3A03","문13-3")</f>
        <v>문13-3</v>
      </c>
      <c r="J156" s="209" t="str">
        <f>HYPERLINK("#QN19_p!q19보PPSY3A03","문13-3")</f>
        <v>문13-3</v>
      </c>
    </row>
    <row r="157" spans="2:10" ht="18" customHeight="1">
      <c r="B157" s="101" t="s">
        <v>1356</v>
      </c>
      <c r="C157" s="101" t="s">
        <v>1357</v>
      </c>
      <c r="D157" s="101" t="s">
        <v>1145</v>
      </c>
      <c r="E157" s="101" t="s">
        <v>1146</v>
      </c>
      <c r="F157" s="101" t="s">
        <v>1302</v>
      </c>
      <c r="G157" s="91" t="s">
        <v>181</v>
      </c>
      <c r="H157" s="208" t="str">
        <f>HYPERLINK("#CB_p!code보PPSY3A04","PPSY3A04")</f>
        <v>PPSY3A04</v>
      </c>
      <c r="I157" s="209" t="str">
        <f>HYPERLINK("#QN18_p!q18보PPSY3A04","문13-4")</f>
        <v>문13-4</v>
      </c>
      <c r="J157" s="209" t="str">
        <f>HYPERLINK("#QN19_p!q19보PPSY3A04","문13-4")</f>
        <v>문13-4</v>
      </c>
    </row>
    <row r="158" spans="2:10" ht="18" customHeight="1">
      <c r="B158" s="101" t="s">
        <v>1356</v>
      </c>
      <c r="C158" s="101" t="s">
        <v>1357</v>
      </c>
      <c r="D158" s="101" t="s">
        <v>1145</v>
      </c>
      <c r="E158" s="101" t="s">
        <v>1146</v>
      </c>
      <c r="F158" s="101" t="s">
        <v>1302</v>
      </c>
      <c r="G158" s="91" t="s">
        <v>182</v>
      </c>
      <c r="H158" s="208" t="str">
        <f>HYPERLINK("#CB_p!code보PPSY3A05","PPSY3A05")</f>
        <v>PPSY3A05</v>
      </c>
      <c r="I158" s="209" t="str">
        <f>HYPERLINK("#QN18_p!q18보PPSY3A05","문13-5")</f>
        <v>문13-5</v>
      </c>
      <c r="J158" s="209" t="str">
        <f>HYPERLINK("#QN19_p!q19보PPSY3A05","문13-5")</f>
        <v>문13-5</v>
      </c>
    </row>
    <row r="159" spans="2:10" ht="18" customHeight="1">
      <c r="B159" s="101" t="s">
        <v>1356</v>
      </c>
      <c r="C159" s="101" t="s">
        <v>1357</v>
      </c>
      <c r="D159" s="101" t="s">
        <v>1145</v>
      </c>
      <c r="E159" s="101" t="s">
        <v>1146</v>
      </c>
      <c r="F159" s="101" t="s">
        <v>1302</v>
      </c>
      <c r="G159" s="91" t="s">
        <v>183</v>
      </c>
      <c r="H159" s="208" t="str">
        <f>HYPERLINK("#CB_p!code보PPSY3A06","PPSY3A06")</f>
        <v>PPSY3A06</v>
      </c>
      <c r="I159" s="209" t="str">
        <f>HYPERLINK("#QN18_p!q18보PPSY3A06","문13-6")</f>
        <v>문13-6</v>
      </c>
      <c r="J159" s="209" t="str">
        <f>HYPERLINK("#QN19_p!q19보PPSY3A06","문13-6")</f>
        <v>문13-6</v>
      </c>
    </row>
    <row r="160" spans="2:10" ht="18" customHeight="1">
      <c r="B160" s="101" t="s">
        <v>1356</v>
      </c>
      <c r="C160" s="101" t="s">
        <v>1357</v>
      </c>
      <c r="D160" s="101" t="s">
        <v>1145</v>
      </c>
      <c r="E160" s="101" t="s">
        <v>1146</v>
      </c>
      <c r="F160" s="101" t="s">
        <v>1302</v>
      </c>
      <c r="G160" s="91" t="s">
        <v>184</v>
      </c>
      <c r="H160" s="208" t="str">
        <f>HYPERLINK("#CB_p!code보PPSY3A07","PPSY3A07")</f>
        <v>PPSY3A07</v>
      </c>
      <c r="I160" s="209" t="str">
        <f>HYPERLINK("#QN18_p!q18보PPSY3A07","문13-7")</f>
        <v>문13-7</v>
      </c>
      <c r="J160" s="209" t="str">
        <f>HYPERLINK("#QN19_p!q19보PPSY3A07","문13-7")</f>
        <v>문13-7</v>
      </c>
    </row>
    <row r="161" spans="2:10" ht="18" customHeight="1">
      <c r="B161" s="101" t="s">
        <v>1356</v>
      </c>
      <c r="C161" s="101" t="s">
        <v>1357</v>
      </c>
      <c r="D161" s="101" t="s">
        <v>1145</v>
      </c>
      <c r="E161" s="101" t="s">
        <v>1146</v>
      </c>
      <c r="F161" s="101" t="s">
        <v>1302</v>
      </c>
      <c r="G161" s="91" t="s">
        <v>185</v>
      </c>
      <c r="H161" s="208" t="str">
        <f>HYPERLINK("#CB_p!code보PPSY3A08","PPSY3A08")</f>
        <v>PPSY3A08</v>
      </c>
      <c r="I161" s="209" t="str">
        <f>HYPERLINK("#QN18_p!q18보PPSY3A08","문13-8")</f>
        <v>문13-8</v>
      </c>
      <c r="J161" s="209" t="str">
        <f>HYPERLINK("#QN19_p!q19보PPSY3A08","문13-8")</f>
        <v>문13-8</v>
      </c>
    </row>
    <row r="162" spans="2:10" ht="18" customHeight="1">
      <c r="B162" s="101" t="s">
        <v>1356</v>
      </c>
      <c r="C162" s="101" t="s">
        <v>1357</v>
      </c>
      <c r="D162" s="101" t="s">
        <v>1145</v>
      </c>
      <c r="E162" s="101" t="s">
        <v>1146</v>
      </c>
      <c r="F162" s="101" t="s">
        <v>1302</v>
      </c>
      <c r="G162" s="91" t="s">
        <v>186</v>
      </c>
      <c r="H162" s="208" t="str">
        <f>HYPERLINK("#CB_p!code보PPSY3A09","PPSY3A09")</f>
        <v>PPSY3A09</v>
      </c>
      <c r="I162" s="209" t="str">
        <f>HYPERLINK("#QN18_p!q18보PPSY3A09","문13-9")</f>
        <v>문13-9</v>
      </c>
      <c r="J162" s="209" t="str">
        <f>HYPERLINK("#QN19_p!q19보PPSY3A09","문13-9")</f>
        <v>문13-9</v>
      </c>
    </row>
    <row r="163" spans="2:10" ht="18" customHeight="1">
      <c r="B163" s="99" t="s">
        <v>1356</v>
      </c>
      <c r="C163" s="99" t="s">
        <v>1357</v>
      </c>
      <c r="D163" s="99" t="s">
        <v>1145</v>
      </c>
      <c r="E163" s="99" t="s">
        <v>1146</v>
      </c>
      <c r="F163" s="99" t="s">
        <v>1302</v>
      </c>
      <c r="G163" s="94" t="s">
        <v>187</v>
      </c>
      <c r="H163" s="206" t="str">
        <f>HYPERLINK("#CB_p!code보PPSY3A10","PPSY3A10")</f>
        <v>PPSY3A10</v>
      </c>
      <c r="I163" s="207" t="str">
        <f>HYPERLINK("#QN18_p!q18보PPSY3A10","문13-10")</f>
        <v>문13-10</v>
      </c>
      <c r="J163" s="207" t="str">
        <f>HYPERLINK("#QN19_p!q19보PPSY3A10","문13-10")</f>
        <v>문13-10</v>
      </c>
    </row>
    <row r="164" spans="2:10" ht="18" customHeight="1">
      <c r="B164" s="96" t="s">
        <v>1356</v>
      </c>
      <c r="C164" s="96" t="s">
        <v>1357</v>
      </c>
      <c r="D164" s="96" t="s">
        <v>1155</v>
      </c>
      <c r="E164" s="96" t="s">
        <v>1156</v>
      </c>
      <c r="F164" s="96" t="s">
        <v>1302</v>
      </c>
      <c r="G164" s="97" t="s">
        <v>384</v>
      </c>
      <c r="H164" s="204" t="str">
        <f>HYPERLINK("#CB_p!code보PPSY4A01","PPSY4A01")</f>
        <v>PPSY4A01</v>
      </c>
      <c r="I164" s="205" t="str">
        <f>HYPERLINK("#QN18_p!q18보PPSY4A01","문14")</f>
        <v>문14</v>
      </c>
      <c r="J164" s="205" t="str">
        <f>HYPERLINK("#QN19_p!q19보PPSY4A01","문14")</f>
        <v>문14</v>
      </c>
    </row>
    <row r="165" spans="2:10" ht="18" customHeight="1">
      <c r="B165" s="101" t="s">
        <v>1356</v>
      </c>
      <c r="C165" s="101" t="s">
        <v>1357</v>
      </c>
      <c r="D165" s="101" t="s">
        <v>1155</v>
      </c>
      <c r="E165" s="101" t="s">
        <v>1156</v>
      </c>
      <c r="F165" s="101" t="s">
        <v>1302</v>
      </c>
      <c r="G165" s="91" t="s">
        <v>387</v>
      </c>
      <c r="H165" s="208" t="str">
        <f>HYPERLINK("#CB_p!code보PPSY4A02","PPSY4A02")</f>
        <v>PPSY4A02</v>
      </c>
      <c r="I165" s="209" t="str">
        <f>HYPERLINK("#QN18_p!q18보PPSY4A02","문14")</f>
        <v>문14</v>
      </c>
      <c r="J165" s="209" t="str">
        <f>HYPERLINK("#QN19_p!q19보PPSY4A02","문14")</f>
        <v>문14</v>
      </c>
    </row>
    <row r="166" spans="2:10" ht="18" customHeight="1">
      <c r="B166" s="101" t="s">
        <v>1356</v>
      </c>
      <c r="C166" s="101" t="s">
        <v>1357</v>
      </c>
      <c r="D166" s="101" t="s">
        <v>1155</v>
      </c>
      <c r="E166" s="101" t="s">
        <v>1156</v>
      </c>
      <c r="F166" s="101" t="s">
        <v>1302</v>
      </c>
      <c r="G166" s="91" t="s">
        <v>388</v>
      </c>
      <c r="H166" s="208" t="str">
        <f>HYPERLINK("#CB_p!code보PPSY4A03","PPSY4A03")</f>
        <v>PPSY4A03</v>
      </c>
      <c r="I166" s="209" t="str">
        <f>HYPERLINK("#QN18_p!q18보PPSY4A03","문14")</f>
        <v>문14</v>
      </c>
      <c r="J166" s="209" t="str">
        <f>HYPERLINK("#QN19_p!q19보PPSY4A03","문14")</f>
        <v>문14</v>
      </c>
    </row>
    <row r="167" spans="2:10" ht="18" customHeight="1">
      <c r="B167" s="101" t="s">
        <v>1356</v>
      </c>
      <c r="C167" s="101" t="s">
        <v>1357</v>
      </c>
      <c r="D167" s="101" t="s">
        <v>1155</v>
      </c>
      <c r="E167" s="101" t="s">
        <v>1156</v>
      </c>
      <c r="F167" s="101" t="s">
        <v>1302</v>
      </c>
      <c r="G167" s="91" t="s">
        <v>389</v>
      </c>
      <c r="H167" s="208" t="str">
        <f>HYPERLINK("#CB_p!code보PPSY4A04","PPSY4A04")</f>
        <v>PPSY4A04</v>
      </c>
      <c r="I167" s="209" t="str">
        <f>HYPERLINK("#QN18_p!q18보PPSY4A04","문14")</f>
        <v>문14</v>
      </c>
      <c r="J167" s="209" t="str">
        <f>HYPERLINK("#QN19_p!q19보PPSY4A04","문14")</f>
        <v>문14</v>
      </c>
    </row>
    <row r="168" spans="2:10" ht="18" customHeight="1">
      <c r="B168" s="101" t="s">
        <v>1356</v>
      </c>
      <c r="C168" s="101" t="s">
        <v>1357</v>
      </c>
      <c r="D168" s="101" t="s">
        <v>1155</v>
      </c>
      <c r="E168" s="101" t="s">
        <v>1156</v>
      </c>
      <c r="F168" s="101" t="s">
        <v>1302</v>
      </c>
      <c r="G168" s="91" t="s">
        <v>390</v>
      </c>
      <c r="H168" s="208" t="str">
        <f>HYPERLINK("#CB_p!code보PPSY4A05","PPSY4A05")</f>
        <v>PPSY4A05</v>
      </c>
      <c r="I168" s="209" t="str">
        <f>HYPERLINK("#QN18_p!q18보PPSY4A05","문14")</f>
        <v>문14</v>
      </c>
      <c r="J168" s="209" t="str">
        <f>HYPERLINK("#QN19_p!q19보PPSY4A05","문14")</f>
        <v>문14</v>
      </c>
    </row>
    <row r="169" spans="2:10" ht="18" customHeight="1">
      <c r="B169" s="101" t="s">
        <v>1356</v>
      </c>
      <c r="C169" s="101" t="s">
        <v>1357</v>
      </c>
      <c r="D169" s="101" t="s">
        <v>1155</v>
      </c>
      <c r="E169" s="101" t="s">
        <v>1156</v>
      </c>
      <c r="F169" s="101" t="s">
        <v>1302</v>
      </c>
      <c r="G169" s="91" t="s">
        <v>391</v>
      </c>
      <c r="H169" s="208" t="str">
        <f>HYPERLINK("#CB_p!code보PPSY4A06","PPSY4A06")</f>
        <v>PPSY4A06</v>
      </c>
      <c r="I169" s="209" t="str">
        <f>HYPERLINK("#QN18_p!q18보PPSY4A06","문14")</f>
        <v>문14</v>
      </c>
      <c r="J169" s="209" t="str">
        <f>HYPERLINK("#QN19_p!q19보PPSY4A06","문14")</f>
        <v>문14</v>
      </c>
    </row>
    <row r="170" spans="2:10" ht="18" customHeight="1">
      <c r="B170" s="101" t="s">
        <v>1356</v>
      </c>
      <c r="C170" s="101" t="s">
        <v>1357</v>
      </c>
      <c r="D170" s="101" t="s">
        <v>1155</v>
      </c>
      <c r="E170" s="101" t="s">
        <v>1156</v>
      </c>
      <c r="F170" s="101" t="s">
        <v>1302</v>
      </c>
      <c r="G170" s="91" t="s">
        <v>392</v>
      </c>
      <c r="H170" s="208" t="str">
        <f>HYPERLINK("#CB_p!code보PPSY4A07","PPSY4A07")</f>
        <v>PPSY4A07</v>
      </c>
      <c r="I170" s="209" t="str">
        <f>HYPERLINK("#QN18_p!q18보PPSY4A07","문14")</f>
        <v>문14</v>
      </c>
      <c r="J170" s="209" t="str">
        <f>HYPERLINK("#QN19_p!q19보PPSY4A07","문14")</f>
        <v>문14</v>
      </c>
    </row>
    <row r="171" spans="2:10" ht="18" customHeight="1">
      <c r="B171" s="101" t="s">
        <v>1356</v>
      </c>
      <c r="C171" s="101" t="s">
        <v>1357</v>
      </c>
      <c r="D171" s="101" t="s">
        <v>1155</v>
      </c>
      <c r="E171" s="101" t="s">
        <v>1156</v>
      </c>
      <c r="F171" s="101" t="s">
        <v>1302</v>
      </c>
      <c r="G171" s="91" t="s">
        <v>393</v>
      </c>
      <c r="H171" s="208" t="str">
        <f>HYPERLINK("#CB_p!code보PPSY4A08","PPSY4A08")</f>
        <v>PPSY4A08</v>
      </c>
      <c r="I171" s="209" t="str">
        <f>HYPERLINK("#QN18_p!q18보PPSY4A08","문14")</f>
        <v>문14</v>
      </c>
      <c r="J171" s="209" t="str">
        <f>HYPERLINK("#QN19_p!q19보PPSY4A08","문14")</f>
        <v>문14</v>
      </c>
    </row>
    <row r="172" spans="2:10" ht="18" customHeight="1">
      <c r="B172" s="101" t="s">
        <v>1356</v>
      </c>
      <c r="C172" s="101" t="s">
        <v>1357</v>
      </c>
      <c r="D172" s="101" t="s">
        <v>1155</v>
      </c>
      <c r="E172" s="101" t="s">
        <v>1156</v>
      </c>
      <c r="F172" s="101" t="s">
        <v>1302</v>
      </c>
      <c r="G172" s="91" t="s">
        <v>394</v>
      </c>
      <c r="H172" s="208" t="str">
        <f>HYPERLINK("#CB_p!code보PPSY4A09","PPSY4A09")</f>
        <v>PPSY4A09</v>
      </c>
      <c r="I172" s="209" t="str">
        <f>HYPERLINK("#QN18_p!q18보PPSY4A09","문14")</f>
        <v>문14</v>
      </c>
      <c r="J172" s="209" t="str">
        <f>HYPERLINK("#QN19_p!q19보PPSY4A09","문14")</f>
        <v>문14</v>
      </c>
    </row>
    <row r="173" spans="2:10" ht="18" customHeight="1">
      <c r="B173" s="101" t="s">
        <v>1356</v>
      </c>
      <c r="C173" s="101" t="s">
        <v>1357</v>
      </c>
      <c r="D173" s="101" t="s">
        <v>1155</v>
      </c>
      <c r="E173" s="101" t="s">
        <v>1156</v>
      </c>
      <c r="F173" s="101" t="s">
        <v>1302</v>
      </c>
      <c r="G173" s="91" t="s">
        <v>395</v>
      </c>
      <c r="H173" s="208" t="str">
        <f>HYPERLINK("#CB_p!code보PPSY4A10","PPSY4A10")</f>
        <v>PPSY4A10</v>
      </c>
      <c r="I173" s="209" t="str">
        <f>HYPERLINK("#QN18_p!q18보PPSY4A10","문14")</f>
        <v>문14</v>
      </c>
      <c r="J173" s="209" t="str">
        <f>HYPERLINK("#QN19_p!q19보PPSY4A10","문14")</f>
        <v>문14</v>
      </c>
    </row>
    <row r="174" spans="2:10" ht="18" customHeight="1">
      <c r="B174" s="101" t="s">
        <v>1356</v>
      </c>
      <c r="C174" s="101" t="s">
        <v>1357</v>
      </c>
      <c r="D174" s="101" t="s">
        <v>1155</v>
      </c>
      <c r="E174" s="101" t="s">
        <v>1156</v>
      </c>
      <c r="F174" s="101" t="s">
        <v>1302</v>
      </c>
      <c r="G174" s="91" t="s">
        <v>396</v>
      </c>
      <c r="H174" s="208" t="str">
        <f>HYPERLINK("#CB_p!code보PPSY4A11","PPSY4A11")</f>
        <v>PPSY4A11</v>
      </c>
      <c r="I174" s="209" t="str">
        <f>HYPERLINK("#QN18_p!q18보PPSY4A11","문14")</f>
        <v>문14</v>
      </c>
      <c r="J174" s="209" t="str">
        <f>HYPERLINK("#QN19_p!q19보PPSY4A11","문14")</f>
        <v>문14</v>
      </c>
    </row>
    <row r="175" spans="2:10" ht="18" customHeight="1">
      <c r="B175" s="101" t="s">
        <v>1356</v>
      </c>
      <c r="C175" s="101" t="s">
        <v>1357</v>
      </c>
      <c r="D175" s="101" t="s">
        <v>1155</v>
      </c>
      <c r="E175" s="101" t="s">
        <v>1156</v>
      </c>
      <c r="F175" s="101" t="s">
        <v>1302</v>
      </c>
      <c r="G175" s="91" t="s">
        <v>397</v>
      </c>
      <c r="H175" s="208" t="str">
        <f>HYPERLINK("#CB_p!code보PPSY4A12","PPSY4A12")</f>
        <v>PPSY4A12</v>
      </c>
      <c r="I175" s="209" t="str">
        <f>HYPERLINK("#QN18_p!q18보PPSY4A12","문14")</f>
        <v>문14</v>
      </c>
      <c r="J175" s="209" t="str">
        <f>HYPERLINK("#QN19_p!q19보PPSY4A12","문14")</f>
        <v>문14</v>
      </c>
    </row>
    <row r="176" spans="2:10" ht="18" customHeight="1">
      <c r="B176" s="101" t="s">
        <v>1356</v>
      </c>
      <c r="C176" s="101" t="s">
        <v>1357</v>
      </c>
      <c r="D176" s="101" t="s">
        <v>1155</v>
      </c>
      <c r="E176" s="101" t="s">
        <v>1156</v>
      </c>
      <c r="F176" s="101" t="s">
        <v>1302</v>
      </c>
      <c r="G176" s="91" t="s">
        <v>398</v>
      </c>
      <c r="H176" s="208" t="str">
        <f>HYPERLINK("#CB_p!code보PPSY4A13","PPSY4A13")</f>
        <v>PPSY4A13</v>
      </c>
      <c r="I176" s="209" t="str">
        <f>HYPERLINK("#QN18_p!q18보PPSY4A13","문14")</f>
        <v>문14</v>
      </c>
      <c r="J176" s="209" t="str">
        <f>HYPERLINK("#QN19_p!q19보PPSY4A13","문14")</f>
        <v>문14</v>
      </c>
    </row>
    <row r="177" spans="2:10" ht="18" customHeight="1">
      <c r="B177" s="101" t="s">
        <v>1356</v>
      </c>
      <c r="C177" s="101" t="s">
        <v>1357</v>
      </c>
      <c r="D177" s="101" t="s">
        <v>1155</v>
      </c>
      <c r="E177" s="101" t="s">
        <v>1156</v>
      </c>
      <c r="F177" s="101" t="s">
        <v>1302</v>
      </c>
      <c r="G177" s="91" t="s">
        <v>399</v>
      </c>
      <c r="H177" s="208" t="str">
        <f>HYPERLINK("#CB_p!code보PPSY4A14","PPSY4A14")</f>
        <v>PPSY4A14</v>
      </c>
      <c r="I177" s="209" t="str">
        <f>HYPERLINK("#QN18_p!q18보PPSY4A14","문14")</f>
        <v>문14</v>
      </c>
      <c r="J177" s="209" t="str">
        <f>HYPERLINK("#QN19_p!q19보PPSY4A14","문14")</f>
        <v>문14</v>
      </c>
    </row>
    <row r="178" spans="2:10" ht="18" customHeight="1">
      <c r="B178" s="101" t="s">
        <v>1356</v>
      </c>
      <c r="C178" s="101" t="s">
        <v>1357</v>
      </c>
      <c r="D178" s="101" t="s">
        <v>1155</v>
      </c>
      <c r="E178" s="101" t="s">
        <v>1156</v>
      </c>
      <c r="F178" s="101" t="s">
        <v>1302</v>
      </c>
      <c r="G178" s="91" t="s">
        <v>400</v>
      </c>
      <c r="H178" s="208" t="str">
        <f>HYPERLINK("#CB_p!code보PPSY4A15","PPSY4A15")</f>
        <v>PPSY4A15</v>
      </c>
      <c r="I178" s="209" t="str">
        <f>HYPERLINK("#QN18_p!q18보PPSY4A15","문14")</f>
        <v>문14</v>
      </c>
      <c r="J178" s="209" t="str">
        <f>HYPERLINK("#QN19_p!q19보PPSY4A15","문14")</f>
        <v>문14</v>
      </c>
    </row>
    <row r="179" spans="2:10" ht="18" customHeight="1">
      <c r="B179" s="101" t="s">
        <v>1356</v>
      </c>
      <c r="C179" s="101" t="s">
        <v>1357</v>
      </c>
      <c r="D179" s="101" t="s">
        <v>1155</v>
      </c>
      <c r="E179" s="101" t="s">
        <v>1156</v>
      </c>
      <c r="F179" s="101" t="s">
        <v>1302</v>
      </c>
      <c r="G179" s="91" t="s">
        <v>401</v>
      </c>
      <c r="H179" s="208" t="str">
        <f>HYPERLINK("#CB_p!code보PPSY4A16","PPSY4A16")</f>
        <v>PPSY4A16</v>
      </c>
      <c r="I179" s="209" t="str">
        <f>HYPERLINK("#QN18_p!q18보PPSY4A16","문14")</f>
        <v>문14</v>
      </c>
      <c r="J179" s="209" t="str">
        <f>HYPERLINK("#QN19_p!q19보PPSY4A16","문14")</f>
        <v>문14</v>
      </c>
    </row>
    <row r="180" spans="2:10" ht="18" customHeight="1">
      <c r="B180" s="101" t="s">
        <v>1356</v>
      </c>
      <c r="C180" s="101" t="s">
        <v>1357</v>
      </c>
      <c r="D180" s="101" t="s">
        <v>1155</v>
      </c>
      <c r="E180" s="101" t="s">
        <v>1156</v>
      </c>
      <c r="F180" s="101" t="s">
        <v>1302</v>
      </c>
      <c r="G180" s="91" t="s">
        <v>402</v>
      </c>
      <c r="H180" s="208" t="str">
        <f>HYPERLINK("#CB_p!code보PPSY4A17","PPSY4A17")</f>
        <v>PPSY4A17</v>
      </c>
      <c r="I180" s="209" t="str">
        <f>HYPERLINK("#QN18_p!q18보PPSY4A17","문14")</f>
        <v>문14</v>
      </c>
      <c r="J180" s="209" t="str">
        <f>HYPERLINK("#QN19_p!q19보PPSY4A17","문14")</f>
        <v>문14</v>
      </c>
    </row>
    <row r="181" spans="2:10" ht="18" customHeight="1">
      <c r="B181" s="101" t="s">
        <v>1356</v>
      </c>
      <c r="C181" s="101" t="s">
        <v>1357</v>
      </c>
      <c r="D181" s="101" t="s">
        <v>1155</v>
      </c>
      <c r="E181" s="101" t="s">
        <v>1156</v>
      </c>
      <c r="F181" s="101" t="s">
        <v>1302</v>
      </c>
      <c r="G181" s="91" t="s">
        <v>403</v>
      </c>
      <c r="H181" s="208" t="str">
        <f>HYPERLINK("#CB_p!code보PPSY4A18","PPSY4A18")</f>
        <v>PPSY4A18</v>
      </c>
      <c r="I181" s="209" t="str">
        <f>HYPERLINK("#QN18_p!q18보PPSY4A18","문14")</f>
        <v>문14</v>
      </c>
      <c r="J181" s="209" t="str">
        <f>HYPERLINK("#QN19_p!q19보PPSY4A18","문14")</f>
        <v>문14</v>
      </c>
    </row>
    <row r="182" spans="2:10" ht="18" customHeight="1">
      <c r="B182" s="101" t="s">
        <v>1356</v>
      </c>
      <c r="C182" s="101" t="s">
        <v>1357</v>
      </c>
      <c r="D182" s="101" t="s">
        <v>1155</v>
      </c>
      <c r="E182" s="101" t="s">
        <v>1156</v>
      </c>
      <c r="F182" s="101" t="s">
        <v>1302</v>
      </c>
      <c r="G182" s="91" t="s">
        <v>404</v>
      </c>
      <c r="H182" s="208" t="str">
        <f>HYPERLINK("#CB_p!code보PPSY4A19","PPSY4A19")</f>
        <v>PPSY4A19</v>
      </c>
      <c r="I182" s="209" t="str">
        <f>HYPERLINK("#QN18_p!q18보PPSY4A19","문14")</f>
        <v>문14</v>
      </c>
      <c r="J182" s="209" t="str">
        <f>HYPERLINK("#QN19_p!q19보PPSY4A19","문14")</f>
        <v>문14</v>
      </c>
    </row>
    <row r="183" spans="2:10" ht="18" customHeight="1">
      <c r="B183" s="101" t="s">
        <v>1356</v>
      </c>
      <c r="C183" s="101" t="s">
        <v>1357</v>
      </c>
      <c r="D183" s="101" t="s">
        <v>1155</v>
      </c>
      <c r="E183" s="101" t="s">
        <v>1156</v>
      </c>
      <c r="F183" s="101" t="s">
        <v>1302</v>
      </c>
      <c r="G183" s="91" t="s">
        <v>405</v>
      </c>
      <c r="H183" s="208" t="str">
        <f>HYPERLINK("#CB_p!code보PPSY4A20","PPSY4A20")</f>
        <v>PPSY4A20</v>
      </c>
      <c r="I183" s="209" t="str">
        <f>HYPERLINK("#QN18_p!q18보PPSY4A20","문14")</f>
        <v>문14</v>
      </c>
      <c r="J183" s="209" t="str">
        <f>HYPERLINK("#QN19_p!q19보PPSY4A20","문14")</f>
        <v>문14</v>
      </c>
    </row>
    <row r="184" spans="2:10" ht="18" customHeight="1">
      <c r="B184" s="101" t="s">
        <v>1356</v>
      </c>
      <c r="C184" s="101" t="s">
        <v>1357</v>
      </c>
      <c r="D184" s="101" t="s">
        <v>1155</v>
      </c>
      <c r="E184" s="101" t="s">
        <v>1156</v>
      </c>
      <c r="F184" s="101" t="s">
        <v>1302</v>
      </c>
      <c r="G184" s="91" t="s">
        <v>406</v>
      </c>
      <c r="H184" s="208" t="str">
        <f>HYPERLINK("#CB_p!code보PPSY4A21","PPSY4A21")</f>
        <v>PPSY4A21</v>
      </c>
      <c r="I184" s="209" t="str">
        <f>HYPERLINK("#QN18_p!q18보PPSY4A21","문14")</f>
        <v>문14</v>
      </c>
      <c r="J184" s="209" t="str">
        <f>HYPERLINK("#QN19_p!q19보PPSY4A21","문14")</f>
        <v>문14</v>
      </c>
    </row>
    <row r="185" spans="2:10" ht="18" customHeight="1">
      <c r="B185" s="101" t="s">
        <v>1356</v>
      </c>
      <c r="C185" s="101" t="s">
        <v>1357</v>
      </c>
      <c r="D185" s="101" t="s">
        <v>1155</v>
      </c>
      <c r="E185" s="101" t="s">
        <v>1156</v>
      </c>
      <c r="F185" s="101" t="s">
        <v>1302</v>
      </c>
      <c r="G185" s="91" t="s">
        <v>407</v>
      </c>
      <c r="H185" s="208" t="str">
        <f>HYPERLINK("#CB_p!code보PPSY4A22","PPSY4A22")</f>
        <v>PPSY4A22</v>
      </c>
      <c r="I185" s="209" t="str">
        <f>HYPERLINK("#QN18_p!q18보PPSY4A22","문14")</f>
        <v>문14</v>
      </c>
      <c r="J185" s="209" t="str">
        <f>HYPERLINK("#QN19_p!q19보PPSY4A22","문14")</f>
        <v>문14</v>
      </c>
    </row>
    <row r="186" spans="2:10" ht="18" customHeight="1">
      <c r="B186" s="101" t="s">
        <v>1356</v>
      </c>
      <c r="C186" s="101" t="s">
        <v>1357</v>
      </c>
      <c r="D186" s="101" t="s">
        <v>1155</v>
      </c>
      <c r="E186" s="101" t="s">
        <v>1156</v>
      </c>
      <c r="F186" s="101" t="s">
        <v>1302</v>
      </c>
      <c r="G186" s="91" t="s">
        <v>408</v>
      </c>
      <c r="H186" s="208" t="str">
        <f>HYPERLINK("#CB_p!code보PPSY4A23","PPSY4A23")</f>
        <v>PPSY4A23</v>
      </c>
      <c r="I186" s="209" t="str">
        <f>HYPERLINK("#QN18_p!q18보PPSY4A23","문14")</f>
        <v>문14</v>
      </c>
      <c r="J186" s="209" t="str">
        <f>HYPERLINK("#QN19_p!q19보PPSY4A23","문14")</f>
        <v>문14</v>
      </c>
    </row>
    <row r="187" spans="2:10" ht="18" customHeight="1">
      <c r="B187" s="101" t="s">
        <v>1356</v>
      </c>
      <c r="C187" s="101" t="s">
        <v>1357</v>
      </c>
      <c r="D187" s="101" t="s">
        <v>1155</v>
      </c>
      <c r="E187" s="101" t="s">
        <v>1156</v>
      </c>
      <c r="F187" s="101" t="s">
        <v>1302</v>
      </c>
      <c r="G187" s="91" t="s">
        <v>409</v>
      </c>
      <c r="H187" s="208" t="str">
        <f>HYPERLINK("#CB_p!code보PPSY4A24","PPSY4A24")</f>
        <v>PPSY4A24</v>
      </c>
      <c r="I187" s="209" t="str">
        <f>HYPERLINK("#QN18_p!q18보PPSY4A24","문14")</f>
        <v>문14</v>
      </c>
      <c r="J187" s="209" t="str">
        <f>HYPERLINK("#QN19_p!q19보PPSY4A24","문14")</f>
        <v>문14</v>
      </c>
    </row>
    <row r="188" spans="2:10" ht="18" customHeight="1">
      <c r="B188" s="101" t="s">
        <v>1356</v>
      </c>
      <c r="C188" s="101" t="s">
        <v>1357</v>
      </c>
      <c r="D188" s="101" t="s">
        <v>1155</v>
      </c>
      <c r="E188" s="101" t="s">
        <v>1156</v>
      </c>
      <c r="F188" s="101" t="s">
        <v>1302</v>
      </c>
      <c r="G188" s="91" t="s">
        <v>410</v>
      </c>
      <c r="H188" s="208" t="str">
        <f>HYPERLINK("#CB_p!code보PPSY4A25","PPSY4A25")</f>
        <v>PPSY4A25</v>
      </c>
      <c r="I188" s="209" t="str">
        <f>HYPERLINK("#QN18_p!q18보PPSY4A25","문14")</f>
        <v>문14</v>
      </c>
      <c r="J188" s="209" t="str">
        <f>HYPERLINK("#QN19_p!q19보PPSY4A25","문14")</f>
        <v>문14</v>
      </c>
    </row>
    <row r="189" spans="2:10" ht="18" customHeight="1">
      <c r="B189" s="101" t="s">
        <v>1356</v>
      </c>
      <c r="C189" s="101" t="s">
        <v>1357</v>
      </c>
      <c r="D189" s="101" t="s">
        <v>1155</v>
      </c>
      <c r="E189" s="101" t="s">
        <v>1156</v>
      </c>
      <c r="F189" s="101" t="s">
        <v>1302</v>
      </c>
      <c r="G189" s="91" t="s">
        <v>411</v>
      </c>
      <c r="H189" s="208" t="str">
        <f>HYPERLINK("#CB_p!code보PPSY4A26","PPSY4A26")</f>
        <v>PPSY4A26</v>
      </c>
      <c r="I189" s="209" t="str">
        <f>HYPERLINK("#QN18_p!q18보PPSY4A26","문14")</f>
        <v>문14</v>
      </c>
      <c r="J189" s="209" t="str">
        <f>HYPERLINK("#QN19_p!q19보PPSY4A26","문14")</f>
        <v>문14</v>
      </c>
    </row>
    <row r="190" spans="2:10" ht="18" customHeight="1">
      <c r="B190" s="101" t="s">
        <v>1356</v>
      </c>
      <c r="C190" s="101" t="s">
        <v>1357</v>
      </c>
      <c r="D190" s="101" t="s">
        <v>1155</v>
      </c>
      <c r="E190" s="101" t="s">
        <v>1156</v>
      </c>
      <c r="F190" s="101" t="s">
        <v>1302</v>
      </c>
      <c r="G190" s="91" t="s">
        <v>1261</v>
      </c>
      <c r="H190" s="208" t="str">
        <f>HYPERLINK("#CB_p!code보PPSY4A27","PPSY4A27")</f>
        <v>PPSY4A27</v>
      </c>
      <c r="I190" s="209" t="str">
        <f>HYPERLINK("#QN18_p!q18보PPSY4A27","문14")</f>
        <v>문14</v>
      </c>
      <c r="J190" s="209" t="str">
        <f>HYPERLINK("#QN19_p!q19보PPSY4A27","문14")</f>
        <v>문14</v>
      </c>
    </row>
    <row r="191" spans="2:10" ht="18" customHeight="1">
      <c r="B191" s="101" t="s">
        <v>1356</v>
      </c>
      <c r="C191" s="101" t="s">
        <v>1357</v>
      </c>
      <c r="D191" s="101" t="s">
        <v>1155</v>
      </c>
      <c r="E191" s="101" t="s">
        <v>1156</v>
      </c>
      <c r="F191" s="101" t="s">
        <v>1302</v>
      </c>
      <c r="G191" s="91" t="s">
        <v>413</v>
      </c>
      <c r="H191" s="208" t="str">
        <f>HYPERLINK("#CB_p!code보PPSY4A28","PPSY4A28")</f>
        <v>PPSY4A28</v>
      </c>
      <c r="I191" s="209" t="str">
        <f>HYPERLINK("#QN18_p!q18보PPSY4A28","문14")</f>
        <v>문14</v>
      </c>
      <c r="J191" s="209" t="str">
        <f>HYPERLINK("#QN19_p!q19보PPSY4A28","문14")</f>
        <v>문14</v>
      </c>
    </row>
    <row r="192" spans="2:10" ht="18" customHeight="1">
      <c r="B192" s="101" t="s">
        <v>1356</v>
      </c>
      <c r="C192" s="101" t="s">
        <v>1357</v>
      </c>
      <c r="D192" s="101" t="s">
        <v>1155</v>
      </c>
      <c r="E192" s="101" t="s">
        <v>1156</v>
      </c>
      <c r="F192" s="101" t="s">
        <v>1302</v>
      </c>
      <c r="G192" s="91" t="s">
        <v>414</v>
      </c>
      <c r="H192" s="208" t="str">
        <f>HYPERLINK("#CB_p!code보PPSY4A29","PPSY4A29")</f>
        <v>PPSY4A29</v>
      </c>
      <c r="I192" s="209" t="str">
        <f>HYPERLINK("#QN18_p!q18보PPSY4A29","문14")</f>
        <v>문14</v>
      </c>
      <c r="J192" s="209" t="str">
        <f>HYPERLINK("#QN19_p!q19보PPSY4A29","문14")</f>
        <v>문14</v>
      </c>
    </row>
    <row r="193" spans="2:10" ht="18" customHeight="1">
      <c r="B193" s="99" t="s">
        <v>1356</v>
      </c>
      <c r="C193" s="99" t="s">
        <v>1357</v>
      </c>
      <c r="D193" s="99" t="s">
        <v>1155</v>
      </c>
      <c r="E193" s="99" t="s">
        <v>1156</v>
      </c>
      <c r="F193" s="99" t="s">
        <v>1302</v>
      </c>
      <c r="G193" s="94" t="s">
        <v>415</v>
      </c>
      <c r="H193" s="206" t="str">
        <f>HYPERLINK("#CB_p!code보PPSY4A30","PPSY4A30")</f>
        <v>PPSY4A30</v>
      </c>
      <c r="I193" s="207" t="str">
        <f>HYPERLINK("#QN18_p!q18보PPSY4A30","문14")</f>
        <v>문14</v>
      </c>
      <c r="J193" s="207" t="str">
        <f>HYPERLINK("#QN19_p!q19보PPSY4A30","문14")</f>
        <v>문14</v>
      </c>
    </row>
    <row r="194" spans="2:10" ht="18" customHeight="1">
      <c r="B194" s="99" t="s">
        <v>1356</v>
      </c>
      <c r="C194" s="99" t="s">
        <v>1357</v>
      </c>
      <c r="D194" s="99" t="s">
        <v>1155</v>
      </c>
      <c r="E194" s="99" t="s">
        <v>1156</v>
      </c>
      <c r="F194" s="99" t="s">
        <v>1</v>
      </c>
      <c r="G194" s="94" t="s">
        <v>1834</v>
      </c>
      <c r="H194" s="202" t="str">
        <f>HYPERLINK("#CB_p!code보PPSY4Asc","PPSY4Asc")</f>
        <v>PPSY4Asc</v>
      </c>
      <c r="I194" s="209"/>
      <c r="J194" s="209"/>
    </row>
    <row r="195" spans="2:10" ht="18" customHeight="1">
      <c r="B195" s="96" t="s">
        <v>1356</v>
      </c>
      <c r="C195" s="96" t="s">
        <v>1357</v>
      </c>
      <c r="D195" s="96" t="s">
        <v>1157</v>
      </c>
      <c r="E195" s="96" t="s">
        <v>1158</v>
      </c>
      <c r="F195" s="96" t="s">
        <v>1302</v>
      </c>
      <c r="G195" s="97" t="s">
        <v>240</v>
      </c>
      <c r="H195" s="204" t="str">
        <f>HYPERLINK("#CB_p!code보PPSY5A01","PPSY5A01")</f>
        <v>PPSY5A01</v>
      </c>
      <c r="I195" s="205" t="str">
        <f>HYPERLINK("#QN18_p!q18보PPSY5A01","문15-1")</f>
        <v>문15-1</v>
      </c>
      <c r="J195" s="205" t="str">
        <f>HYPERLINK("#QN19_p!q19보PPSY5A01","문15-1")</f>
        <v>문15-1</v>
      </c>
    </row>
    <row r="196" spans="2:10" ht="18" customHeight="1">
      <c r="B196" s="101" t="s">
        <v>1356</v>
      </c>
      <c r="C196" s="101" t="s">
        <v>1357</v>
      </c>
      <c r="D196" s="101" t="s">
        <v>1157</v>
      </c>
      <c r="E196" s="101" t="s">
        <v>1158</v>
      </c>
      <c r="F196" s="101" t="s">
        <v>1302</v>
      </c>
      <c r="G196" s="91" t="s">
        <v>528</v>
      </c>
      <c r="H196" s="208" t="str">
        <f>HYPERLINK("#CB_p!code보PPSY5A02","PPSY5A02")</f>
        <v>PPSY5A02</v>
      </c>
      <c r="I196" s="209" t="str">
        <f>HYPERLINK("#QN18_p!q18보PPSY5A02","문15-2")</f>
        <v>문15-2</v>
      </c>
      <c r="J196" s="209" t="str">
        <f>HYPERLINK("#QN19_p!q19보PPSY5A02","문15-2")</f>
        <v>문15-2</v>
      </c>
    </row>
    <row r="197" spans="2:10" ht="18" customHeight="1">
      <c r="B197" s="101" t="s">
        <v>1356</v>
      </c>
      <c r="C197" s="101" t="s">
        <v>1357</v>
      </c>
      <c r="D197" s="101" t="s">
        <v>1157</v>
      </c>
      <c r="E197" s="101" t="s">
        <v>1158</v>
      </c>
      <c r="F197" s="101" t="s">
        <v>1302</v>
      </c>
      <c r="G197" s="91" t="s">
        <v>241</v>
      </c>
      <c r="H197" s="208" t="str">
        <f>HYPERLINK("#CB_p!code보PPSY5A03","PPSY5A03")</f>
        <v>PPSY5A03</v>
      </c>
      <c r="I197" s="209" t="str">
        <f>HYPERLINK("#QN18_p!q18보PPSY5A03","문15-3")</f>
        <v>문15-3</v>
      </c>
      <c r="J197" s="209" t="str">
        <f>HYPERLINK("#QN19_p!q19보PPSY5A03","문15-3")</f>
        <v>문15-3</v>
      </c>
    </row>
    <row r="198" spans="2:10" ht="18" customHeight="1">
      <c r="B198" s="101" t="s">
        <v>1356</v>
      </c>
      <c r="C198" s="101" t="s">
        <v>1357</v>
      </c>
      <c r="D198" s="101" t="s">
        <v>1157</v>
      </c>
      <c r="E198" s="101" t="s">
        <v>1158</v>
      </c>
      <c r="F198" s="101" t="s">
        <v>1302</v>
      </c>
      <c r="G198" s="91" t="s">
        <v>242</v>
      </c>
      <c r="H198" s="208" t="str">
        <f>HYPERLINK("#CB_p!code보PPSY5A04","PPSY5A04")</f>
        <v>PPSY5A04</v>
      </c>
      <c r="I198" s="209" t="str">
        <f>HYPERLINK("#QN18_p!q18보PPSY5A04","문15-4")</f>
        <v>문15-4</v>
      </c>
      <c r="J198" s="209" t="str">
        <f>HYPERLINK("#QN19_p!q19보PPSY5A04","문15-4")</f>
        <v>문15-4</v>
      </c>
    </row>
    <row r="199" spans="2:10" ht="18" customHeight="1">
      <c r="B199" s="101" t="s">
        <v>1356</v>
      </c>
      <c r="C199" s="101" t="s">
        <v>1357</v>
      </c>
      <c r="D199" s="101" t="s">
        <v>1157</v>
      </c>
      <c r="E199" s="101" t="s">
        <v>1158</v>
      </c>
      <c r="F199" s="101" t="s">
        <v>1302</v>
      </c>
      <c r="G199" s="91" t="s">
        <v>243</v>
      </c>
      <c r="H199" s="208" t="str">
        <f>HYPERLINK("#CB_p!code보PPSY5A05","PPSY5A05")</f>
        <v>PPSY5A05</v>
      </c>
      <c r="I199" s="209" t="str">
        <f>HYPERLINK("#QN18_p!q18보PPSY5A05","문15-5")</f>
        <v>문15-5</v>
      </c>
      <c r="J199" s="209" t="str">
        <f>HYPERLINK("#QN19_p!q19보PPSY5A05","문15-5")</f>
        <v>문15-5</v>
      </c>
    </row>
    <row r="200" spans="2:10" ht="18" customHeight="1">
      <c r="B200" s="101" t="s">
        <v>1356</v>
      </c>
      <c r="C200" s="101" t="s">
        <v>1357</v>
      </c>
      <c r="D200" s="101" t="s">
        <v>1157</v>
      </c>
      <c r="E200" s="101" t="s">
        <v>1158</v>
      </c>
      <c r="F200" s="101" t="s">
        <v>1302</v>
      </c>
      <c r="G200" s="91" t="s">
        <v>244</v>
      </c>
      <c r="H200" s="208" t="str">
        <f>HYPERLINK("#CB_p!code보PPSY5A06","PPSY5A06")</f>
        <v>PPSY5A06</v>
      </c>
      <c r="I200" s="209" t="str">
        <f>HYPERLINK("#QN18_p!q18보PPSY5A06","문15-6")</f>
        <v>문15-6</v>
      </c>
      <c r="J200" s="209" t="str">
        <f>HYPERLINK("#QN19_p!q19보PPSY5A06","문15-6")</f>
        <v>문15-6</v>
      </c>
    </row>
    <row r="201" spans="2:10" ht="18" customHeight="1">
      <c r="B201" s="101" t="s">
        <v>1356</v>
      </c>
      <c r="C201" s="101" t="s">
        <v>1357</v>
      </c>
      <c r="D201" s="101" t="s">
        <v>1157</v>
      </c>
      <c r="E201" s="101" t="s">
        <v>1158</v>
      </c>
      <c r="F201" s="101" t="s">
        <v>1302</v>
      </c>
      <c r="G201" s="91" t="s">
        <v>245</v>
      </c>
      <c r="H201" s="208" t="str">
        <f>HYPERLINK("#CB_p!code보PPSY5A07","PPSY5A07")</f>
        <v>PPSY5A07</v>
      </c>
      <c r="I201" s="209" t="str">
        <f>HYPERLINK("#QN18_p!q18보PPSY5A07","문15-7")</f>
        <v>문15-7</v>
      </c>
      <c r="J201" s="209" t="str">
        <f>HYPERLINK("#QN19_p!q19보PPSY5A07","문15-7")</f>
        <v>문15-7</v>
      </c>
    </row>
    <row r="202" spans="2:10" ht="18" customHeight="1">
      <c r="B202" s="99" t="s">
        <v>1356</v>
      </c>
      <c r="C202" s="99" t="s">
        <v>1357</v>
      </c>
      <c r="D202" s="99" t="s">
        <v>1157</v>
      </c>
      <c r="E202" s="99" t="s">
        <v>1158</v>
      </c>
      <c r="F202" s="99" t="s">
        <v>1302</v>
      </c>
      <c r="G202" s="94" t="s">
        <v>246</v>
      </c>
      <c r="H202" s="206" t="str">
        <f>HYPERLINK("#CB_p!code보PPSY5A08","PPSY5A08")</f>
        <v>PPSY5A08</v>
      </c>
      <c r="I202" s="207" t="str">
        <f>HYPERLINK("#QN18_p!q18보PPSY5A08","문15-8")</f>
        <v>문15-8</v>
      </c>
      <c r="J202" s="207" t="str">
        <f>HYPERLINK("#QN19_p!q19보PPSY5A08","문15-8")</f>
        <v>문15-8</v>
      </c>
    </row>
    <row r="203" spans="2:10" ht="18" customHeight="1">
      <c r="B203" s="106" t="s">
        <v>1356</v>
      </c>
      <c r="C203" s="106" t="s">
        <v>1173</v>
      </c>
      <c r="D203" s="106" t="s">
        <v>1174</v>
      </c>
      <c r="E203" s="106" t="s">
        <v>1175</v>
      </c>
      <c r="F203" s="106" t="s">
        <v>1302</v>
      </c>
      <c r="G203" s="107" t="s">
        <v>1269</v>
      </c>
      <c r="H203" s="202" t="str">
        <f>HYPERLINK("#CB_p!code보PMDA1A00","PMDA1A00")</f>
        <v>PMDA1A00</v>
      </c>
      <c r="I203" s="203" t="str">
        <f>HYPERLINK("#QN18_p!q18보PMDA1A00","문10")</f>
        <v>문10</v>
      </c>
      <c r="J203" s="203" t="str">
        <f>HYPERLINK("#QN19_p!q19보PMDA1A00","문10")</f>
        <v>문10</v>
      </c>
    </row>
    <row r="204" spans="2:10" ht="18" customHeight="1">
      <c r="B204" s="101" t="s">
        <v>1356</v>
      </c>
      <c r="C204" s="101" t="s">
        <v>1173</v>
      </c>
      <c r="D204" s="101" t="s">
        <v>1174</v>
      </c>
      <c r="E204" s="101" t="s">
        <v>1176</v>
      </c>
      <c r="F204" s="101" t="s">
        <v>1302</v>
      </c>
      <c r="G204" s="91" t="s">
        <v>1270</v>
      </c>
      <c r="H204" s="208" t="str">
        <f>HYPERLINK("#CB_p!code보PMDA1B01","PMDA1B01")</f>
        <v>PMDA1B01</v>
      </c>
      <c r="I204" s="209" t="str">
        <f>HYPERLINK("#QN18_p!q18보PMDA1B01","문10-1-1")</f>
        <v>문10-1-1</v>
      </c>
      <c r="J204" s="209" t="str">
        <f>HYPERLINK("#QN19_p!q19보PMDA1B01","문10-1-1")</f>
        <v>문10-1-1</v>
      </c>
    </row>
    <row r="205" spans="2:10" ht="18" customHeight="1">
      <c r="B205" s="101" t="s">
        <v>1356</v>
      </c>
      <c r="C205" s="101" t="s">
        <v>1173</v>
      </c>
      <c r="D205" s="101" t="s">
        <v>1174</v>
      </c>
      <c r="E205" s="101" t="s">
        <v>1176</v>
      </c>
      <c r="F205" s="101" t="s">
        <v>1302</v>
      </c>
      <c r="G205" s="91" t="s">
        <v>1271</v>
      </c>
      <c r="H205" s="208" t="str">
        <f>HYPERLINK("#CB_p!code보PMDA1B02","PMDA1B02")</f>
        <v>PMDA1B02</v>
      </c>
      <c r="I205" s="209" t="str">
        <f>HYPERLINK("#QN18_p!q18보PMDA1B02","문10-1-2")</f>
        <v>문10-1-2</v>
      </c>
      <c r="J205" s="209" t="str">
        <f>HYPERLINK("#QN19_p!q19보PMDA1B02","문10-1-2")</f>
        <v>문10-1-2</v>
      </c>
    </row>
    <row r="206" spans="2:10" ht="18" customHeight="1">
      <c r="B206" s="101" t="s">
        <v>1356</v>
      </c>
      <c r="C206" s="101" t="s">
        <v>1173</v>
      </c>
      <c r="D206" s="101" t="s">
        <v>1174</v>
      </c>
      <c r="E206" s="101" t="s">
        <v>1176</v>
      </c>
      <c r="F206" s="101" t="s">
        <v>1302</v>
      </c>
      <c r="G206" s="91" t="s">
        <v>1272</v>
      </c>
      <c r="H206" s="208" t="str">
        <f>HYPERLINK("#CB_p!code보PMDA1B03","PMDA1B03")</f>
        <v>PMDA1B03</v>
      </c>
      <c r="I206" s="209" t="str">
        <f>HYPERLINK("#QN18_p!q18보PMDA1B03","문10-1-3")</f>
        <v>문10-1-3</v>
      </c>
      <c r="J206" s="209" t="str">
        <f>HYPERLINK("#QN19_p!q19보PMDA1B03","문10-1-3")</f>
        <v>문10-1-3</v>
      </c>
    </row>
    <row r="207" spans="2:10" ht="18" customHeight="1">
      <c r="B207" s="101" t="s">
        <v>1356</v>
      </c>
      <c r="C207" s="101" t="s">
        <v>1173</v>
      </c>
      <c r="D207" s="101" t="s">
        <v>1174</v>
      </c>
      <c r="E207" s="101" t="s">
        <v>1176</v>
      </c>
      <c r="F207" s="101" t="s">
        <v>1410</v>
      </c>
      <c r="G207" s="91" t="s">
        <v>1273</v>
      </c>
      <c r="H207" s="208" t="str">
        <f>HYPERLINK("#CB_p!code보PMDA1B04","PMDA1B04")</f>
        <v>PMDA1B04</v>
      </c>
      <c r="I207" s="209" t="str">
        <f>HYPERLINK("#QN18_p!q18보PMDA1B04","문10-1-4")</f>
        <v>문10-1-4</v>
      </c>
      <c r="J207" s="209" t="str">
        <f>HYPERLINK("#QN19_p!q19보PMDA1B04","문10-1-4")</f>
        <v>문10-1-4</v>
      </c>
    </row>
    <row r="208" spans="2:10" ht="18" customHeight="1">
      <c r="B208" s="101" t="s">
        <v>1356</v>
      </c>
      <c r="C208" s="101" t="s">
        <v>1173</v>
      </c>
      <c r="D208" s="101" t="s">
        <v>1174</v>
      </c>
      <c r="E208" s="101" t="s">
        <v>1176</v>
      </c>
      <c r="F208" s="101" t="s">
        <v>1302</v>
      </c>
      <c r="G208" s="91" t="s">
        <v>1274</v>
      </c>
      <c r="H208" s="208" t="str">
        <f>HYPERLINK("#CB_p!code보PMDA1B05","PMDA1B05")</f>
        <v>PMDA1B05</v>
      </c>
      <c r="I208" s="209" t="str">
        <f>HYPERLINK("#QN18_p!q18보PMDA1B05","문10-1-5")</f>
        <v>문10-1-5</v>
      </c>
      <c r="J208" s="209" t="str">
        <f>HYPERLINK("#QN19_p!q19보PMDA1B05","문10-1-5")</f>
        <v>문10-1-5</v>
      </c>
    </row>
    <row r="209" spans="2:10" ht="18" customHeight="1">
      <c r="B209" s="101" t="s">
        <v>1356</v>
      </c>
      <c r="C209" s="101" t="s">
        <v>1173</v>
      </c>
      <c r="D209" s="101" t="s">
        <v>1174</v>
      </c>
      <c r="E209" s="101" t="s">
        <v>1176</v>
      </c>
      <c r="F209" s="101" t="s">
        <v>1302</v>
      </c>
      <c r="G209" s="91" t="s">
        <v>95</v>
      </c>
      <c r="H209" s="208" t="str">
        <f>HYPERLINK("#CB_p!code보PMDA1B06","PMDA1B06")</f>
        <v>PMDA1B06</v>
      </c>
      <c r="I209" s="209" t="str">
        <f>HYPERLINK("#QN18_p!q18보PMDA1B06","문10-1-6")</f>
        <v>문10-1-6</v>
      </c>
      <c r="J209" s="209" t="str">
        <f>HYPERLINK("#QN19_p!q19보PMDA1B06","문10-1-6")</f>
        <v>문10-1-6</v>
      </c>
    </row>
    <row r="210" spans="2:10" ht="18" customHeight="1">
      <c r="B210" s="101" t="s">
        <v>1356</v>
      </c>
      <c r="C210" s="101" t="s">
        <v>1173</v>
      </c>
      <c r="D210" s="101" t="s">
        <v>1174</v>
      </c>
      <c r="E210" s="101" t="s">
        <v>1176</v>
      </c>
      <c r="F210" s="101" t="s">
        <v>1302</v>
      </c>
      <c r="G210" s="91" t="s">
        <v>96</v>
      </c>
      <c r="H210" s="208" t="str">
        <f>HYPERLINK("#CB_p!code보PMDA1B07","PMDA1B07")</f>
        <v>PMDA1B07</v>
      </c>
      <c r="I210" s="209" t="str">
        <f>HYPERLINK("#QN18_p!q18보PMDA1B07","문10-1-7")</f>
        <v>문10-1-7</v>
      </c>
      <c r="J210" s="209" t="str">
        <f>HYPERLINK("#QN19_p!q19보PMDA1B07","문10-1-7")</f>
        <v>문10-1-7</v>
      </c>
    </row>
    <row r="211" spans="2:10" ht="18" customHeight="1">
      <c r="B211" s="101" t="s">
        <v>1356</v>
      </c>
      <c r="C211" s="101" t="s">
        <v>1173</v>
      </c>
      <c r="D211" s="101" t="s">
        <v>1174</v>
      </c>
      <c r="E211" s="101" t="s">
        <v>1176</v>
      </c>
      <c r="F211" s="101" t="s">
        <v>1410</v>
      </c>
      <c r="G211" s="91" t="s">
        <v>1275</v>
      </c>
      <c r="H211" s="208" t="str">
        <f>HYPERLINK("#CB_p!code보PMDA1B08","PMDA1B08")</f>
        <v>PMDA1B08</v>
      </c>
      <c r="I211" s="209" t="str">
        <f>HYPERLINK("#QN18_p!q18보PMDA1B08","문10-1-8")</f>
        <v>문10-1-8</v>
      </c>
      <c r="J211" s="209" t="str">
        <f>HYPERLINK("#QN19_p!q19보PMDA1B08","문10-1-8")</f>
        <v>문10-1-8</v>
      </c>
    </row>
    <row r="212" spans="2:10" ht="18" customHeight="1">
      <c r="B212" s="101" t="s">
        <v>1356</v>
      </c>
      <c r="C212" s="101" t="s">
        <v>1173</v>
      </c>
      <c r="D212" s="101" t="s">
        <v>1174</v>
      </c>
      <c r="E212" s="101" t="s">
        <v>1176</v>
      </c>
      <c r="F212" s="101" t="s">
        <v>1302</v>
      </c>
      <c r="G212" s="91" t="s">
        <v>98</v>
      </c>
      <c r="H212" s="208" t="str">
        <f>HYPERLINK("#CB_p!code보PMDA1B09","PMDA1B09")</f>
        <v>PMDA1B09</v>
      </c>
      <c r="I212" s="209" t="str">
        <f>HYPERLINK("#QN18_p!q18보PMDA1B09","문10-1-9")</f>
        <v>문10-1-9</v>
      </c>
      <c r="J212" s="209" t="str">
        <f>HYPERLINK("#QN19_p!q19보PMDA1B09","문10-1-9")</f>
        <v>문10-1-9</v>
      </c>
    </row>
    <row r="213" spans="2:10" ht="18" customHeight="1">
      <c r="B213" s="101" t="s">
        <v>1356</v>
      </c>
      <c r="C213" s="101" t="s">
        <v>1173</v>
      </c>
      <c r="D213" s="101" t="s">
        <v>1174</v>
      </c>
      <c r="E213" s="101" t="s">
        <v>1176</v>
      </c>
      <c r="F213" s="101" t="s">
        <v>1302</v>
      </c>
      <c r="G213" s="91" t="s">
        <v>1276</v>
      </c>
      <c r="H213" s="208" t="str">
        <f>HYPERLINK("#CB_p!code보PMDA1B10","PMDA1B10")</f>
        <v>PMDA1B10</v>
      </c>
      <c r="I213" s="209" t="str">
        <f>HYPERLINK("#QN18_p!q18보PMDA1B10","문10-1-10")</f>
        <v>문10-1-10</v>
      </c>
      <c r="J213" s="209" t="str">
        <f>HYPERLINK("#QN19_p!q19보PMDA1B10","문10-1-10")</f>
        <v>문10-1-10</v>
      </c>
    </row>
    <row r="214" spans="2:10" ht="18" customHeight="1">
      <c r="B214" s="101" t="s">
        <v>1356</v>
      </c>
      <c r="C214" s="101" t="s">
        <v>1173</v>
      </c>
      <c r="D214" s="101" t="s">
        <v>1174</v>
      </c>
      <c r="E214" s="101" t="s">
        <v>1176</v>
      </c>
      <c r="F214" s="101" t="s">
        <v>1302</v>
      </c>
      <c r="G214" s="91" t="s">
        <v>1277</v>
      </c>
      <c r="H214" s="208" t="str">
        <f>HYPERLINK("#CB_p!code보PMDA1B11","PMDA1B11")</f>
        <v>PMDA1B11</v>
      </c>
      <c r="I214" s="209" t="str">
        <f>HYPERLINK("#QN18_p!q18보PMDA1B11","문10-1-11")</f>
        <v>문10-1-11</v>
      </c>
      <c r="J214" s="209" t="str">
        <f>HYPERLINK("#QN19_p!q19보PMDA1B11","문10-1-11")</f>
        <v>문10-1-11</v>
      </c>
    </row>
    <row r="215" spans="2:10" ht="18" customHeight="1">
      <c r="B215" s="101" t="s">
        <v>1356</v>
      </c>
      <c r="C215" s="101" t="s">
        <v>1173</v>
      </c>
      <c r="D215" s="101" t="s">
        <v>1174</v>
      </c>
      <c r="E215" s="101" t="s">
        <v>1176</v>
      </c>
      <c r="F215" s="101" t="s">
        <v>1302</v>
      </c>
      <c r="G215" s="91" t="s">
        <v>1516</v>
      </c>
      <c r="H215" s="208" t="str">
        <f>HYPERLINK("#CB_p!code보PMDA1B12","PMDA1B12")</f>
        <v>PMDA1B12</v>
      </c>
      <c r="I215" s="209"/>
      <c r="J215" s="209" t="str">
        <f>HYPERLINK("#QN19_p!q19보PMDA1B12","문10-1-12")</f>
        <v>문10-1-12</v>
      </c>
    </row>
    <row r="216" spans="2:10" ht="18" customHeight="1">
      <c r="B216" s="101" t="s">
        <v>1356</v>
      </c>
      <c r="C216" s="101" t="s">
        <v>1173</v>
      </c>
      <c r="D216" s="101" t="s">
        <v>1174</v>
      </c>
      <c r="E216" s="101" t="s">
        <v>1176</v>
      </c>
      <c r="F216" s="101" t="s">
        <v>1302</v>
      </c>
      <c r="G216" s="91" t="s">
        <v>101</v>
      </c>
      <c r="H216" s="208" t="str">
        <f>HYPERLINK("#CB_p!code보PMDA1B13","PMDA1B13")</f>
        <v>PMDA1B13</v>
      </c>
      <c r="I216" s="209" t="str">
        <f>HYPERLINK("#QN18_p!q18보PMDA1B13","문10-1-12")</f>
        <v>문10-1-12</v>
      </c>
      <c r="J216" s="209" t="str">
        <f>HYPERLINK("#QN19_p!q19보PMDA1B13","문10-1-13")</f>
        <v>문10-1-13</v>
      </c>
    </row>
    <row r="217" spans="2:10" ht="18" customHeight="1">
      <c r="B217" s="99" t="s">
        <v>1356</v>
      </c>
      <c r="C217" s="99" t="s">
        <v>1173</v>
      </c>
      <c r="D217" s="99" t="s">
        <v>1174</v>
      </c>
      <c r="E217" s="99" t="s">
        <v>1176</v>
      </c>
      <c r="F217" s="99" t="s">
        <v>1302</v>
      </c>
      <c r="G217" s="94" t="s">
        <v>102</v>
      </c>
      <c r="H217" s="206" t="str">
        <f>HYPERLINK("#CB_p!code보PMDA1B13_T","PMDA1B13_T")</f>
        <v>PMDA1B13_T</v>
      </c>
      <c r="I217" s="207" t="str">
        <f>HYPERLINK("#QN18_p!q18보PMDA1B13_T","문10-1-12_T")</f>
        <v>문10-1-12_T</v>
      </c>
      <c r="J217" s="207" t="str">
        <f>HYPERLINK("#QN19_p!q19보PMDA1B13_T","문10-1-13_T")</f>
        <v>문10-1-13_T</v>
      </c>
    </row>
    <row r="218" spans="2:10" ht="18" customHeight="1">
      <c r="B218" s="96" t="s">
        <v>1356</v>
      </c>
      <c r="C218" s="96" t="s">
        <v>1173</v>
      </c>
      <c r="D218" s="96" t="s">
        <v>1174</v>
      </c>
      <c r="E218" s="96" t="s">
        <v>1177</v>
      </c>
      <c r="F218" s="90" t="s">
        <v>1318</v>
      </c>
      <c r="G218" s="97" t="s">
        <v>524</v>
      </c>
      <c r="H218" s="204" t="str">
        <f>HYPERLINK("#CB_p!code보PMDA1C01","PMDA1C01")</f>
        <v>PMDA1C01</v>
      </c>
      <c r="I218" s="205" t="str">
        <f>HYPERLINK("#QN18_p!q18보PMDA1C01","문10-2-1")</f>
        <v>문10-2-1</v>
      </c>
      <c r="J218" s="205" t="str">
        <f>HYPERLINK("#QN19_p!q19보PMDA1C01","문10-2-1")</f>
        <v>문10-2-1</v>
      </c>
    </row>
    <row r="219" spans="2:10" ht="18" customHeight="1">
      <c r="B219" s="101" t="s">
        <v>1356</v>
      </c>
      <c r="C219" s="101" t="s">
        <v>1173</v>
      </c>
      <c r="D219" s="101" t="s">
        <v>1174</v>
      </c>
      <c r="E219" s="101" t="s">
        <v>1177</v>
      </c>
      <c r="F219" s="102" t="s">
        <v>1317</v>
      </c>
      <c r="G219" s="91" t="s">
        <v>109</v>
      </c>
      <c r="H219" s="208" t="str">
        <f>HYPERLINK("#CB_p!code보PMDA1C02","PMDA1C02")</f>
        <v>PMDA1C02</v>
      </c>
      <c r="I219" s="209" t="str">
        <f>HYPERLINK("#QN18_p!q18보PMDA1C02","문10-2-2")</f>
        <v>문10-2-2</v>
      </c>
      <c r="J219" s="209" t="str">
        <f>HYPERLINK("#QN19_p!q19보PMDA1C02","문10-2-2")</f>
        <v>문10-2-2</v>
      </c>
    </row>
    <row r="220" spans="2:10" ht="18" customHeight="1">
      <c r="B220" s="101" t="s">
        <v>1356</v>
      </c>
      <c r="C220" s="101" t="s">
        <v>1173</v>
      </c>
      <c r="D220" s="101" t="s">
        <v>1174</v>
      </c>
      <c r="E220" s="101" t="s">
        <v>1177</v>
      </c>
      <c r="F220" s="102" t="s">
        <v>1317</v>
      </c>
      <c r="G220" s="91" t="s">
        <v>110</v>
      </c>
      <c r="H220" s="208" t="str">
        <f>HYPERLINK("#CB_p!code보PMDA1C03","PMDA1C03")</f>
        <v>PMDA1C03</v>
      </c>
      <c r="I220" s="209" t="str">
        <f>HYPERLINK("#QN18_p!q18보PMDA1C03","문10-2-3")</f>
        <v>문10-2-3</v>
      </c>
      <c r="J220" s="209" t="str">
        <f>HYPERLINK("#QN19_p!q19보PMDA1C03","문10-2-3")</f>
        <v>문10-2-3</v>
      </c>
    </row>
    <row r="221" spans="2:10" ht="18" customHeight="1">
      <c r="B221" s="101" t="s">
        <v>1356</v>
      </c>
      <c r="C221" s="101" t="s">
        <v>1173</v>
      </c>
      <c r="D221" s="101" t="s">
        <v>1174</v>
      </c>
      <c r="E221" s="101" t="s">
        <v>1177</v>
      </c>
      <c r="F221" s="102" t="s">
        <v>1317</v>
      </c>
      <c r="G221" s="91" t="s">
        <v>111</v>
      </c>
      <c r="H221" s="208" t="str">
        <f>HYPERLINK("#CB_p!code보PMDA1C04","PMDA1C04")</f>
        <v>PMDA1C04</v>
      </c>
      <c r="I221" s="209" t="str">
        <f>HYPERLINK("#QN18_p!q18보PMDA1C04","문10-2-4")</f>
        <v>문10-2-4</v>
      </c>
      <c r="J221" s="209" t="str">
        <f>HYPERLINK("#QN19_p!q19보PMDA1C04","문10-2-4")</f>
        <v>문10-2-4</v>
      </c>
    </row>
    <row r="222" spans="2:10" ht="18" customHeight="1">
      <c r="B222" s="101" t="s">
        <v>1356</v>
      </c>
      <c r="C222" s="101" t="s">
        <v>1173</v>
      </c>
      <c r="D222" s="101" t="s">
        <v>1174</v>
      </c>
      <c r="E222" s="101" t="s">
        <v>1177</v>
      </c>
      <c r="F222" s="102" t="s">
        <v>1317</v>
      </c>
      <c r="G222" s="91" t="s">
        <v>112</v>
      </c>
      <c r="H222" s="208" t="str">
        <f>HYPERLINK("#CB_p!code보PMDA1C05","PMDA1C05")</f>
        <v>PMDA1C05</v>
      </c>
      <c r="I222" s="209" t="str">
        <f>HYPERLINK("#QN18_p!q18보PMDA1C05","문10-2-5")</f>
        <v>문10-2-5</v>
      </c>
      <c r="J222" s="209" t="str">
        <f>HYPERLINK("#QN19_p!q19보PMDA1C05","문10-2-5")</f>
        <v>문10-2-5</v>
      </c>
    </row>
    <row r="223" spans="2:10" ht="18" customHeight="1">
      <c r="B223" s="101" t="s">
        <v>1356</v>
      </c>
      <c r="C223" s="101" t="s">
        <v>1173</v>
      </c>
      <c r="D223" s="101" t="s">
        <v>1174</v>
      </c>
      <c r="E223" s="101" t="s">
        <v>1177</v>
      </c>
      <c r="F223" s="102" t="s">
        <v>1319</v>
      </c>
      <c r="G223" s="91" t="s">
        <v>113</v>
      </c>
      <c r="H223" s="208" t="str">
        <f>HYPERLINK("#CB_p!code보PMDA1C06","PMDA1C06")</f>
        <v>PMDA1C06</v>
      </c>
      <c r="I223" s="209" t="str">
        <f>HYPERLINK("#QN18_p!q18보PMDA1C06","문10-2-6")</f>
        <v>문10-2-6</v>
      </c>
      <c r="J223" s="209" t="str">
        <f>HYPERLINK("#QN19_p!q19보PMDA1C06","문10-2-6")</f>
        <v>문10-2-6</v>
      </c>
    </row>
    <row r="224" spans="2:10" ht="18" customHeight="1">
      <c r="B224" s="101" t="s">
        <v>1356</v>
      </c>
      <c r="C224" s="101" t="s">
        <v>1173</v>
      </c>
      <c r="D224" s="101" t="s">
        <v>1174</v>
      </c>
      <c r="E224" s="101" t="s">
        <v>1177</v>
      </c>
      <c r="F224" s="102" t="s">
        <v>1319</v>
      </c>
      <c r="G224" s="91" t="s">
        <v>114</v>
      </c>
      <c r="H224" s="208" t="str">
        <f>HYPERLINK("#CB_p!code보PMDA1C07","PMDA1C07")</f>
        <v>PMDA1C07</v>
      </c>
      <c r="I224" s="209" t="str">
        <f>HYPERLINK("#QN18_p!q18보PMDA1C07","문10-2-7")</f>
        <v>문10-2-7</v>
      </c>
      <c r="J224" s="209" t="str">
        <f>HYPERLINK("#QN19_p!q19보PMDA1C07","문10-2-7")</f>
        <v>문10-2-7</v>
      </c>
    </row>
    <row r="225" spans="2:10" ht="18" customHeight="1">
      <c r="B225" s="101" t="s">
        <v>1356</v>
      </c>
      <c r="C225" s="101" t="s">
        <v>1173</v>
      </c>
      <c r="D225" s="101" t="s">
        <v>1174</v>
      </c>
      <c r="E225" s="101" t="s">
        <v>1177</v>
      </c>
      <c r="F225" s="102" t="s">
        <v>1320</v>
      </c>
      <c r="G225" s="91" t="s">
        <v>115</v>
      </c>
      <c r="H225" s="208" t="str">
        <f>HYPERLINK("#CB_p!code보PMDA1C08","PMDA1C08")</f>
        <v>PMDA1C08</v>
      </c>
      <c r="I225" s="209" t="str">
        <f>HYPERLINK("#QN18_p!q18보PMDA1C08","문10-2-8")</f>
        <v>문10-2-8</v>
      </c>
      <c r="J225" s="209" t="str">
        <f>HYPERLINK("#QN19_p!q19보PMDA1C08","문10-2-8")</f>
        <v>문10-2-8</v>
      </c>
    </row>
    <row r="226" spans="2:10" ht="18" customHeight="1">
      <c r="B226" s="101" t="s">
        <v>1356</v>
      </c>
      <c r="C226" s="101" t="s">
        <v>1173</v>
      </c>
      <c r="D226" s="101" t="s">
        <v>1174</v>
      </c>
      <c r="E226" s="101" t="s">
        <v>1177</v>
      </c>
      <c r="F226" s="102" t="s">
        <v>1320</v>
      </c>
      <c r="G226" s="91" t="s">
        <v>116</v>
      </c>
      <c r="H226" s="208" t="str">
        <f>HYPERLINK("#CB_p!code보PMDA1C09","PMDA1C09")</f>
        <v>PMDA1C09</v>
      </c>
      <c r="I226" s="209" t="str">
        <f>HYPERLINK("#QN18_p!q18보PMDA1C09","문10-2-9")</f>
        <v>문10-2-9</v>
      </c>
      <c r="J226" s="209" t="str">
        <f>HYPERLINK("#QN19_p!q19보PMDA1C09","문10-2-9")</f>
        <v>문10-2-9</v>
      </c>
    </row>
    <row r="227" spans="2:10" ht="18" customHeight="1">
      <c r="B227" s="101" t="s">
        <v>1356</v>
      </c>
      <c r="C227" s="101" t="s">
        <v>1173</v>
      </c>
      <c r="D227" s="101" t="s">
        <v>1174</v>
      </c>
      <c r="E227" s="101" t="s">
        <v>1177</v>
      </c>
      <c r="F227" s="102" t="s">
        <v>1320</v>
      </c>
      <c r="G227" s="91" t="s">
        <v>117</v>
      </c>
      <c r="H227" s="208" t="str">
        <f>HYPERLINK("#CB_p!code보PMDA1C10","PMDA1C10")</f>
        <v>PMDA1C10</v>
      </c>
      <c r="I227" s="209" t="str">
        <f>HYPERLINK("#QN18_p!q18보PMDA1C10","문10-2-10")</f>
        <v>문10-2-10</v>
      </c>
      <c r="J227" s="209" t="str">
        <f>HYPERLINK("#QN19_p!q19보PMDA1C10","문10-2-10")</f>
        <v>문10-2-10</v>
      </c>
    </row>
    <row r="228" spans="2:10" ht="18" customHeight="1">
      <c r="B228" s="101" t="s">
        <v>1356</v>
      </c>
      <c r="C228" s="101" t="s">
        <v>1173</v>
      </c>
      <c r="D228" s="101" t="s">
        <v>1174</v>
      </c>
      <c r="E228" s="101" t="s">
        <v>1177</v>
      </c>
      <c r="F228" s="102" t="s">
        <v>1320</v>
      </c>
      <c r="G228" s="91" t="s">
        <v>118</v>
      </c>
      <c r="H228" s="208" t="str">
        <f>HYPERLINK("#CB_p!code보PMDA1C11","PMDA1C11")</f>
        <v>PMDA1C11</v>
      </c>
      <c r="I228" s="209" t="str">
        <f>HYPERLINK("#QN18_p!q18보PMDA1C11","문10-2-11")</f>
        <v>문10-2-11</v>
      </c>
      <c r="J228" s="209" t="str">
        <f>HYPERLINK("#QN19_p!q19보PMDA1C11","문10-2-11")</f>
        <v>문10-2-11</v>
      </c>
    </row>
    <row r="229" spans="2:10" ht="18" customHeight="1">
      <c r="B229" s="101" t="s">
        <v>1356</v>
      </c>
      <c r="C229" s="101" t="s">
        <v>1173</v>
      </c>
      <c r="D229" s="101" t="s">
        <v>1174</v>
      </c>
      <c r="E229" s="101" t="s">
        <v>1177</v>
      </c>
      <c r="F229" s="102" t="s">
        <v>1321</v>
      </c>
      <c r="G229" s="91" t="s">
        <v>119</v>
      </c>
      <c r="H229" s="208" t="str">
        <f>HYPERLINK("#CB_p!code보PMDA1C12","PMDA1C12")</f>
        <v>PMDA1C12</v>
      </c>
      <c r="I229" s="209" t="str">
        <f>HYPERLINK("#QN18_p!q18보PMDA1C12","문10-2-12")</f>
        <v>문10-2-12</v>
      </c>
      <c r="J229" s="209" t="str">
        <f>HYPERLINK("#QN19_p!q19보PMDA1C12","문10-2-12")</f>
        <v>문10-2-12</v>
      </c>
    </row>
    <row r="230" spans="2:10" ht="18" customHeight="1">
      <c r="B230" s="101" t="s">
        <v>1356</v>
      </c>
      <c r="C230" s="101" t="s">
        <v>1173</v>
      </c>
      <c r="D230" s="101" t="s">
        <v>1174</v>
      </c>
      <c r="E230" s="101" t="s">
        <v>1177</v>
      </c>
      <c r="F230" s="102" t="s">
        <v>1321</v>
      </c>
      <c r="G230" s="91" t="s">
        <v>120</v>
      </c>
      <c r="H230" s="208" t="str">
        <f>HYPERLINK("#CB_p!code보PMDA1C13","PMDA1C13")</f>
        <v>PMDA1C13</v>
      </c>
      <c r="I230" s="209" t="str">
        <f>HYPERLINK("#QN18_p!q18보PMDA1C13","문10-2-13")</f>
        <v>문10-2-13</v>
      </c>
      <c r="J230" s="209" t="str">
        <f>HYPERLINK("#QN19_p!q19보PMDA1C13","문10-2-13")</f>
        <v>문10-2-13</v>
      </c>
    </row>
    <row r="231" spans="2:10" ht="18" customHeight="1">
      <c r="B231" s="101" t="s">
        <v>1356</v>
      </c>
      <c r="C231" s="101" t="s">
        <v>1173</v>
      </c>
      <c r="D231" s="101" t="s">
        <v>1174</v>
      </c>
      <c r="E231" s="101" t="s">
        <v>1177</v>
      </c>
      <c r="F231" s="102" t="s">
        <v>1321</v>
      </c>
      <c r="G231" s="91" t="s">
        <v>121</v>
      </c>
      <c r="H231" s="208" t="str">
        <f>HYPERLINK("#CB_p!code보PMDA1C14","PMDA1C14")</f>
        <v>PMDA1C14</v>
      </c>
      <c r="I231" s="209" t="str">
        <f>HYPERLINK("#QN18_p!q18보PMDA1C14","문10-2-14")</f>
        <v>문10-2-14</v>
      </c>
      <c r="J231" s="209" t="str">
        <f>HYPERLINK("#QN19_p!q19보PMDA1C14","문10-2-14")</f>
        <v>문10-2-14</v>
      </c>
    </row>
    <row r="232" spans="2:10" ht="18" customHeight="1">
      <c r="B232" s="99" t="s">
        <v>1356</v>
      </c>
      <c r="C232" s="99" t="s">
        <v>1173</v>
      </c>
      <c r="D232" s="99" t="s">
        <v>1174</v>
      </c>
      <c r="E232" s="99" t="s">
        <v>1177</v>
      </c>
      <c r="F232" s="104" t="s">
        <v>1321</v>
      </c>
      <c r="G232" s="94" t="s">
        <v>122</v>
      </c>
      <c r="H232" s="206" t="str">
        <f>HYPERLINK("#CB_p!code보PMDA1C15","PMDA1C15")</f>
        <v>PMDA1C15</v>
      </c>
      <c r="I232" s="207" t="str">
        <f>HYPERLINK("#QN18_p!q18보PMDA1C15","문10-2-15")</f>
        <v>문10-2-15</v>
      </c>
      <c r="J232" s="207" t="str">
        <f>HYPERLINK("#QN19_p!q19보PMDA1C15","문10-2-15")</f>
        <v>문10-2-15</v>
      </c>
    </row>
    <row r="233" spans="2:10" ht="18" customHeight="1">
      <c r="B233" s="101" t="s">
        <v>1356</v>
      </c>
      <c r="C233" s="101" t="s">
        <v>1358</v>
      </c>
      <c r="D233" s="101" t="s">
        <v>1165</v>
      </c>
      <c r="E233" s="101" t="s">
        <v>1166</v>
      </c>
      <c r="F233" s="101" t="s">
        <v>1</v>
      </c>
      <c r="G233" s="91" t="s">
        <v>1266</v>
      </c>
      <c r="H233" s="208" t="str">
        <f>HYPERLINK("#CB_p!code보PPHY1A00","PPHY1A00")</f>
        <v>PPHY1A00</v>
      </c>
      <c r="I233" s="209" t="str">
        <f>HYPERLINK("#QN18_p!q18보PPHY1A00","문16")</f>
        <v>문16</v>
      </c>
      <c r="J233" s="209" t="str">
        <f>HYPERLINK("#QN19_p!q19보PPHY1A00","문16")</f>
        <v>문16</v>
      </c>
    </row>
    <row r="234" spans="2:10" ht="18" customHeight="1">
      <c r="B234" s="101" t="s">
        <v>1356</v>
      </c>
      <c r="C234" s="101" t="s">
        <v>1358</v>
      </c>
      <c r="D234" s="101" t="s">
        <v>1165</v>
      </c>
      <c r="E234" s="101" t="s">
        <v>1167</v>
      </c>
      <c r="F234" s="101" t="s">
        <v>1410</v>
      </c>
      <c r="G234" s="91" t="s">
        <v>1267</v>
      </c>
      <c r="H234" s="208" t="str">
        <f>HYPERLINK("#CB_p!code보PPHY1B00","PPHY1B00")</f>
        <v>PPHY1B00</v>
      </c>
      <c r="I234" s="209" t="str">
        <f>HYPERLINK("#QN18_p!q18보PPHY1B00","문17")</f>
        <v>문17</v>
      </c>
      <c r="J234" s="209" t="str">
        <f>HYPERLINK("#QN19_p!q19보PPHY1B00","문17")</f>
        <v>문17</v>
      </c>
    </row>
    <row r="235" spans="2:10" ht="18" customHeight="1">
      <c r="B235" s="101" t="s">
        <v>1356</v>
      </c>
      <c r="C235" s="101" t="s">
        <v>1358</v>
      </c>
      <c r="D235" s="101" t="s">
        <v>1165</v>
      </c>
      <c r="E235" s="101" t="s">
        <v>1168</v>
      </c>
      <c r="F235" s="101" t="s">
        <v>1</v>
      </c>
      <c r="G235" s="91" t="s">
        <v>1268</v>
      </c>
      <c r="H235" s="208" t="str">
        <f>HYPERLINK("#CB_p!code보PPHY1C00","PPHY1C00")</f>
        <v>PPHY1C00</v>
      </c>
      <c r="I235" s="209" t="str">
        <f>HYPERLINK("#QN18_p!q18보PPHY1C00","문18")</f>
        <v>문18</v>
      </c>
      <c r="J235" s="209" t="str">
        <f>HYPERLINK("#QN19_p!q19보PPHY1C00","문18")</f>
        <v>문18</v>
      </c>
    </row>
    <row r="236" spans="2:10" ht="18" customHeight="1">
      <c r="B236" s="96" t="s">
        <v>1356</v>
      </c>
      <c r="C236" s="96" t="s">
        <v>1358</v>
      </c>
      <c r="D236" s="96" t="s">
        <v>1169</v>
      </c>
      <c r="E236" s="96" t="s">
        <v>1170</v>
      </c>
      <c r="F236" s="96" t="s">
        <v>1</v>
      </c>
      <c r="G236" s="97" t="s">
        <v>317</v>
      </c>
      <c r="H236" s="204" t="str">
        <f>HYPERLINK("#CB_p!code보PPHY2A00","PPHY2A00")</f>
        <v>PPHY2A00</v>
      </c>
      <c r="I236" s="205" t="str">
        <f>HYPERLINK("#QN18_p!q18보PPHY2A00","문19")</f>
        <v>문19</v>
      </c>
      <c r="J236" s="205" t="str">
        <f>HYPERLINK("#QN19_p!q19보PPHY2A00","문19")</f>
        <v>문19</v>
      </c>
    </row>
    <row r="237" spans="2:10" ht="18" customHeight="1" thickBot="1">
      <c r="B237" s="108" t="s">
        <v>1356</v>
      </c>
      <c r="C237" s="108" t="s">
        <v>1358</v>
      </c>
      <c r="D237" s="108" t="s">
        <v>1169</v>
      </c>
      <c r="E237" s="108" t="s">
        <v>1171</v>
      </c>
      <c r="F237" s="108" t="s">
        <v>1411</v>
      </c>
      <c r="G237" s="109" t="s">
        <v>318</v>
      </c>
      <c r="H237" s="213" t="str">
        <f>HYPERLINK("#CB_p!code보PPHY2B00","PPHY2B00")</f>
        <v>PPHY2B00</v>
      </c>
      <c r="I237" s="214" t="str">
        <f>HYPERLINK("#QN18_p!q18보PPHY2B00","문19")</f>
        <v>문19</v>
      </c>
      <c r="J237" s="214" t="str">
        <f>HYPERLINK("#QN19_p!q19보PPHY2B00","문19")</f>
        <v>문19</v>
      </c>
    </row>
  </sheetData>
  <sheetProtection algorithmName="SHA-512" hashValue="GPOXpU57kuKK6a1g6VSZmGcC29sjBVLZpf3V4ohtQ82+QC33tL62GUNtpVo5mSCYBg/hT5TQJiugDY73VAvQkA==" saltValue="OhalSqPHIwkt5J0q7wqWwg==" spinCount="100000" sheet="1" objects="1" scenarios="1"/>
  <mergeCells count="10">
    <mergeCell ref="B1:J2"/>
    <mergeCell ref="H4:H5"/>
    <mergeCell ref="G4:G5"/>
    <mergeCell ref="C4:C5"/>
    <mergeCell ref="D4:D5"/>
    <mergeCell ref="E4:E5"/>
    <mergeCell ref="F4:F5"/>
    <mergeCell ref="B4:B5"/>
    <mergeCell ref="I4:J4"/>
    <mergeCell ref="B3:J3"/>
  </mergeCells>
  <phoneticPr fontId="1" type="noConversion"/>
  <pageMargins left="0.7" right="0.7" top="0.75" bottom="0.75" header="0.3" footer="0.3"/>
  <pageSetup paperSize="9" scale="4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74"/>
  <sheetViews>
    <sheetView showGridLines="0" zoomScaleNormal="100" workbookViewId="0">
      <pane ySplit="5" topLeftCell="A6" activePane="bottomLeft" state="frozen"/>
      <selection activeCell="B1" sqref="B1:G2"/>
      <selection pane="bottomLeft" activeCell="B1" sqref="B1:P2"/>
    </sheetView>
  </sheetViews>
  <sheetFormatPr defaultColWidth="9" defaultRowHeight="18" customHeight="1"/>
  <cols>
    <col min="1" max="1" width="1.875" style="76" customWidth="1"/>
    <col min="2" max="4" width="24.375" style="123" customWidth="1"/>
    <col min="5" max="5" width="15.625" style="2" customWidth="1"/>
    <col min="6" max="6" width="6.625" style="2" customWidth="1"/>
    <col min="7" max="7" width="62.125" style="76" customWidth="1"/>
    <col min="8" max="8" width="7.75" style="222" customWidth="1"/>
    <col min="9" max="11" width="7.75" style="2" customWidth="1"/>
    <col min="12" max="12" width="7.75" style="247" customWidth="1"/>
    <col min="13" max="16" width="7.75" style="2" customWidth="1"/>
    <col min="17" max="16384" width="9" style="76"/>
  </cols>
  <sheetData>
    <row r="1" spans="2:16" ht="18" customHeight="1">
      <c r="B1" s="269" t="s">
        <v>1825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</row>
    <row r="2" spans="2:16" ht="18" customHeight="1" thickBot="1"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</row>
    <row r="3" spans="2:16" ht="18" customHeight="1" thickBot="1">
      <c r="B3" s="280" t="s">
        <v>1826</v>
      </c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</row>
    <row r="4" spans="2:16" ht="18" customHeight="1" thickTop="1">
      <c r="B4" s="297" t="s">
        <v>45</v>
      </c>
      <c r="C4" s="297"/>
      <c r="D4" s="298"/>
      <c r="E4" s="292" t="s">
        <v>17</v>
      </c>
      <c r="F4" s="292" t="s">
        <v>46</v>
      </c>
      <c r="G4" s="301" t="s">
        <v>1060</v>
      </c>
      <c r="H4" s="334" t="s">
        <v>1828</v>
      </c>
      <c r="I4" s="335"/>
      <c r="J4" s="335"/>
      <c r="K4" s="335"/>
      <c r="L4" s="334" t="s">
        <v>1575</v>
      </c>
      <c r="M4" s="335"/>
      <c r="N4" s="335"/>
      <c r="O4" s="335"/>
      <c r="P4" s="335"/>
    </row>
    <row r="5" spans="2:16" ht="36" customHeight="1">
      <c r="B5" s="299"/>
      <c r="C5" s="299"/>
      <c r="D5" s="300"/>
      <c r="E5" s="293"/>
      <c r="F5" s="293"/>
      <c r="G5" s="302"/>
      <c r="H5" s="227" t="s">
        <v>1827</v>
      </c>
      <c r="I5" s="240" t="s">
        <v>1840</v>
      </c>
      <c r="J5" s="241" t="s">
        <v>1838</v>
      </c>
      <c r="K5" s="240" t="s">
        <v>1830</v>
      </c>
      <c r="L5" s="246" t="s">
        <v>1827</v>
      </c>
      <c r="M5" s="240" t="s">
        <v>1840</v>
      </c>
      <c r="N5" s="241" t="s">
        <v>1839</v>
      </c>
      <c r="O5" s="241" t="s">
        <v>1838</v>
      </c>
      <c r="P5" s="240" t="s">
        <v>1830</v>
      </c>
    </row>
    <row r="6" spans="2:16" ht="18" customHeight="1">
      <c r="B6" s="281" t="s">
        <v>12</v>
      </c>
      <c r="C6" s="281"/>
      <c r="D6" s="282"/>
      <c r="E6" s="121" t="s">
        <v>1112</v>
      </c>
      <c r="F6" s="121" t="s">
        <v>1</v>
      </c>
      <c r="G6" s="177" t="s">
        <v>1101</v>
      </c>
      <c r="H6" s="229" t="s">
        <v>1</v>
      </c>
      <c r="I6" s="229"/>
      <c r="J6" s="229"/>
      <c r="K6" s="229"/>
      <c r="L6" s="229" t="s">
        <v>1</v>
      </c>
      <c r="M6" s="229"/>
      <c r="N6" s="229"/>
      <c r="O6" s="229"/>
      <c r="P6" s="229"/>
    </row>
    <row r="7" spans="2:16" ht="18" customHeight="1">
      <c r="B7" s="283"/>
      <c r="C7" s="283"/>
      <c r="D7" s="284"/>
      <c r="E7" s="121" t="s">
        <v>1113</v>
      </c>
      <c r="F7" s="121" t="s">
        <v>1</v>
      </c>
      <c r="G7" s="177" t="s">
        <v>1102</v>
      </c>
      <c r="H7" s="229" t="s">
        <v>1811</v>
      </c>
      <c r="I7" s="229"/>
      <c r="J7" s="229"/>
      <c r="K7" s="229"/>
      <c r="L7" s="229" t="s">
        <v>1</v>
      </c>
      <c r="M7" s="229"/>
      <c r="N7" s="229"/>
      <c r="O7" s="229"/>
      <c r="P7" s="229"/>
    </row>
    <row r="8" spans="2:16" s="159" customFormat="1" ht="18" customHeight="1">
      <c r="B8" s="283"/>
      <c r="C8" s="283"/>
      <c r="D8" s="284"/>
      <c r="E8" s="78" t="s">
        <v>1071</v>
      </c>
      <c r="F8" s="78" t="s">
        <v>1</v>
      </c>
      <c r="G8" s="179" t="s">
        <v>1105</v>
      </c>
      <c r="H8" s="230" t="s">
        <v>1</v>
      </c>
      <c r="I8" s="230"/>
      <c r="J8" s="230"/>
      <c r="K8" s="230"/>
      <c r="L8" s="230" t="s">
        <v>1</v>
      </c>
      <c r="M8" s="230"/>
      <c r="N8" s="230"/>
      <c r="O8" s="230"/>
      <c r="P8" s="230"/>
    </row>
    <row r="9" spans="2:16" ht="18" customHeight="1">
      <c r="B9" s="283"/>
      <c r="C9" s="283"/>
      <c r="D9" s="284"/>
      <c r="E9" s="157" t="s">
        <v>1698</v>
      </c>
      <c r="F9" s="78" t="s">
        <v>1</v>
      </c>
      <c r="G9" s="179" t="s">
        <v>1702</v>
      </c>
      <c r="H9" s="230" t="s">
        <v>1824</v>
      </c>
      <c r="I9" s="230"/>
      <c r="J9" s="230"/>
      <c r="K9" s="230"/>
      <c r="L9" s="230" t="s">
        <v>1</v>
      </c>
      <c r="M9" s="230"/>
      <c r="N9" s="230"/>
      <c r="O9" s="230"/>
      <c r="P9" s="230"/>
    </row>
    <row r="10" spans="2:16" ht="18" customHeight="1">
      <c r="B10" s="283"/>
      <c r="C10" s="283"/>
      <c r="D10" s="284"/>
      <c r="E10" s="156" t="s">
        <v>1699</v>
      </c>
      <c r="F10" s="79" t="s">
        <v>11</v>
      </c>
      <c r="G10" s="178" t="s">
        <v>1695</v>
      </c>
      <c r="H10" s="231" t="s">
        <v>1</v>
      </c>
      <c r="I10" s="231"/>
      <c r="J10" s="231"/>
      <c r="K10" s="231"/>
      <c r="L10" s="231" t="s">
        <v>1</v>
      </c>
      <c r="M10" s="231"/>
      <c r="N10" s="231"/>
      <c r="O10" s="231"/>
      <c r="P10" s="231"/>
    </row>
    <row r="11" spans="2:16" s="159" customFormat="1" ht="18" customHeight="1">
      <c r="B11" s="283"/>
      <c r="C11" s="283"/>
      <c r="D11" s="284"/>
      <c r="E11" s="156" t="s">
        <v>1700</v>
      </c>
      <c r="F11" s="79" t="s">
        <v>1</v>
      </c>
      <c r="G11" s="178" t="s">
        <v>1703</v>
      </c>
      <c r="H11" s="231" t="s">
        <v>1812</v>
      </c>
      <c r="I11" s="231"/>
      <c r="J11" s="231"/>
      <c r="K11" s="231"/>
      <c r="L11" s="231" t="s">
        <v>1</v>
      </c>
      <c r="M11" s="231"/>
      <c r="N11" s="231"/>
      <c r="O11" s="231"/>
      <c r="P11" s="231"/>
    </row>
    <row r="12" spans="2:16" s="159" customFormat="1" ht="18" customHeight="1">
      <c r="B12" s="285"/>
      <c r="C12" s="285"/>
      <c r="D12" s="286"/>
      <c r="E12" s="158" t="s">
        <v>1701</v>
      </c>
      <c r="F12" s="82" t="s">
        <v>1</v>
      </c>
      <c r="G12" s="178" t="s">
        <v>1704</v>
      </c>
      <c r="H12" s="231" t="s">
        <v>1811</v>
      </c>
      <c r="I12" s="231"/>
      <c r="J12" s="231"/>
      <c r="K12" s="231"/>
      <c r="L12" s="231" t="s">
        <v>1</v>
      </c>
      <c r="M12" s="231"/>
      <c r="N12" s="231"/>
      <c r="O12" s="231"/>
      <c r="P12" s="231"/>
    </row>
    <row r="13" spans="2:16" s="159" customFormat="1" ht="18" customHeight="1">
      <c r="B13" s="281" t="s">
        <v>1675</v>
      </c>
      <c r="C13" s="281"/>
      <c r="D13" s="282"/>
      <c r="E13" s="287" t="str">
        <f>HYPERLINK("#LAYOUT_e4!lay초SIBLING","SIBLING")</f>
        <v>SIBLING</v>
      </c>
      <c r="F13" s="78">
        <v>1</v>
      </c>
      <c r="G13" s="179" t="s">
        <v>1705</v>
      </c>
      <c r="H13" s="230" t="s">
        <v>1817</v>
      </c>
      <c r="I13" s="230"/>
      <c r="J13" s="230"/>
      <c r="K13" s="230"/>
      <c r="L13" s="230" t="s">
        <v>1</v>
      </c>
      <c r="M13" s="230"/>
      <c r="N13" s="230"/>
      <c r="O13" s="230"/>
      <c r="P13" s="230"/>
    </row>
    <row r="14" spans="2:16" s="159" customFormat="1" ht="18" customHeight="1">
      <c r="B14" s="283"/>
      <c r="C14" s="283"/>
      <c r="D14" s="284"/>
      <c r="E14" s="289"/>
      <c r="F14" s="79">
        <v>2</v>
      </c>
      <c r="G14" s="178" t="s">
        <v>1706</v>
      </c>
      <c r="H14" s="231" t="s">
        <v>1812</v>
      </c>
      <c r="I14" s="231"/>
      <c r="J14" s="231"/>
      <c r="K14" s="231"/>
      <c r="L14" s="231" t="s">
        <v>1</v>
      </c>
      <c r="M14" s="231"/>
      <c r="N14" s="231"/>
      <c r="O14" s="231"/>
      <c r="P14" s="231"/>
    </row>
    <row r="15" spans="2:16" s="159" customFormat="1" ht="18" customHeight="1">
      <c r="B15" s="283"/>
      <c r="C15" s="283"/>
      <c r="D15" s="284"/>
      <c r="E15" s="289"/>
      <c r="F15" s="79">
        <v>3</v>
      </c>
      <c r="G15" s="178" t="s">
        <v>1707</v>
      </c>
      <c r="H15" s="231" t="s">
        <v>1811</v>
      </c>
      <c r="I15" s="231"/>
      <c r="J15" s="231"/>
      <c r="K15" s="231"/>
      <c r="L15" s="231" t="s">
        <v>1</v>
      </c>
      <c r="M15" s="231"/>
      <c r="N15" s="231"/>
      <c r="O15" s="231"/>
      <c r="P15" s="231"/>
    </row>
    <row r="16" spans="2:16" s="159" customFormat="1" ht="18" customHeight="1">
      <c r="B16" s="283"/>
      <c r="C16" s="283"/>
      <c r="D16" s="284"/>
      <c r="E16" s="289"/>
      <c r="F16" s="79">
        <v>4</v>
      </c>
      <c r="G16" s="178" t="s">
        <v>1708</v>
      </c>
      <c r="H16" s="231" t="s">
        <v>1811</v>
      </c>
      <c r="I16" s="231"/>
      <c r="J16" s="231"/>
      <c r="K16" s="231"/>
      <c r="L16" s="231" t="s">
        <v>1</v>
      </c>
      <c r="M16" s="231"/>
      <c r="N16" s="231"/>
      <c r="O16" s="231"/>
      <c r="P16" s="231"/>
    </row>
    <row r="17" spans="2:16" s="159" customFormat="1" ht="18" customHeight="1">
      <c r="B17" s="283"/>
      <c r="C17" s="283"/>
      <c r="D17" s="284"/>
      <c r="E17" s="288"/>
      <c r="F17" s="82">
        <v>5</v>
      </c>
      <c r="G17" s="178" t="s">
        <v>1709</v>
      </c>
      <c r="H17" s="231" t="s">
        <v>1</v>
      </c>
      <c r="I17" s="231"/>
      <c r="J17" s="231"/>
      <c r="K17" s="231"/>
      <c r="L17" s="231" t="s">
        <v>1</v>
      </c>
      <c r="M17" s="231"/>
      <c r="N17" s="231"/>
      <c r="O17" s="231"/>
      <c r="P17" s="231"/>
    </row>
    <row r="18" spans="2:16" s="159" customFormat="1" ht="18" customHeight="1">
      <c r="B18" s="285"/>
      <c r="C18" s="285"/>
      <c r="D18" s="286"/>
      <c r="E18" s="197" t="str">
        <f>HYPERLINK("#LAYOUT_e4!lay초SIBLING_T","SIBLING_T")</f>
        <v>SIBLING_T</v>
      </c>
      <c r="F18" s="121" t="s">
        <v>1710</v>
      </c>
      <c r="G18" s="179" t="s">
        <v>1724</v>
      </c>
      <c r="H18" s="230" t="s">
        <v>1812</v>
      </c>
      <c r="I18" s="230"/>
      <c r="J18" s="230"/>
      <c r="K18" s="230"/>
      <c r="L18" s="230" t="s">
        <v>1</v>
      </c>
      <c r="M18" s="230"/>
      <c r="N18" s="230"/>
      <c r="O18" s="230"/>
      <c r="P18" s="230"/>
    </row>
    <row r="19" spans="2:16" s="159" customFormat="1" ht="18" customHeight="1">
      <c r="B19" s="281" t="s">
        <v>1725</v>
      </c>
      <c r="C19" s="281"/>
      <c r="D19" s="282"/>
      <c r="E19" s="287" t="str">
        <f>HYPERLINK("#LAYOUT_e4!lay초SGRADE","SGRADE")</f>
        <v>SGRADE</v>
      </c>
      <c r="F19" s="78">
        <v>1</v>
      </c>
      <c r="G19" s="179" t="s">
        <v>1712</v>
      </c>
      <c r="H19" s="230" t="s">
        <v>1</v>
      </c>
      <c r="I19" s="230"/>
      <c r="J19" s="230"/>
      <c r="K19" s="230"/>
      <c r="L19" s="230" t="s">
        <v>1</v>
      </c>
      <c r="M19" s="230"/>
      <c r="N19" s="230"/>
      <c r="O19" s="230"/>
      <c r="P19" s="230"/>
    </row>
    <row r="20" spans="2:16" s="159" customFormat="1" ht="18" customHeight="1">
      <c r="B20" s="283"/>
      <c r="C20" s="283"/>
      <c r="D20" s="284"/>
      <c r="E20" s="289"/>
      <c r="F20" s="79">
        <v>2</v>
      </c>
      <c r="G20" s="178" t="s">
        <v>1713</v>
      </c>
      <c r="H20" s="231" t="s">
        <v>1811</v>
      </c>
      <c r="I20" s="231"/>
      <c r="J20" s="231"/>
      <c r="K20" s="231"/>
      <c r="L20" s="231" t="s">
        <v>1</v>
      </c>
      <c r="M20" s="231"/>
      <c r="N20" s="231"/>
      <c r="O20" s="231"/>
      <c r="P20" s="231"/>
    </row>
    <row r="21" spans="2:16" s="159" customFormat="1" ht="18" customHeight="1">
      <c r="B21" s="283"/>
      <c r="C21" s="283"/>
      <c r="D21" s="284"/>
      <c r="E21" s="289"/>
      <c r="F21" s="79">
        <v>3</v>
      </c>
      <c r="G21" s="178" t="s">
        <v>1714</v>
      </c>
      <c r="H21" s="231" t="s">
        <v>1811</v>
      </c>
      <c r="I21" s="231"/>
      <c r="J21" s="231"/>
      <c r="K21" s="231"/>
      <c r="L21" s="231" t="s">
        <v>1</v>
      </c>
      <c r="M21" s="231"/>
      <c r="N21" s="231"/>
      <c r="O21" s="231"/>
      <c r="P21" s="231"/>
    </row>
    <row r="22" spans="2:16" s="159" customFormat="1" ht="18" customHeight="1">
      <c r="B22" s="283"/>
      <c r="C22" s="283"/>
      <c r="D22" s="284"/>
      <c r="E22" s="289"/>
      <c r="F22" s="79">
        <v>4</v>
      </c>
      <c r="G22" s="178" t="s">
        <v>1715</v>
      </c>
      <c r="H22" s="231" t="s">
        <v>1</v>
      </c>
      <c r="I22" s="231"/>
      <c r="J22" s="231"/>
      <c r="K22" s="231"/>
      <c r="L22" s="231" t="s">
        <v>1</v>
      </c>
      <c r="M22" s="231"/>
      <c r="N22" s="231"/>
      <c r="O22" s="231"/>
      <c r="P22" s="231"/>
    </row>
    <row r="23" spans="2:16" s="159" customFormat="1" ht="18" customHeight="1">
      <c r="B23" s="283"/>
      <c r="C23" s="283"/>
      <c r="D23" s="284"/>
      <c r="E23" s="289"/>
      <c r="F23" s="79">
        <v>5</v>
      </c>
      <c r="G23" s="178" t="s">
        <v>1716</v>
      </c>
      <c r="H23" s="231" t="s">
        <v>1822</v>
      </c>
      <c r="I23" s="231"/>
      <c r="J23" s="231"/>
      <c r="K23" s="231"/>
      <c r="L23" s="231" t="s">
        <v>1</v>
      </c>
      <c r="M23" s="231"/>
      <c r="N23" s="231"/>
      <c r="O23" s="231"/>
      <c r="P23" s="231"/>
    </row>
    <row r="24" spans="2:16" s="159" customFormat="1" ht="18" customHeight="1">
      <c r="B24" s="283"/>
      <c r="C24" s="283"/>
      <c r="D24" s="284"/>
      <c r="E24" s="289"/>
      <c r="F24" s="79">
        <v>6</v>
      </c>
      <c r="G24" s="178" t="s">
        <v>1717</v>
      </c>
      <c r="H24" s="231" t="s">
        <v>1</v>
      </c>
      <c r="I24" s="231"/>
      <c r="J24" s="231"/>
      <c r="K24" s="231"/>
      <c r="L24" s="231" t="s">
        <v>1</v>
      </c>
      <c r="M24" s="231"/>
      <c r="N24" s="231"/>
      <c r="O24" s="231"/>
      <c r="P24" s="231"/>
    </row>
    <row r="25" spans="2:16" s="159" customFormat="1" ht="18" customHeight="1">
      <c r="B25" s="283"/>
      <c r="C25" s="283"/>
      <c r="D25" s="284"/>
      <c r="E25" s="289"/>
      <c r="F25" s="79">
        <v>7</v>
      </c>
      <c r="G25" s="178" t="s">
        <v>1718</v>
      </c>
      <c r="H25" s="231" t="s">
        <v>1</v>
      </c>
      <c r="I25" s="231"/>
      <c r="J25" s="231"/>
      <c r="K25" s="231"/>
      <c r="L25" s="231" t="s">
        <v>1</v>
      </c>
      <c r="M25" s="231"/>
      <c r="N25" s="231"/>
      <c r="O25" s="231"/>
      <c r="P25" s="231"/>
    </row>
    <row r="26" spans="2:16" s="159" customFormat="1" ht="18" customHeight="1">
      <c r="B26" s="283"/>
      <c r="C26" s="283"/>
      <c r="D26" s="284"/>
      <c r="E26" s="289"/>
      <c r="F26" s="79">
        <v>8</v>
      </c>
      <c r="G26" s="178" t="s">
        <v>1719</v>
      </c>
      <c r="H26" s="231" t="s">
        <v>1811</v>
      </c>
      <c r="I26" s="231"/>
      <c r="J26" s="231"/>
      <c r="K26" s="231"/>
      <c r="L26" s="231" t="s">
        <v>1</v>
      </c>
      <c r="M26" s="231"/>
      <c r="N26" s="231"/>
      <c r="O26" s="231"/>
      <c r="P26" s="231"/>
    </row>
    <row r="27" spans="2:16" s="159" customFormat="1" ht="18" customHeight="1">
      <c r="B27" s="283"/>
      <c r="C27" s="283"/>
      <c r="D27" s="284"/>
      <c r="E27" s="289"/>
      <c r="F27" s="79">
        <v>9</v>
      </c>
      <c r="G27" s="178" t="s">
        <v>1720</v>
      </c>
      <c r="H27" s="231" t="s">
        <v>1822</v>
      </c>
      <c r="I27" s="231"/>
      <c r="J27" s="231"/>
      <c r="K27" s="231"/>
      <c r="L27" s="231" t="s">
        <v>1</v>
      </c>
      <c r="M27" s="231"/>
      <c r="N27" s="231"/>
      <c r="O27" s="231"/>
      <c r="P27" s="231"/>
    </row>
    <row r="28" spans="2:16" s="159" customFormat="1" ht="18" customHeight="1">
      <c r="B28" s="283"/>
      <c r="C28" s="283"/>
      <c r="D28" s="284"/>
      <c r="E28" s="289"/>
      <c r="F28" s="79">
        <v>10</v>
      </c>
      <c r="G28" s="178" t="s">
        <v>1721</v>
      </c>
      <c r="H28" s="231" t="s">
        <v>1812</v>
      </c>
      <c r="I28" s="231"/>
      <c r="J28" s="231"/>
      <c r="K28" s="231"/>
      <c r="L28" s="231" t="s">
        <v>1</v>
      </c>
      <c r="M28" s="231"/>
      <c r="N28" s="231"/>
      <c r="O28" s="231"/>
      <c r="P28" s="231"/>
    </row>
    <row r="29" spans="2:16" s="159" customFormat="1" ht="18" customHeight="1">
      <c r="B29" s="283"/>
      <c r="C29" s="283"/>
      <c r="D29" s="284"/>
      <c r="E29" s="289"/>
      <c r="F29" s="79">
        <v>11</v>
      </c>
      <c r="G29" s="178" t="s">
        <v>1722</v>
      </c>
      <c r="H29" s="231" t="s">
        <v>1817</v>
      </c>
      <c r="I29" s="231"/>
      <c r="J29" s="231"/>
      <c r="K29" s="231"/>
      <c r="L29" s="231" t="s">
        <v>1</v>
      </c>
      <c r="M29" s="231"/>
      <c r="N29" s="231"/>
      <c r="O29" s="231"/>
      <c r="P29" s="231"/>
    </row>
    <row r="30" spans="2:16" s="159" customFormat="1" ht="18" customHeight="1">
      <c r="B30" s="285"/>
      <c r="C30" s="285"/>
      <c r="D30" s="286"/>
      <c r="E30" s="288"/>
      <c r="F30" s="82">
        <v>12</v>
      </c>
      <c r="G30" s="180" t="s">
        <v>1723</v>
      </c>
      <c r="H30" s="232" t="s">
        <v>1823</v>
      </c>
      <c r="I30" s="232"/>
      <c r="J30" s="232"/>
      <c r="K30" s="232"/>
      <c r="L30" s="232" t="s">
        <v>1</v>
      </c>
      <c r="M30" s="232"/>
      <c r="N30" s="232"/>
      <c r="O30" s="232"/>
      <c r="P30" s="232"/>
    </row>
    <row r="31" spans="2:16" s="159" customFormat="1" ht="18" customHeight="1">
      <c r="B31" s="281" t="s">
        <v>1726</v>
      </c>
      <c r="C31" s="281"/>
      <c r="D31" s="282"/>
      <c r="E31" s="287" t="str">
        <f>HYPERLINK("#LAYOUT_e4!lay초SURVEY1","SURVEY1")</f>
        <v>SURVEY1</v>
      </c>
      <c r="F31" s="79">
        <v>1</v>
      </c>
      <c r="G31" s="178" t="s">
        <v>1691</v>
      </c>
      <c r="H31" s="230" t="s">
        <v>1811</v>
      </c>
      <c r="I31" s="230"/>
      <c r="J31" s="230"/>
      <c r="K31" s="230"/>
      <c r="L31" s="230" t="s">
        <v>1</v>
      </c>
      <c r="M31" s="230"/>
      <c r="N31" s="230"/>
      <c r="O31" s="230"/>
      <c r="P31" s="230"/>
    </row>
    <row r="32" spans="2:16" s="159" customFormat="1" ht="18" customHeight="1">
      <c r="B32" s="285"/>
      <c r="C32" s="285"/>
      <c r="D32" s="286"/>
      <c r="E32" s="288"/>
      <c r="F32" s="82">
        <v>2</v>
      </c>
      <c r="G32" s="180" t="s">
        <v>1692</v>
      </c>
      <c r="H32" s="232" t="s">
        <v>1811</v>
      </c>
      <c r="I32" s="232"/>
      <c r="J32" s="232"/>
      <c r="K32" s="232"/>
      <c r="L32" s="232" t="s">
        <v>1</v>
      </c>
      <c r="M32" s="232"/>
      <c r="N32" s="232"/>
      <c r="O32" s="232"/>
      <c r="P32" s="232"/>
    </row>
    <row r="33" spans="2:16" s="159" customFormat="1" ht="18" customHeight="1">
      <c r="B33" s="281" t="s">
        <v>1727</v>
      </c>
      <c r="C33" s="281"/>
      <c r="D33" s="282"/>
      <c r="E33" s="287" t="str">
        <f>HYPERLINK("#LAYOUT_e4!lay초SURVEY2","SURVEY2")</f>
        <v>SURVEY2</v>
      </c>
      <c r="F33" s="79">
        <v>1</v>
      </c>
      <c r="G33" s="178" t="s">
        <v>1693</v>
      </c>
      <c r="H33" s="231" t="s">
        <v>1</v>
      </c>
      <c r="I33" s="231"/>
      <c r="J33" s="231"/>
      <c r="K33" s="231"/>
      <c r="L33" s="231" t="s">
        <v>1</v>
      </c>
      <c r="M33" s="231"/>
      <c r="N33" s="231"/>
      <c r="O33" s="231"/>
      <c r="P33" s="231"/>
    </row>
    <row r="34" spans="2:16" s="159" customFormat="1" ht="18" customHeight="1">
      <c r="B34" s="285"/>
      <c r="C34" s="285"/>
      <c r="D34" s="286"/>
      <c r="E34" s="288"/>
      <c r="F34" s="82">
        <v>2</v>
      </c>
      <c r="G34" s="178" t="s">
        <v>1692</v>
      </c>
      <c r="H34" s="231" t="s">
        <v>1811</v>
      </c>
      <c r="I34" s="231"/>
      <c r="J34" s="231"/>
      <c r="K34" s="231"/>
      <c r="L34" s="231" t="s">
        <v>1</v>
      </c>
      <c r="M34" s="231"/>
      <c r="N34" s="231"/>
      <c r="O34" s="231"/>
      <c r="P34" s="231"/>
    </row>
    <row r="35" spans="2:16" ht="18" customHeight="1">
      <c r="B35" s="281" t="s">
        <v>1104</v>
      </c>
      <c r="C35" s="281"/>
      <c r="D35" s="282"/>
      <c r="E35" s="287" t="str">
        <f>HYPERLINK("#LAYOUT_e4!lay초COHORT","COHORT")</f>
        <v>COHORT</v>
      </c>
      <c r="F35" s="78" t="s">
        <v>1106</v>
      </c>
      <c r="G35" s="179" t="s">
        <v>1754</v>
      </c>
      <c r="H35" s="230" t="s">
        <v>1822</v>
      </c>
      <c r="I35" s="230"/>
      <c r="J35" s="230"/>
      <c r="K35" s="230"/>
      <c r="L35" s="230" t="s">
        <v>1</v>
      </c>
      <c r="M35" s="230"/>
      <c r="N35" s="230"/>
      <c r="O35" s="230"/>
      <c r="P35" s="230"/>
    </row>
    <row r="36" spans="2:16" ht="18" customHeight="1">
      <c r="B36" s="283"/>
      <c r="C36" s="283"/>
      <c r="D36" s="284"/>
      <c r="E36" s="289"/>
      <c r="F36" s="79" t="s">
        <v>1107</v>
      </c>
      <c r="G36" s="178" t="s">
        <v>1755</v>
      </c>
      <c r="H36" s="231" t="s">
        <v>1811</v>
      </c>
      <c r="I36" s="231"/>
      <c r="J36" s="231"/>
      <c r="K36" s="231"/>
      <c r="L36" s="231" t="s">
        <v>1</v>
      </c>
      <c r="M36" s="231"/>
      <c r="N36" s="231"/>
      <c r="O36" s="231"/>
      <c r="P36" s="231"/>
    </row>
    <row r="37" spans="2:16" s="176" customFormat="1" ht="18" customHeight="1">
      <c r="B37" s="283"/>
      <c r="C37" s="283"/>
      <c r="D37" s="284"/>
      <c r="E37" s="289"/>
      <c r="F37" s="79" t="s">
        <v>1750</v>
      </c>
      <c r="G37" s="178" t="s">
        <v>1789</v>
      </c>
      <c r="H37" s="231" t="s">
        <v>1</v>
      </c>
      <c r="I37" s="231"/>
      <c r="J37" s="231"/>
      <c r="K37" s="231"/>
      <c r="L37" s="231" t="s">
        <v>1</v>
      </c>
      <c r="M37" s="231"/>
      <c r="N37" s="231"/>
      <c r="O37" s="231"/>
      <c r="P37" s="231"/>
    </row>
    <row r="38" spans="2:16" s="176" customFormat="1" ht="18" customHeight="1">
      <c r="B38" s="285"/>
      <c r="C38" s="285"/>
      <c r="D38" s="286"/>
      <c r="E38" s="288"/>
      <c r="F38" s="79" t="s">
        <v>1751</v>
      </c>
      <c r="G38" s="178" t="s">
        <v>1790</v>
      </c>
      <c r="H38" s="231" t="s">
        <v>1</v>
      </c>
      <c r="I38" s="231"/>
      <c r="J38" s="231"/>
      <c r="K38" s="231"/>
      <c r="L38" s="231" t="s">
        <v>1</v>
      </c>
      <c r="M38" s="231"/>
      <c r="N38" s="231"/>
      <c r="O38" s="231"/>
      <c r="P38" s="231"/>
    </row>
    <row r="39" spans="2:16" ht="18" customHeight="1">
      <c r="B39" s="281" t="s">
        <v>1072</v>
      </c>
      <c r="C39" s="281"/>
      <c r="D39" s="282"/>
      <c r="E39" s="294" t="str">
        <f>HYPERLINK("#LAYOUT_e4!lay초ARA1A","ARA1A")</f>
        <v>ARA1A</v>
      </c>
      <c r="F39" s="78">
        <v>1</v>
      </c>
      <c r="G39" s="179" t="s">
        <v>1074</v>
      </c>
      <c r="H39" s="230">
        <v>16.015360736743411</v>
      </c>
      <c r="I39" s="325"/>
      <c r="J39" s="325"/>
      <c r="K39" s="325"/>
      <c r="L39" s="230">
        <v>15.615767368152722</v>
      </c>
      <c r="M39" s="325"/>
      <c r="N39" s="325"/>
      <c r="O39" s="325"/>
      <c r="P39" s="325"/>
    </row>
    <row r="40" spans="2:16" ht="18" customHeight="1">
      <c r="B40" s="283"/>
      <c r="C40" s="283"/>
      <c r="D40" s="284"/>
      <c r="E40" s="295"/>
      <c r="F40" s="79">
        <v>2</v>
      </c>
      <c r="G40" s="178" t="s">
        <v>1075</v>
      </c>
      <c r="H40" s="231">
        <v>5.6113033175981597</v>
      </c>
      <c r="I40" s="326"/>
      <c r="J40" s="326"/>
      <c r="K40" s="326"/>
      <c r="L40" s="231">
        <v>5.5948225229118895</v>
      </c>
      <c r="M40" s="326"/>
      <c r="N40" s="326"/>
      <c r="O40" s="326"/>
      <c r="P40" s="326"/>
    </row>
    <row r="41" spans="2:16" ht="18" customHeight="1">
      <c r="B41" s="283"/>
      <c r="C41" s="283"/>
      <c r="D41" s="284"/>
      <c r="E41" s="295"/>
      <c r="F41" s="79">
        <v>3</v>
      </c>
      <c r="G41" s="178" t="s">
        <v>1076</v>
      </c>
      <c r="H41" s="231">
        <v>4.7059425586434722</v>
      </c>
      <c r="I41" s="326"/>
      <c r="J41" s="326"/>
      <c r="K41" s="326"/>
      <c r="L41" s="231">
        <v>4.5985571328834141</v>
      </c>
      <c r="M41" s="326"/>
      <c r="N41" s="326"/>
      <c r="O41" s="326"/>
      <c r="P41" s="326"/>
    </row>
    <row r="42" spans="2:16" ht="18" customHeight="1">
      <c r="B42" s="283"/>
      <c r="C42" s="283"/>
      <c r="D42" s="284"/>
      <c r="E42" s="295"/>
      <c r="F42" s="79">
        <v>4</v>
      </c>
      <c r="G42" s="178" t="s">
        <v>1077</v>
      </c>
      <c r="H42" s="231">
        <v>5.8857081584194377</v>
      </c>
      <c r="I42" s="326"/>
      <c r="J42" s="326"/>
      <c r="K42" s="326"/>
      <c r="L42" s="231">
        <v>5.8149096268714651</v>
      </c>
      <c r="M42" s="326"/>
      <c r="N42" s="326"/>
      <c r="O42" s="326"/>
      <c r="P42" s="326"/>
    </row>
    <row r="43" spans="2:16" ht="18" customHeight="1">
      <c r="B43" s="283"/>
      <c r="C43" s="283"/>
      <c r="D43" s="284"/>
      <c r="E43" s="295"/>
      <c r="F43" s="79">
        <v>5</v>
      </c>
      <c r="G43" s="178" t="s">
        <v>1078</v>
      </c>
      <c r="H43" s="231">
        <v>3.3547794295152475</v>
      </c>
      <c r="I43" s="326"/>
      <c r="J43" s="326"/>
      <c r="K43" s="326"/>
      <c r="L43" s="231">
        <v>3.2341500714784472</v>
      </c>
      <c r="M43" s="326"/>
      <c r="N43" s="326"/>
      <c r="O43" s="326"/>
      <c r="P43" s="326"/>
    </row>
    <row r="44" spans="2:16" ht="18" customHeight="1">
      <c r="B44" s="283"/>
      <c r="C44" s="283"/>
      <c r="D44" s="284"/>
      <c r="E44" s="295"/>
      <c r="F44" s="79">
        <v>6</v>
      </c>
      <c r="G44" s="178" t="s">
        <v>1079</v>
      </c>
      <c r="H44" s="231">
        <v>3.1482335910608903</v>
      </c>
      <c r="I44" s="326"/>
      <c r="J44" s="326"/>
      <c r="K44" s="326"/>
      <c r="L44" s="231">
        <v>3.047973669337412</v>
      </c>
      <c r="M44" s="326"/>
      <c r="N44" s="326"/>
      <c r="O44" s="326"/>
      <c r="P44" s="326"/>
    </row>
    <row r="45" spans="2:16" ht="18" customHeight="1">
      <c r="B45" s="283"/>
      <c r="C45" s="283"/>
      <c r="D45" s="284"/>
      <c r="E45" s="295"/>
      <c r="F45" s="79">
        <v>7</v>
      </c>
      <c r="G45" s="178" t="s">
        <v>1080</v>
      </c>
      <c r="H45" s="231">
        <v>2.4698556267739606</v>
      </c>
      <c r="I45" s="326"/>
      <c r="J45" s="326"/>
      <c r="K45" s="326"/>
      <c r="L45" s="231">
        <v>2.4522091824861203</v>
      </c>
      <c r="M45" s="326"/>
      <c r="N45" s="326"/>
      <c r="O45" s="326"/>
      <c r="P45" s="326"/>
    </row>
    <row r="46" spans="2:16" ht="18" customHeight="1">
      <c r="B46" s="283"/>
      <c r="C46" s="283"/>
      <c r="D46" s="284"/>
      <c r="E46" s="295"/>
      <c r="F46" s="79">
        <v>8</v>
      </c>
      <c r="G46" s="178" t="s">
        <v>1081</v>
      </c>
      <c r="H46" s="231">
        <v>0.74220783838832893</v>
      </c>
      <c r="I46" s="326"/>
      <c r="J46" s="326"/>
      <c r="K46" s="326"/>
      <c r="L46" s="231">
        <v>1.0115584516329217</v>
      </c>
      <c r="M46" s="326"/>
      <c r="N46" s="326"/>
      <c r="O46" s="326"/>
      <c r="P46" s="326"/>
    </row>
    <row r="47" spans="2:16" ht="18" customHeight="1">
      <c r="B47" s="283"/>
      <c r="C47" s="283"/>
      <c r="D47" s="284"/>
      <c r="E47" s="295"/>
      <c r="F47" s="79">
        <v>9</v>
      </c>
      <c r="G47" s="178" t="s">
        <v>1082</v>
      </c>
      <c r="H47" s="231">
        <v>27.457321309575235</v>
      </c>
      <c r="I47" s="326"/>
      <c r="J47" s="326"/>
      <c r="K47" s="326"/>
      <c r="L47" s="231">
        <v>27.984307988962399</v>
      </c>
      <c r="M47" s="326"/>
      <c r="N47" s="326"/>
      <c r="O47" s="326"/>
      <c r="P47" s="326"/>
    </row>
    <row r="48" spans="2:16" ht="18" customHeight="1">
      <c r="B48" s="283"/>
      <c r="C48" s="283"/>
      <c r="D48" s="284"/>
      <c r="E48" s="295"/>
      <c r="F48" s="79">
        <v>10</v>
      </c>
      <c r="G48" s="178" t="s">
        <v>1083</v>
      </c>
      <c r="H48" s="231">
        <v>2.8292962799363117</v>
      </c>
      <c r="I48" s="326"/>
      <c r="J48" s="326"/>
      <c r="K48" s="326"/>
      <c r="L48" s="231">
        <v>2.7540809202433563</v>
      </c>
      <c r="M48" s="326"/>
      <c r="N48" s="326"/>
      <c r="O48" s="326"/>
      <c r="P48" s="326"/>
    </row>
    <row r="49" spans="2:16" ht="18" customHeight="1">
      <c r="B49" s="283"/>
      <c r="C49" s="283"/>
      <c r="D49" s="284"/>
      <c r="E49" s="295"/>
      <c r="F49" s="79">
        <v>11</v>
      </c>
      <c r="G49" s="178" t="s">
        <v>1084</v>
      </c>
      <c r="H49" s="231">
        <v>3.1397512157650271</v>
      </c>
      <c r="I49" s="326"/>
      <c r="J49" s="326"/>
      <c r="K49" s="326"/>
      <c r="L49" s="231">
        <v>3.1403969546859911</v>
      </c>
      <c r="M49" s="326"/>
      <c r="N49" s="326"/>
      <c r="O49" s="326"/>
      <c r="P49" s="326"/>
    </row>
    <row r="50" spans="2:16" ht="18" customHeight="1">
      <c r="B50" s="283"/>
      <c r="C50" s="283"/>
      <c r="D50" s="284"/>
      <c r="E50" s="295"/>
      <c r="F50" s="79">
        <v>12</v>
      </c>
      <c r="G50" s="178" t="s">
        <v>1085</v>
      </c>
      <c r="H50" s="231">
        <v>4.3429761514837031</v>
      </c>
      <c r="I50" s="326"/>
      <c r="J50" s="326"/>
      <c r="K50" s="326"/>
      <c r="L50" s="231">
        <v>4.4272305151988682</v>
      </c>
      <c r="M50" s="326"/>
      <c r="N50" s="326"/>
      <c r="O50" s="326"/>
      <c r="P50" s="326"/>
    </row>
    <row r="51" spans="2:16" ht="18" customHeight="1">
      <c r="B51" s="283"/>
      <c r="C51" s="283"/>
      <c r="D51" s="284"/>
      <c r="E51" s="295"/>
      <c r="F51" s="79">
        <v>13</v>
      </c>
      <c r="G51" s="178" t="s">
        <v>1086</v>
      </c>
      <c r="H51" s="231">
        <v>3.6472093178402445</v>
      </c>
      <c r="I51" s="326"/>
      <c r="J51" s="326"/>
      <c r="K51" s="326"/>
      <c r="L51" s="231">
        <v>3.581236078327072</v>
      </c>
      <c r="M51" s="326"/>
      <c r="N51" s="326"/>
      <c r="O51" s="326"/>
      <c r="P51" s="326"/>
    </row>
    <row r="52" spans="2:16" ht="18" customHeight="1">
      <c r="B52" s="283"/>
      <c r="C52" s="283"/>
      <c r="D52" s="284"/>
      <c r="E52" s="295"/>
      <c r="F52" s="79">
        <v>14</v>
      </c>
      <c r="G52" s="178" t="s">
        <v>1087</v>
      </c>
      <c r="H52" s="231">
        <v>3.4654744271263098</v>
      </c>
      <c r="I52" s="326"/>
      <c r="J52" s="326"/>
      <c r="K52" s="326"/>
      <c r="L52" s="231">
        <v>3.4413821381473211</v>
      </c>
      <c r="M52" s="326"/>
      <c r="N52" s="326"/>
      <c r="O52" s="326"/>
      <c r="P52" s="326"/>
    </row>
    <row r="53" spans="2:16" ht="18" customHeight="1">
      <c r="B53" s="283"/>
      <c r="C53" s="283"/>
      <c r="D53" s="284"/>
      <c r="E53" s="295"/>
      <c r="F53" s="79">
        <v>15</v>
      </c>
      <c r="G53" s="178" t="s">
        <v>1088</v>
      </c>
      <c r="H53" s="231">
        <v>4.7145041894426569</v>
      </c>
      <c r="I53" s="326"/>
      <c r="J53" s="326"/>
      <c r="K53" s="326"/>
      <c r="L53" s="231">
        <v>4.7528175803716932</v>
      </c>
      <c r="M53" s="326"/>
      <c r="N53" s="326"/>
      <c r="O53" s="326"/>
      <c r="P53" s="326"/>
    </row>
    <row r="54" spans="2:16" ht="18" customHeight="1">
      <c r="B54" s="283"/>
      <c r="C54" s="283"/>
      <c r="D54" s="284"/>
      <c r="E54" s="295"/>
      <c r="F54" s="79">
        <v>16</v>
      </c>
      <c r="G54" s="178" t="s">
        <v>1089</v>
      </c>
      <c r="H54" s="231">
        <v>7.0168329041232704</v>
      </c>
      <c r="I54" s="326"/>
      <c r="J54" s="326"/>
      <c r="K54" s="326"/>
      <c r="L54" s="231">
        <v>7.085785210057951</v>
      </c>
      <c r="M54" s="326"/>
      <c r="N54" s="326"/>
      <c r="O54" s="326"/>
      <c r="P54" s="326"/>
    </row>
    <row r="55" spans="2:16" ht="18" customHeight="1">
      <c r="B55" s="283"/>
      <c r="C55" s="283"/>
      <c r="D55" s="284"/>
      <c r="E55" s="295"/>
      <c r="F55" s="79">
        <v>17</v>
      </c>
      <c r="G55" s="178" t="s">
        <v>1090</v>
      </c>
      <c r="H55" s="231">
        <v>1.4532429475643482</v>
      </c>
      <c r="I55" s="326"/>
      <c r="J55" s="326"/>
      <c r="K55" s="326"/>
      <c r="L55" s="231">
        <v>1.4628145882509402</v>
      </c>
      <c r="M55" s="326"/>
      <c r="N55" s="326"/>
      <c r="O55" s="326"/>
      <c r="P55" s="326"/>
    </row>
    <row r="56" spans="2:16" s="221" customFormat="1" ht="18" customHeight="1">
      <c r="B56" s="281" t="s">
        <v>1797</v>
      </c>
      <c r="C56" s="281"/>
      <c r="D56" s="282"/>
      <c r="E56" s="287" t="str">
        <f>HYPERLINK("#LAYOUT_e4!lay초ARA2A","ARA2A")</f>
        <v>ARA2A</v>
      </c>
      <c r="F56" s="78">
        <v>1</v>
      </c>
      <c r="G56" s="179" t="s">
        <v>1798</v>
      </c>
      <c r="H56" s="230">
        <v>43.386634204707427</v>
      </c>
      <c r="I56" s="327"/>
      <c r="J56" s="327"/>
      <c r="K56" s="327"/>
      <c r="L56" s="230">
        <v>42.778743614708347</v>
      </c>
      <c r="M56" s="327"/>
      <c r="N56" s="327"/>
      <c r="O56" s="327"/>
      <c r="P56" s="327"/>
    </row>
    <row r="57" spans="2:16" s="221" customFormat="1" ht="18" customHeight="1">
      <c r="B57" s="283"/>
      <c r="C57" s="283"/>
      <c r="D57" s="284"/>
      <c r="E57" s="289"/>
      <c r="F57" s="79">
        <v>2</v>
      </c>
      <c r="G57" s="178" t="s">
        <v>1799</v>
      </c>
      <c r="H57" s="231">
        <v>42.061214797086244</v>
      </c>
      <c r="I57" s="328"/>
      <c r="J57" s="328"/>
      <c r="K57" s="328"/>
      <c r="L57" s="231">
        <v>42.432715182746442</v>
      </c>
      <c r="M57" s="328"/>
      <c r="N57" s="328"/>
      <c r="O57" s="328"/>
      <c r="P57" s="328"/>
    </row>
    <row r="58" spans="2:16" s="221" customFormat="1" ht="18" customHeight="1">
      <c r="B58" s="285"/>
      <c r="C58" s="285"/>
      <c r="D58" s="286"/>
      <c r="E58" s="288"/>
      <c r="F58" s="82">
        <v>3</v>
      </c>
      <c r="G58" s="180" t="s">
        <v>1800</v>
      </c>
      <c r="H58" s="232">
        <v>14.552150998206349</v>
      </c>
      <c r="I58" s="329"/>
      <c r="J58" s="329"/>
      <c r="K58" s="329"/>
      <c r="L58" s="232">
        <v>14.788541202545236</v>
      </c>
      <c r="M58" s="329"/>
      <c r="N58" s="329"/>
      <c r="O58" s="329"/>
      <c r="P58" s="329"/>
    </row>
    <row r="59" spans="2:16" ht="18" customHeight="1">
      <c r="B59" s="281" t="s">
        <v>1073</v>
      </c>
      <c r="C59" s="281"/>
      <c r="D59" s="282"/>
      <c r="E59" s="294" t="str">
        <f>HYPERLINK("#LAYOUT_e4!lay초ARA1B","ARA1B")</f>
        <v>ARA1B</v>
      </c>
      <c r="F59" s="78">
        <v>1</v>
      </c>
      <c r="G59" s="179" t="s">
        <v>1074</v>
      </c>
      <c r="H59" s="230">
        <v>15.867226766580004</v>
      </c>
      <c r="I59" s="325"/>
      <c r="J59" s="325"/>
      <c r="K59" s="325"/>
      <c r="L59" s="230">
        <v>15.615767368152722</v>
      </c>
      <c r="M59" s="325"/>
      <c r="N59" s="325"/>
      <c r="O59" s="325"/>
      <c r="P59" s="325"/>
    </row>
    <row r="60" spans="2:16" ht="18" customHeight="1">
      <c r="B60" s="283"/>
      <c r="C60" s="283"/>
      <c r="D60" s="284"/>
      <c r="E60" s="295"/>
      <c r="F60" s="79">
        <v>2</v>
      </c>
      <c r="G60" s="178" t="s">
        <v>1075</v>
      </c>
      <c r="H60" s="231">
        <v>5.6113033175981597</v>
      </c>
      <c r="I60" s="326"/>
      <c r="J60" s="326"/>
      <c r="K60" s="326"/>
      <c r="L60" s="231">
        <v>5.5948225229118895</v>
      </c>
      <c r="M60" s="326"/>
      <c r="N60" s="326"/>
      <c r="O60" s="326"/>
      <c r="P60" s="326"/>
    </row>
    <row r="61" spans="2:16" ht="18" customHeight="1">
      <c r="B61" s="283"/>
      <c r="C61" s="283"/>
      <c r="D61" s="284"/>
      <c r="E61" s="295"/>
      <c r="F61" s="79">
        <v>3</v>
      </c>
      <c r="G61" s="178" t="s">
        <v>1076</v>
      </c>
      <c r="H61" s="231">
        <v>4.7059425586434722</v>
      </c>
      <c r="I61" s="326"/>
      <c r="J61" s="326"/>
      <c r="K61" s="326"/>
      <c r="L61" s="231">
        <v>4.5985571328834141</v>
      </c>
      <c r="M61" s="326"/>
      <c r="N61" s="326"/>
      <c r="O61" s="326"/>
      <c r="P61" s="326"/>
    </row>
    <row r="62" spans="2:16" ht="18" customHeight="1">
      <c r="B62" s="283"/>
      <c r="C62" s="283"/>
      <c r="D62" s="284"/>
      <c r="E62" s="295"/>
      <c r="F62" s="79">
        <v>4</v>
      </c>
      <c r="G62" s="178" t="s">
        <v>1077</v>
      </c>
      <c r="H62" s="231">
        <v>5.8857081584194377</v>
      </c>
      <c r="I62" s="326"/>
      <c r="J62" s="326"/>
      <c r="K62" s="326"/>
      <c r="L62" s="231">
        <v>5.8149096268714651</v>
      </c>
      <c r="M62" s="326"/>
      <c r="N62" s="326"/>
      <c r="O62" s="326"/>
      <c r="P62" s="326"/>
    </row>
    <row r="63" spans="2:16" ht="18" customHeight="1">
      <c r="B63" s="283"/>
      <c r="C63" s="283"/>
      <c r="D63" s="284"/>
      <c r="E63" s="295"/>
      <c r="F63" s="79">
        <v>5</v>
      </c>
      <c r="G63" s="178" t="s">
        <v>1078</v>
      </c>
      <c r="H63" s="231">
        <v>3.3547794295152475</v>
      </c>
      <c r="I63" s="326"/>
      <c r="J63" s="326"/>
      <c r="K63" s="326"/>
      <c r="L63" s="231">
        <v>3.2341500714784472</v>
      </c>
      <c r="M63" s="326"/>
      <c r="N63" s="326"/>
      <c r="O63" s="326"/>
      <c r="P63" s="326"/>
    </row>
    <row r="64" spans="2:16" ht="18" customHeight="1">
      <c r="B64" s="283"/>
      <c r="C64" s="283"/>
      <c r="D64" s="284"/>
      <c r="E64" s="295"/>
      <c r="F64" s="79">
        <v>6</v>
      </c>
      <c r="G64" s="178" t="s">
        <v>1079</v>
      </c>
      <c r="H64" s="231">
        <v>3.1482335910608903</v>
      </c>
      <c r="I64" s="326"/>
      <c r="J64" s="326"/>
      <c r="K64" s="326"/>
      <c r="L64" s="231">
        <v>3.047973669337412</v>
      </c>
      <c r="M64" s="326"/>
      <c r="N64" s="326"/>
      <c r="O64" s="326"/>
      <c r="P64" s="326"/>
    </row>
    <row r="65" spans="2:16" ht="18" customHeight="1">
      <c r="B65" s="283"/>
      <c r="C65" s="283"/>
      <c r="D65" s="284"/>
      <c r="E65" s="295"/>
      <c r="F65" s="79">
        <v>7</v>
      </c>
      <c r="G65" s="178" t="s">
        <v>1080</v>
      </c>
      <c r="H65" s="231">
        <v>2.4698556267739606</v>
      </c>
      <c r="I65" s="326"/>
      <c r="J65" s="326"/>
      <c r="K65" s="326"/>
      <c r="L65" s="231">
        <v>2.4522091824861203</v>
      </c>
      <c r="M65" s="326"/>
      <c r="N65" s="326"/>
      <c r="O65" s="326"/>
      <c r="P65" s="326"/>
    </row>
    <row r="66" spans="2:16" ht="18" customHeight="1">
      <c r="B66" s="283"/>
      <c r="C66" s="283"/>
      <c r="D66" s="284"/>
      <c r="E66" s="295"/>
      <c r="F66" s="79">
        <v>8</v>
      </c>
      <c r="G66" s="178" t="s">
        <v>1081</v>
      </c>
      <c r="H66" s="231">
        <v>0.76779522402491585</v>
      </c>
      <c r="I66" s="326"/>
      <c r="J66" s="326"/>
      <c r="K66" s="326"/>
      <c r="L66" s="231">
        <v>1.0115584516329217</v>
      </c>
      <c r="M66" s="326"/>
      <c r="N66" s="326"/>
      <c r="O66" s="326"/>
      <c r="P66" s="326"/>
    </row>
    <row r="67" spans="2:16" ht="18" customHeight="1">
      <c r="B67" s="283"/>
      <c r="C67" s="283"/>
      <c r="D67" s="284"/>
      <c r="E67" s="295"/>
      <c r="F67" s="79">
        <v>9</v>
      </c>
      <c r="G67" s="178" t="s">
        <v>1082</v>
      </c>
      <c r="H67" s="231">
        <v>27.625037771923502</v>
      </c>
      <c r="I67" s="326"/>
      <c r="J67" s="326"/>
      <c r="K67" s="326"/>
      <c r="L67" s="231">
        <v>27.984307988962399</v>
      </c>
      <c r="M67" s="326"/>
      <c r="N67" s="326"/>
      <c r="O67" s="326"/>
      <c r="P67" s="326"/>
    </row>
    <row r="68" spans="2:16" ht="18" customHeight="1">
      <c r="B68" s="283"/>
      <c r="C68" s="283"/>
      <c r="D68" s="284"/>
      <c r="E68" s="295"/>
      <c r="F68" s="79">
        <v>10</v>
      </c>
      <c r="G68" s="178" t="s">
        <v>1083</v>
      </c>
      <c r="H68" s="231">
        <v>2.8480094046242672</v>
      </c>
      <c r="I68" s="326"/>
      <c r="J68" s="326"/>
      <c r="K68" s="326"/>
      <c r="L68" s="231">
        <v>2.7540809202433563</v>
      </c>
      <c r="M68" s="326"/>
      <c r="N68" s="326"/>
      <c r="O68" s="326"/>
      <c r="P68" s="326"/>
    </row>
    <row r="69" spans="2:16" ht="18" customHeight="1">
      <c r="B69" s="283"/>
      <c r="C69" s="283"/>
      <c r="D69" s="284"/>
      <c r="E69" s="295"/>
      <c r="F69" s="79">
        <v>11</v>
      </c>
      <c r="G69" s="178" t="s">
        <v>1084</v>
      </c>
      <c r="H69" s="231">
        <v>3.1141638301284402</v>
      </c>
      <c r="I69" s="326"/>
      <c r="J69" s="326"/>
      <c r="K69" s="326"/>
      <c r="L69" s="231">
        <v>3.1403969546859911</v>
      </c>
      <c r="M69" s="326"/>
      <c r="N69" s="326"/>
      <c r="O69" s="326"/>
      <c r="P69" s="326"/>
    </row>
    <row r="70" spans="2:16" ht="18" customHeight="1">
      <c r="B70" s="283"/>
      <c r="C70" s="283"/>
      <c r="D70" s="284"/>
      <c r="E70" s="295"/>
      <c r="F70" s="79">
        <v>12</v>
      </c>
      <c r="G70" s="178" t="s">
        <v>1085</v>
      </c>
      <c r="H70" s="231">
        <v>4.3046805346108892</v>
      </c>
      <c r="I70" s="326"/>
      <c r="J70" s="326"/>
      <c r="K70" s="326"/>
      <c r="L70" s="231">
        <v>4.4272305151988682</v>
      </c>
      <c r="M70" s="326"/>
      <c r="N70" s="326"/>
      <c r="O70" s="326"/>
      <c r="P70" s="326"/>
    </row>
    <row r="71" spans="2:16" ht="18" customHeight="1">
      <c r="B71" s="283"/>
      <c r="C71" s="283"/>
      <c r="D71" s="284"/>
      <c r="E71" s="295"/>
      <c r="F71" s="79">
        <v>13</v>
      </c>
      <c r="G71" s="178" t="s">
        <v>1086</v>
      </c>
      <c r="H71" s="231">
        <v>3.6472093178402445</v>
      </c>
      <c r="I71" s="326"/>
      <c r="J71" s="326"/>
      <c r="K71" s="326"/>
      <c r="L71" s="231">
        <v>3.581236078327072</v>
      </c>
      <c r="M71" s="326"/>
      <c r="N71" s="326"/>
      <c r="O71" s="326"/>
      <c r="P71" s="326"/>
    </row>
    <row r="72" spans="2:16" ht="18" customHeight="1">
      <c r="B72" s="283"/>
      <c r="C72" s="283"/>
      <c r="D72" s="284"/>
      <c r="E72" s="295"/>
      <c r="F72" s="79">
        <v>14</v>
      </c>
      <c r="G72" s="178" t="s">
        <v>1087</v>
      </c>
      <c r="H72" s="231">
        <v>3.4654744271263098</v>
      </c>
      <c r="I72" s="326"/>
      <c r="J72" s="326"/>
      <c r="K72" s="326"/>
      <c r="L72" s="231">
        <v>3.4413821381473211</v>
      </c>
      <c r="M72" s="326"/>
      <c r="N72" s="326"/>
      <c r="O72" s="326"/>
      <c r="P72" s="326"/>
    </row>
    <row r="73" spans="2:16" ht="18" customHeight="1">
      <c r="B73" s="283"/>
      <c r="C73" s="283"/>
      <c r="D73" s="284"/>
      <c r="E73" s="295"/>
      <c r="F73" s="79">
        <v>15</v>
      </c>
      <c r="G73" s="178" t="s">
        <v>1088</v>
      </c>
      <c r="H73" s="231">
        <v>4.7145041894426569</v>
      </c>
      <c r="I73" s="326"/>
      <c r="J73" s="326"/>
      <c r="K73" s="326"/>
      <c r="L73" s="231">
        <v>4.7528175803716932</v>
      </c>
      <c r="M73" s="326"/>
      <c r="N73" s="326"/>
      <c r="O73" s="326"/>
      <c r="P73" s="326"/>
    </row>
    <row r="74" spans="2:16" ht="18" customHeight="1">
      <c r="B74" s="283"/>
      <c r="C74" s="283"/>
      <c r="D74" s="284"/>
      <c r="E74" s="295"/>
      <c r="F74" s="79">
        <v>16</v>
      </c>
      <c r="G74" s="178" t="s">
        <v>1089</v>
      </c>
      <c r="H74" s="231">
        <v>7.0168329041232704</v>
      </c>
      <c r="I74" s="326"/>
      <c r="J74" s="326"/>
      <c r="K74" s="326"/>
      <c r="L74" s="231">
        <v>7.085785210057951</v>
      </c>
      <c r="M74" s="326"/>
      <c r="N74" s="326"/>
      <c r="O74" s="326"/>
      <c r="P74" s="326"/>
    </row>
    <row r="75" spans="2:16" ht="18" customHeight="1">
      <c r="B75" s="285"/>
      <c r="C75" s="285"/>
      <c r="D75" s="286"/>
      <c r="E75" s="296"/>
      <c r="F75" s="79">
        <v>17</v>
      </c>
      <c r="G75" s="178" t="s">
        <v>1090</v>
      </c>
      <c r="H75" s="231">
        <v>1.4532429475643482</v>
      </c>
      <c r="I75" s="330"/>
      <c r="J75" s="330"/>
      <c r="K75" s="330"/>
      <c r="L75" s="231">
        <v>1.4628145882509402</v>
      </c>
      <c r="M75" s="330"/>
      <c r="N75" s="330"/>
      <c r="O75" s="330"/>
      <c r="P75" s="330"/>
    </row>
    <row r="76" spans="2:16" ht="18" customHeight="1">
      <c r="B76" s="281" t="s">
        <v>1111</v>
      </c>
      <c r="C76" s="281"/>
      <c r="D76" s="282"/>
      <c r="E76" s="287" t="str">
        <f>HYPERLINK("#LAYOUT_e4!lay초YTWIN","YTWIN")</f>
        <v>YTWIN</v>
      </c>
      <c r="F76" s="80">
        <v>0</v>
      </c>
      <c r="G76" s="181" t="s">
        <v>1795</v>
      </c>
      <c r="H76" s="230">
        <v>98.569163835088148</v>
      </c>
      <c r="I76" s="327"/>
      <c r="J76" s="327"/>
      <c r="K76" s="327"/>
      <c r="L76" s="230">
        <v>97.834787456497892</v>
      </c>
      <c r="M76" s="327"/>
      <c r="N76" s="327"/>
      <c r="O76" s="327"/>
      <c r="P76" s="327"/>
    </row>
    <row r="77" spans="2:16" s="220" customFormat="1" ht="18" customHeight="1">
      <c r="B77" s="283"/>
      <c r="C77" s="283"/>
      <c r="D77" s="284"/>
      <c r="E77" s="289"/>
      <c r="F77" s="83">
        <v>1</v>
      </c>
      <c r="G77" s="167" t="s">
        <v>1792</v>
      </c>
      <c r="H77" s="231">
        <v>1.4308361649118186</v>
      </c>
      <c r="I77" s="328"/>
      <c r="J77" s="328"/>
      <c r="K77" s="328"/>
      <c r="L77" s="231">
        <v>1.4772150623918012</v>
      </c>
      <c r="M77" s="328"/>
      <c r="N77" s="328"/>
      <c r="O77" s="328"/>
      <c r="P77" s="328"/>
    </row>
    <row r="78" spans="2:16" s="220" customFormat="1" ht="18" customHeight="1">
      <c r="B78" s="283"/>
      <c r="C78" s="283"/>
      <c r="D78" s="284"/>
      <c r="E78" s="289"/>
      <c r="F78" s="83">
        <v>2</v>
      </c>
      <c r="G78" s="167" t="s">
        <v>1793</v>
      </c>
      <c r="H78" s="231" t="s">
        <v>1804</v>
      </c>
      <c r="I78" s="328"/>
      <c r="J78" s="328"/>
      <c r="K78" s="328"/>
      <c r="L78" s="231">
        <v>0.68799748111034653</v>
      </c>
      <c r="M78" s="328"/>
      <c r="N78" s="328"/>
      <c r="O78" s="328"/>
      <c r="P78" s="328"/>
    </row>
    <row r="79" spans="2:16" ht="18" customHeight="1">
      <c r="B79" s="285"/>
      <c r="C79" s="285"/>
      <c r="D79" s="286"/>
      <c r="E79" s="288"/>
      <c r="F79" s="81">
        <v>3</v>
      </c>
      <c r="G79" s="182" t="s">
        <v>1794</v>
      </c>
      <c r="H79" s="232" t="s">
        <v>1805</v>
      </c>
      <c r="I79" s="329"/>
      <c r="J79" s="329"/>
      <c r="K79" s="329"/>
      <c r="L79" s="232" t="s">
        <v>1</v>
      </c>
      <c r="M79" s="329"/>
      <c r="N79" s="329"/>
      <c r="O79" s="329"/>
      <c r="P79" s="329"/>
    </row>
    <row r="80" spans="2:16" ht="18" customHeight="1">
      <c r="B80" s="281" t="s">
        <v>1600</v>
      </c>
      <c r="C80" s="281"/>
      <c r="D80" s="282"/>
      <c r="E80" s="197" t="str">
        <f>HYPERLINK("#LAYOUT_e4!lay초YBRT1A","YBRT1A")</f>
        <v>YBRT1A</v>
      </c>
      <c r="F80" s="121" t="s">
        <v>0</v>
      </c>
      <c r="G80" s="177" t="s">
        <v>19</v>
      </c>
      <c r="H80" s="229" t="s">
        <v>1805</v>
      </c>
      <c r="I80" s="237"/>
      <c r="J80" s="237"/>
      <c r="K80" s="237"/>
      <c r="L80" s="229" t="s">
        <v>1</v>
      </c>
      <c r="M80" s="237"/>
      <c r="N80" s="237"/>
      <c r="O80" s="237"/>
      <c r="P80" s="237"/>
    </row>
    <row r="81" spans="2:16" ht="18" customHeight="1">
      <c r="B81" s="285"/>
      <c r="C81" s="285"/>
      <c r="D81" s="286"/>
      <c r="E81" s="198" t="str">
        <f>HYPERLINK("#LAYOUT_e4!lay초YBRT1B","YBRT1B")</f>
        <v>YBRT1B</v>
      </c>
      <c r="F81" s="121" t="s">
        <v>0</v>
      </c>
      <c r="G81" s="177" t="s">
        <v>20</v>
      </c>
      <c r="H81" s="229" t="s">
        <v>1805</v>
      </c>
      <c r="I81" s="238"/>
      <c r="J81" s="238"/>
      <c r="K81" s="238"/>
      <c r="L81" s="229" t="s">
        <v>1</v>
      </c>
      <c r="M81" s="244"/>
      <c r="N81" s="244"/>
      <c r="O81" s="244"/>
      <c r="P81" s="244"/>
    </row>
    <row r="82" spans="2:16" ht="18" customHeight="1">
      <c r="B82" s="281" t="s">
        <v>1601</v>
      </c>
      <c r="C82" s="281"/>
      <c r="D82" s="282"/>
      <c r="E82" s="287" t="str">
        <f>HYPERLINK("#LAYOUT_e4!lay초YGENDER","YGENDER")</f>
        <v>YGENDER</v>
      </c>
      <c r="F82" s="80">
        <v>1</v>
      </c>
      <c r="G82" s="181" t="s">
        <v>48</v>
      </c>
      <c r="H82" s="230">
        <v>51.272289946713315</v>
      </c>
      <c r="I82" s="327"/>
      <c r="J82" s="327"/>
      <c r="K82" s="327"/>
      <c r="L82" s="230">
        <v>51.462260491816025</v>
      </c>
      <c r="M82" s="327"/>
      <c r="N82" s="327"/>
      <c r="O82" s="327"/>
      <c r="P82" s="327"/>
    </row>
    <row r="83" spans="2:16" ht="18" customHeight="1">
      <c r="B83" s="285"/>
      <c r="C83" s="285"/>
      <c r="D83" s="286"/>
      <c r="E83" s="288"/>
      <c r="F83" s="81">
        <v>2</v>
      </c>
      <c r="G83" s="182" t="s">
        <v>49</v>
      </c>
      <c r="H83" s="232">
        <v>48.727710053286685</v>
      </c>
      <c r="I83" s="329"/>
      <c r="J83" s="329"/>
      <c r="K83" s="329"/>
      <c r="L83" s="232">
        <v>48.537739508183996</v>
      </c>
      <c r="M83" s="329"/>
      <c r="N83" s="329"/>
      <c r="O83" s="329"/>
      <c r="P83" s="329"/>
    </row>
    <row r="84" spans="2:16" ht="18" customHeight="1">
      <c r="B84" s="306" t="s">
        <v>1602</v>
      </c>
      <c r="C84" s="303" t="s">
        <v>50</v>
      </c>
      <c r="D84" s="303" t="s">
        <v>51</v>
      </c>
      <c r="E84" s="197" t="str">
        <f>HYPERLINK("#LAYOUT_e4!lay초YTIM1A01","YTIM1A01")</f>
        <v>YTIM1A01</v>
      </c>
      <c r="F84" s="121" t="s">
        <v>0</v>
      </c>
      <c r="G84" s="177" t="s">
        <v>52</v>
      </c>
      <c r="H84" s="229" t="s">
        <v>1805</v>
      </c>
      <c r="I84" s="237"/>
      <c r="J84" s="237"/>
      <c r="K84" s="237"/>
      <c r="L84" s="229" t="s">
        <v>1</v>
      </c>
      <c r="M84" s="237"/>
      <c r="N84" s="237"/>
      <c r="O84" s="237"/>
      <c r="P84" s="237"/>
    </row>
    <row r="85" spans="2:16" ht="18" customHeight="1">
      <c r="B85" s="307"/>
      <c r="C85" s="305"/>
      <c r="D85" s="304"/>
      <c r="E85" s="197" t="str">
        <f>HYPERLINK("#LAYOUT_e4!lay초YTIM1A02","YTIM1A02")</f>
        <v>YTIM1A02</v>
      </c>
      <c r="F85" s="121" t="s">
        <v>0</v>
      </c>
      <c r="G85" s="177" t="s">
        <v>53</v>
      </c>
      <c r="H85" s="229" t="s">
        <v>1805</v>
      </c>
      <c r="I85" s="237"/>
      <c r="J85" s="237"/>
      <c r="K85" s="237"/>
      <c r="L85" s="229" t="s">
        <v>1</v>
      </c>
      <c r="M85" s="237"/>
      <c r="N85" s="237"/>
      <c r="O85" s="237"/>
      <c r="P85" s="237"/>
    </row>
    <row r="86" spans="2:16" ht="18" customHeight="1">
      <c r="B86" s="307"/>
      <c r="C86" s="305"/>
      <c r="D86" s="303" t="s">
        <v>54</v>
      </c>
      <c r="E86" s="197" t="str">
        <f>HYPERLINK("#LAYOUT_e4!lay초YTIM1B01","YTIM1B01")</f>
        <v>YTIM1B01</v>
      </c>
      <c r="F86" s="121" t="s">
        <v>0</v>
      </c>
      <c r="G86" s="177" t="s">
        <v>52</v>
      </c>
      <c r="H86" s="229" t="s">
        <v>1806</v>
      </c>
      <c r="I86" s="237"/>
      <c r="J86" s="237"/>
      <c r="K86" s="237"/>
      <c r="L86" s="229" t="s">
        <v>1</v>
      </c>
      <c r="M86" s="237"/>
      <c r="N86" s="237"/>
      <c r="O86" s="237"/>
      <c r="P86" s="237"/>
    </row>
    <row r="87" spans="2:16" ht="18" customHeight="1">
      <c r="B87" s="307"/>
      <c r="C87" s="305"/>
      <c r="D87" s="304"/>
      <c r="E87" s="198" t="str">
        <f>HYPERLINK("#LAYOUT_e4!lay초YTIM1B02","YTIM1B02")</f>
        <v>YTIM1B02</v>
      </c>
      <c r="F87" s="121" t="s">
        <v>0</v>
      </c>
      <c r="G87" s="177" t="s">
        <v>53</v>
      </c>
      <c r="H87" s="229" t="s">
        <v>1804</v>
      </c>
      <c r="I87" s="238"/>
      <c r="J87" s="238"/>
      <c r="K87" s="238"/>
      <c r="L87" s="229" t="s">
        <v>1</v>
      </c>
      <c r="M87" s="244"/>
      <c r="N87" s="244"/>
      <c r="O87" s="244"/>
      <c r="P87" s="244"/>
    </row>
    <row r="88" spans="2:16" ht="18" customHeight="1">
      <c r="B88" s="307"/>
      <c r="C88" s="305"/>
      <c r="D88" s="303" t="s">
        <v>55</v>
      </c>
      <c r="E88" s="287" t="str">
        <f>HYPERLINK("#LAYOUT_e4!lay초YTIM1C01","YTIM1C01")</f>
        <v>YTIM1C01</v>
      </c>
      <c r="F88" s="80">
        <v>1</v>
      </c>
      <c r="G88" s="181" t="s">
        <v>56</v>
      </c>
      <c r="H88" s="230">
        <v>0.94094832294437647</v>
      </c>
      <c r="I88" s="327">
        <v>3.2758815318682197</v>
      </c>
      <c r="J88" s="327">
        <v>1.2615187442845049E-2</v>
      </c>
      <c r="K88" s="327">
        <v>0.3850929076684485</v>
      </c>
      <c r="L88" s="230">
        <v>0.51088677794361181</v>
      </c>
      <c r="M88" s="327">
        <v>3.2967439943009023</v>
      </c>
      <c r="N88" s="327">
        <v>0.60676840450201097</v>
      </c>
      <c r="O88" s="327">
        <v>1.2291225702022969E-2</v>
      </c>
      <c r="P88" s="327">
        <v>0.37282924374081999</v>
      </c>
    </row>
    <row r="89" spans="2:16" ht="18" customHeight="1">
      <c r="B89" s="307"/>
      <c r="C89" s="305"/>
      <c r="D89" s="305"/>
      <c r="E89" s="289"/>
      <c r="F89" s="83">
        <v>2</v>
      </c>
      <c r="G89" s="167" t="s">
        <v>57</v>
      </c>
      <c r="H89" s="231">
        <v>7.9249363536734858</v>
      </c>
      <c r="I89" s="328"/>
      <c r="J89" s="328"/>
      <c r="K89" s="328"/>
      <c r="L89" s="231">
        <v>6.4338309824398898</v>
      </c>
      <c r="M89" s="328">
        <v>3.2967439943009023</v>
      </c>
      <c r="N89" s="328">
        <v>0.60676840450201097</v>
      </c>
      <c r="O89" s="328">
        <v>1.2291225702022969E-2</v>
      </c>
      <c r="P89" s="328">
        <v>0.37282924374081999</v>
      </c>
    </row>
    <row r="90" spans="2:16" ht="18" customHeight="1">
      <c r="B90" s="307"/>
      <c r="C90" s="305"/>
      <c r="D90" s="305"/>
      <c r="E90" s="289"/>
      <c r="F90" s="83">
        <v>3</v>
      </c>
      <c r="G90" s="167" t="s">
        <v>58</v>
      </c>
      <c r="H90" s="231">
        <v>53.739129136994251</v>
      </c>
      <c r="I90" s="328"/>
      <c r="J90" s="328"/>
      <c r="K90" s="328"/>
      <c r="L90" s="231">
        <v>55.925278271200142</v>
      </c>
      <c r="M90" s="328">
        <v>3.2967439943009023</v>
      </c>
      <c r="N90" s="328">
        <v>0.60676840450201097</v>
      </c>
      <c r="O90" s="328">
        <v>1.2291225702022969E-2</v>
      </c>
      <c r="P90" s="328">
        <v>0.37282924374081999</v>
      </c>
    </row>
    <row r="91" spans="2:16" ht="18" customHeight="1">
      <c r="B91" s="307"/>
      <c r="C91" s="304"/>
      <c r="D91" s="304"/>
      <c r="E91" s="288"/>
      <c r="F91" s="81">
        <v>4</v>
      </c>
      <c r="G91" s="182" t="s">
        <v>59</v>
      </c>
      <c r="H91" s="232">
        <v>37.394986186387889</v>
      </c>
      <c r="I91" s="329"/>
      <c r="J91" s="329"/>
      <c r="K91" s="329"/>
      <c r="L91" s="232">
        <v>37.130003968416361</v>
      </c>
      <c r="M91" s="329">
        <v>3.2967439943009023</v>
      </c>
      <c r="N91" s="329">
        <v>0.60676840450201097</v>
      </c>
      <c r="O91" s="329">
        <v>1.2291225702022969E-2</v>
      </c>
      <c r="P91" s="329">
        <v>0.37282924374081999</v>
      </c>
    </row>
    <row r="92" spans="2:16" ht="18" customHeight="1">
      <c r="B92" s="307"/>
      <c r="C92" s="303" t="s">
        <v>60</v>
      </c>
      <c r="D92" s="303" t="s">
        <v>51</v>
      </c>
      <c r="E92" s="201" t="str">
        <f>HYPERLINK("#LAYOUT_e4!lay초YTIM1A03","YTIM1A03")</f>
        <v>YTIM1A03</v>
      </c>
      <c r="F92" s="121" t="s">
        <v>0</v>
      </c>
      <c r="G92" s="177" t="s">
        <v>52</v>
      </c>
      <c r="H92" s="229" t="s">
        <v>1808</v>
      </c>
      <c r="I92" s="239"/>
      <c r="J92" s="239"/>
      <c r="K92" s="239"/>
      <c r="L92" s="229" t="s">
        <v>1</v>
      </c>
      <c r="M92" s="245"/>
      <c r="N92" s="245"/>
      <c r="O92" s="245"/>
      <c r="P92" s="245"/>
    </row>
    <row r="93" spans="2:16" ht="18" customHeight="1">
      <c r="B93" s="307"/>
      <c r="C93" s="305"/>
      <c r="D93" s="304"/>
      <c r="E93" s="197" t="str">
        <f>HYPERLINK("#LAYOUT_e4!lay초YTIM1A04","YTIM1A04")</f>
        <v>YTIM1A04</v>
      </c>
      <c r="F93" s="121" t="s">
        <v>0</v>
      </c>
      <c r="G93" s="177" t="s">
        <v>53</v>
      </c>
      <c r="H93" s="229" t="s">
        <v>1808</v>
      </c>
      <c r="I93" s="237"/>
      <c r="J93" s="237"/>
      <c r="K93" s="237"/>
      <c r="L93" s="229" t="s">
        <v>1</v>
      </c>
      <c r="M93" s="237"/>
      <c r="N93" s="237"/>
      <c r="O93" s="237"/>
      <c r="P93" s="237"/>
    </row>
    <row r="94" spans="2:16" ht="18" customHeight="1">
      <c r="B94" s="307"/>
      <c r="C94" s="305"/>
      <c r="D94" s="303" t="s">
        <v>54</v>
      </c>
      <c r="E94" s="197" t="str">
        <f>HYPERLINK("#LAYOUT_e4!lay초YTIM1B03","YTIM1B03")</f>
        <v>YTIM1B03</v>
      </c>
      <c r="F94" s="121" t="s">
        <v>0</v>
      </c>
      <c r="G94" s="177" t="s">
        <v>52</v>
      </c>
      <c r="H94" s="229" t="s">
        <v>1808</v>
      </c>
      <c r="I94" s="237"/>
      <c r="J94" s="237"/>
      <c r="K94" s="237"/>
      <c r="L94" s="229" t="s">
        <v>1</v>
      </c>
      <c r="M94" s="237"/>
      <c r="N94" s="237"/>
      <c r="O94" s="237"/>
      <c r="P94" s="237"/>
    </row>
    <row r="95" spans="2:16" ht="18" customHeight="1">
      <c r="B95" s="307"/>
      <c r="C95" s="305"/>
      <c r="D95" s="304"/>
      <c r="E95" s="197" t="str">
        <f>HYPERLINK("#LAYOUT_e4!lay초YTIM1B04","YTIM1B04")</f>
        <v>YTIM1B04</v>
      </c>
      <c r="F95" s="121" t="s">
        <v>0</v>
      </c>
      <c r="G95" s="177" t="s">
        <v>53</v>
      </c>
      <c r="H95" s="229" t="s">
        <v>1808</v>
      </c>
      <c r="I95" s="237"/>
      <c r="J95" s="237"/>
      <c r="K95" s="237"/>
      <c r="L95" s="229" t="s">
        <v>1</v>
      </c>
      <c r="M95" s="237"/>
      <c r="N95" s="237"/>
      <c r="O95" s="237"/>
      <c r="P95" s="237"/>
    </row>
    <row r="96" spans="2:16" ht="18" customHeight="1">
      <c r="B96" s="307"/>
      <c r="C96" s="305"/>
      <c r="D96" s="303" t="s">
        <v>55</v>
      </c>
      <c r="E96" s="287" t="str">
        <f>HYPERLINK("#LAYOUT_e4!lay초YTIM1C02","YTIM1C02")</f>
        <v>YTIM1C02</v>
      </c>
      <c r="F96" s="78">
        <v>1</v>
      </c>
      <c r="G96" s="181" t="s">
        <v>56</v>
      </c>
      <c r="H96" s="230">
        <v>1.0113246262490518</v>
      </c>
      <c r="I96" s="327">
        <v>3.4396087497424799</v>
      </c>
      <c r="J96" s="327">
        <v>1.222427798682825E-2</v>
      </c>
      <c r="K96" s="327">
        <v>0.35539733953006908</v>
      </c>
      <c r="L96" s="230">
        <v>0.54133917838398626</v>
      </c>
      <c r="M96" s="327">
        <v>3.4217863146098124</v>
      </c>
      <c r="N96" s="327">
        <v>0.59795226044911154</v>
      </c>
      <c r="O96" s="327">
        <v>1.2112638261457941E-2</v>
      </c>
      <c r="P96" s="327">
        <v>0.35398581757549491</v>
      </c>
    </row>
    <row r="97" spans="2:16" ht="18" customHeight="1">
      <c r="B97" s="307"/>
      <c r="C97" s="305"/>
      <c r="D97" s="305"/>
      <c r="E97" s="289"/>
      <c r="F97" s="79">
        <v>2</v>
      </c>
      <c r="G97" s="167" t="s">
        <v>57</v>
      </c>
      <c r="H97" s="231">
        <v>4.1194975672289438</v>
      </c>
      <c r="I97" s="328"/>
      <c r="J97" s="328"/>
      <c r="K97" s="328"/>
      <c r="L97" s="231">
        <v>4.0518609824913137</v>
      </c>
      <c r="M97" s="328">
        <v>3.4217863146098124</v>
      </c>
      <c r="N97" s="328">
        <v>0.59795226044911154</v>
      </c>
      <c r="O97" s="328">
        <v>1.2112638261457941E-2</v>
      </c>
      <c r="P97" s="328">
        <v>0.35398581757549491</v>
      </c>
    </row>
    <row r="98" spans="2:16" ht="18" customHeight="1">
      <c r="B98" s="307"/>
      <c r="C98" s="305"/>
      <c r="D98" s="305"/>
      <c r="E98" s="289"/>
      <c r="F98" s="79">
        <v>3</v>
      </c>
      <c r="G98" s="167" t="s">
        <v>58</v>
      </c>
      <c r="H98" s="231">
        <v>44.766156012544258</v>
      </c>
      <c r="I98" s="328"/>
      <c r="J98" s="328"/>
      <c r="K98" s="328"/>
      <c r="L98" s="231">
        <v>48.093629038884849</v>
      </c>
      <c r="M98" s="328">
        <v>3.4217863146098124</v>
      </c>
      <c r="N98" s="328">
        <v>0.59795226044911154</v>
      </c>
      <c r="O98" s="328">
        <v>1.2112638261457941E-2</v>
      </c>
      <c r="P98" s="328">
        <v>0.35398581757549491</v>
      </c>
    </row>
    <row r="99" spans="2:16" ht="18" customHeight="1">
      <c r="B99" s="307"/>
      <c r="C99" s="304"/>
      <c r="D99" s="304"/>
      <c r="E99" s="288"/>
      <c r="F99" s="82">
        <v>4</v>
      </c>
      <c r="G99" s="182" t="s">
        <v>59</v>
      </c>
      <c r="H99" s="232">
        <v>50.103021793977753</v>
      </c>
      <c r="I99" s="329"/>
      <c r="J99" s="329"/>
      <c r="K99" s="329"/>
      <c r="L99" s="232">
        <v>47.313170800239838</v>
      </c>
      <c r="M99" s="329">
        <v>3.4217863146098124</v>
      </c>
      <c r="N99" s="329">
        <v>0.59795226044911154</v>
      </c>
      <c r="O99" s="329">
        <v>1.2112638261457941E-2</v>
      </c>
      <c r="P99" s="329">
        <v>0.35398581757549491</v>
      </c>
    </row>
    <row r="100" spans="2:16" ht="18" customHeight="1">
      <c r="B100" s="307"/>
      <c r="C100" s="303" t="s">
        <v>1603</v>
      </c>
      <c r="D100" s="303" t="s">
        <v>61</v>
      </c>
      <c r="E100" s="287" t="str">
        <f>HYPERLINK("#LAYOUT_e4!lay초YTIM1D01","YTIM1D01")</f>
        <v>YTIM1D01</v>
      </c>
      <c r="F100" s="78">
        <v>1</v>
      </c>
      <c r="G100" s="181" t="s">
        <v>62</v>
      </c>
      <c r="H100" s="230">
        <v>1.4611096944649362</v>
      </c>
      <c r="I100" s="327"/>
      <c r="J100" s="327"/>
      <c r="K100" s="327"/>
      <c r="L100" s="230">
        <v>0.6096732590859345</v>
      </c>
      <c r="M100" s="327"/>
      <c r="N100" s="327"/>
      <c r="O100" s="327"/>
      <c r="P100" s="327"/>
    </row>
    <row r="101" spans="2:16" ht="18" customHeight="1">
      <c r="B101" s="307"/>
      <c r="C101" s="305"/>
      <c r="D101" s="305"/>
      <c r="E101" s="289"/>
      <c r="F101" s="79">
        <v>2</v>
      </c>
      <c r="G101" s="167" t="s">
        <v>63</v>
      </c>
      <c r="H101" s="231">
        <v>16.788943823113051</v>
      </c>
      <c r="I101" s="328"/>
      <c r="J101" s="328"/>
      <c r="K101" s="328"/>
      <c r="L101" s="231">
        <v>15.164694730591654</v>
      </c>
      <c r="M101" s="328"/>
      <c r="N101" s="328"/>
      <c r="O101" s="328"/>
      <c r="P101" s="328"/>
    </row>
    <row r="102" spans="2:16" ht="18" customHeight="1">
      <c r="B102" s="307"/>
      <c r="C102" s="305"/>
      <c r="D102" s="305"/>
      <c r="E102" s="289"/>
      <c r="F102" s="79">
        <v>3</v>
      </c>
      <c r="G102" s="167" t="s">
        <v>64</v>
      </c>
      <c r="H102" s="231">
        <v>24.133486545450939</v>
      </c>
      <c r="I102" s="328"/>
      <c r="J102" s="328"/>
      <c r="K102" s="328"/>
      <c r="L102" s="231">
        <v>25.065435208643436</v>
      </c>
      <c r="M102" s="328"/>
      <c r="N102" s="328"/>
      <c r="O102" s="328"/>
      <c r="P102" s="328"/>
    </row>
    <row r="103" spans="2:16" ht="18" customHeight="1">
      <c r="B103" s="307"/>
      <c r="C103" s="305"/>
      <c r="D103" s="305"/>
      <c r="E103" s="289"/>
      <c r="F103" s="79">
        <v>4</v>
      </c>
      <c r="G103" s="167" t="s">
        <v>65</v>
      </c>
      <c r="H103" s="231">
        <v>25.529919075223798</v>
      </c>
      <c r="I103" s="328"/>
      <c r="J103" s="328"/>
      <c r="K103" s="328"/>
      <c r="L103" s="231">
        <v>27.206447484883078</v>
      </c>
      <c r="M103" s="328"/>
      <c r="N103" s="328"/>
      <c r="O103" s="328"/>
      <c r="P103" s="328"/>
    </row>
    <row r="104" spans="2:16" ht="18" customHeight="1">
      <c r="B104" s="307"/>
      <c r="C104" s="305"/>
      <c r="D104" s="305"/>
      <c r="E104" s="289"/>
      <c r="F104" s="79">
        <v>5</v>
      </c>
      <c r="G104" s="167" t="s">
        <v>66</v>
      </c>
      <c r="H104" s="231">
        <v>15.14759152690079</v>
      </c>
      <c r="I104" s="328"/>
      <c r="J104" s="328"/>
      <c r="K104" s="328"/>
      <c r="L104" s="231">
        <v>17.717110155470813</v>
      </c>
      <c r="M104" s="328"/>
      <c r="N104" s="328"/>
      <c r="O104" s="328"/>
      <c r="P104" s="328"/>
    </row>
    <row r="105" spans="2:16" ht="18" customHeight="1">
      <c r="B105" s="307"/>
      <c r="C105" s="305"/>
      <c r="D105" s="305"/>
      <c r="E105" s="289"/>
      <c r="F105" s="79">
        <v>6</v>
      </c>
      <c r="G105" s="167" t="s">
        <v>67</v>
      </c>
      <c r="H105" s="231">
        <v>7.4274253850588661</v>
      </c>
      <c r="I105" s="328"/>
      <c r="J105" s="328"/>
      <c r="K105" s="328"/>
      <c r="L105" s="231">
        <v>7.0660116838249447</v>
      </c>
      <c r="M105" s="328"/>
      <c r="N105" s="328"/>
      <c r="O105" s="328"/>
      <c r="P105" s="328"/>
    </row>
    <row r="106" spans="2:16" ht="18" customHeight="1">
      <c r="B106" s="307"/>
      <c r="C106" s="305"/>
      <c r="D106" s="304"/>
      <c r="E106" s="288"/>
      <c r="F106" s="82">
        <v>7</v>
      </c>
      <c r="G106" s="182" t="s">
        <v>68</v>
      </c>
      <c r="H106" s="232">
        <v>9.511523949787632</v>
      </c>
      <c r="I106" s="329"/>
      <c r="J106" s="329"/>
      <c r="K106" s="329"/>
      <c r="L106" s="232">
        <v>7.1706274775001111</v>
      </c>
      <c r="M106" s="329"/>
      <c r="N106" s="329"/>
      <c r="O106" s="329"/>
      <c r="P106" s="329"/>
    </row>
    <row r="107" spans="2:16" ht="18" customHeight="1">
      <c r="B107" s="307"/>
      <c r="C107" s="305"/>
      <c r="D107" s="303" t="s">
        <v>69</v>
      </c>
      <c r="E107" s="287" t="str">
        <f>HYPERLINK("#LAYOUT_e4!lay초YTIM1D02","YTIM1D02")</f>
        <v>YTIM1D02</v>
      </c>
      <c r="F107" s="78">
        <v>1</v>
      </c>
      <c r="G107" s="181" t="s">
        <v>62</v>
      </c>
      <c r="H107" s="230">
        <v>1.2307855393363161</v>
      </c>
      <c r="I107" s="327"/>
      <c r="J107" s="327"/>
      <c r="K107" s="327"/>
      <c r="L107" s="230">
        <v>0.67807380669612893</v>
      </c>
      <c r="M107" s="327"/>
      <c r="N107" s="327"/>
      <c r="O107" s="327"/>
      <c r="P107" s="327"/>
    </row>
    <row r="108" spans="2:16" ht="18" customHeight="1">
      <c r="B108" s="307"/>
      <c r="C108" s="305"/>
      <c r="D108" s="305"/>
      <c r="E108" s="289"/>
      <c r="F108" s="79">
        <v>2</v>
      </c>
      <c r="G108" s="167" t="s">
        <v>63</v>
      </c>
      <c r="H108" s="231">
        <v>10.338850638302159</v>
      </c>
      <c r="I108" s="328"/>
      <c r="J108" s="328"/>
      <c r="K108" s="328"/>
      <c r="L108" s="231">
        <v>7.1398838941752061</v>
      </c>
      <c r="M108" s="328"/>
      <c r="N108" s="328"/>
      <c r="O108" s="328"/>
      <c r="P108" s="328"/>
    </row>
    <row r="109" spans="2:16" ht="18" customHeight="1">
      <c r="B109" s="307"/>
      <c r="C109" s="305"/>
      <c r="D109" s="305"/>
      <c r="E109" s="289"/>
      <c r="F109" s="79">
        <v>3</v>
      </c>
      <c r="G109" s="167" t="s">
        <v>64</v>
      </c>
      <c r="H109" s="231">
        <v>16.37196165015359</v>
      </c>
      <c r="I109" s="328"/>
      <c r="J109" s="328"/>
      <c r="K109" s="328"/>
      <c r="L109" s="231">
        <v>17.293296835874063</v>
      </c>
      <c r="M109" s="328"/>
      <c r="N109" s="328"/>
      <c r="O109" s="328"/>
      <c r="P109" s="328"/>
    </row>
    <row r="110" spans="2:16" ht="18" customHeight="1">
      <c r="B110" s="307"/>
      <c r="C110" s="305"/>
      <c r="D110" s="305"/>
      <c r="E110" s="289"/>
      <c r="F110" s="79">
        <v>4</v>
      </c>
      <c r="G110" s="167" t="s">
        <v>65</v>
      </c>
      <c r="H110" s="231">
        <v>19.235425379958624</v>
      </c>
      <c r="I110" s="328"/>
      <c r="J110" s="328"/>
      <c r="K110" s="328"/>
      <c r="L110" s="231">
        <v>23.475364291934003</v>
      </c>
      <c r="M110" s="328"/>
      <c r="N110" s="328"/>
      <c r="O110" s="328"/>
      <c r="P110" s="328"/>
    </row>
    <row r="111" spans="2:16" ht="18" customHeight="1">
      <c r="B111" s="307"/>
      <c r="C111" s="305"/>
      <c r="D111" s="305"/>
      <c r="E111" s="289"/>
      <c r="F111" s="79">
        <v>5</v>
      </c>
      <c r="G111" s="167" t="s">
        <v>66</v>
      </c>
      <c r="H111" s="231">
        <v>18.30288922837731</v>
      </c>
      <c r="I111" s="328"/>
      <c r="J111" s="328"/>
      <c r="K111" s="328"/>
      <c r="L111" s="231">
        <v>21.392695449816436</v>
      </c>
      <c r="M111" s="328"/>
      <c r="N111" s="328"/>
      <c r="O111" s="328"/>
      <c r="P111" s="328"/>
    </row>
    <row r="112" spans="2:16" ht="18" customHeight="1">
      <c r="B112" s="307"/>
      <c r="C112" s="305"/>
      <c r="D112" s="305"/>
      <c r="E112" s="289"/>
      <c r="F112" s="79">
        <v>6</v>
      </c>
      <c r="G112" s="167" t="s">
        <v>67</v>
      </c>
      <c r="H112" s="231">
        <v>12.739871210974339</v>
      </c>
      <c r="I112" s="328"/>
      <c r="J112" s="328"/>
      <c r="K112" s="328"/>
      <c r="L112" s="231">
        <v>12.453200458557719</v>
      </c>
      <c r="M112" s="328"/>
      <c r="N112" s="328"/>
      <c r="O112" s="328"/>
      <c r="P112" s="328"/>
    </row>
    <row r="113" spans="2:16" ht="18" customHeight="1">
      <c r="B113" s="307"/>
      <c r="C113" s="304"/>
      <c r="D113" s="304"/>
      <c r="E113" s="288"/>
      <c r="F113" s="82">
        <v>7</v>
      </c>
      <c r="G113" s="182" t="s">
        <v>68</v>
      </c>
      <c r="H113" s="232">
        <v>21.780216352897661</v>
      </c>
      <c r="I113" s="329"/>
      <c r="J113" s="329"/>
      <c r="K113" s="329"/>
      <c r="L113" s="232">
        <v>17.567485262946438</v>
      </c>
      <c r="M113" s="329"/>
      <c r="N113" s="329"/>
      <c r="O113" s="329"/>
      <c r="P113" s="329"/>
    </row>
    <row r="114" spans="2:16" ht="18" customHeight="1">
      <c r="B114" s="307"/>
      <c r="C114" s="303" t="s">
        <v>70</v>
      </c>
      <c r="D114" s="303" t="s">
        <v>61</v>
      </c>
      <c r="E114" s="287" t="str">
        <f>HYPERLINK("#LAYOUT_e4!lay초YTIM1E01","YTIM1E01")</f>
        <v>YTIM1E01</v>
      </c>
      <c r="F114" s="78">
        <v>1</v>
      </c>
      <c r="G114" s="181" t="s">
        <v>62</v>
      </c>
      <c r="H114" s="230">
        <v>8.7605434775361264</v>
      </c>
      <c r="I114" s="327"/>
      <c r="J114" s="327"/>
      <c r="K114" s="327"/>
      <c r="L114" s="230">
        <v>8.3292246909978118</v>
      </c>
      <c r="M114" s="327"/>
      <c r="N114" s="327"/>
      <c r="O114" s="327"/>
      <c r="P114" s="327"/>
    </row>
    <row r="115" spans="2:16" ht="18" customHeight="1">
      <c r="B115" s="307"/>
      <c r="C115" s="305"/>
      <c r="D115" s="305"/>
      <c r="E115" s="289"/>
      <c r="F115" s="79">
        <v>2</v>
      </c>
      <c r="G115" s="167" t="s">
        <v>63</v>
      </c>
      <c r="H115" s="231">
        <v>3.385958301589838</v>
      </c>
      <c r="I115" s="328"/>
      <c r="J115" s="328"/>
      <c r="K115" s="328"/>
      <c r="L115" s="231">
        <v>2.0029624785228162</v>
      </c>
      <c r="M115" s="328"/>
      <c r="N115" s="328"/>
      <c r="O115" s="328"/>
      <c r="P115" s="328"/>
    </row>
    <row r="116" spans="2:16" ht="18" customHeight="1">
      <c r="B116" s="307"/>
      <c r="C116" s="305"/>
      <c r="D116" s="305"/>
      <c r="E116" s="289"/>
      <c r="F116" s="79">
        <v>3</v>
      </c>
      <c r="G116" s="167" t="s">
        <v>64</v>
      </c>
      <c r="H116" s="231">
        <v>10.883857408452881</v>
      </c>
      <c r="I116" s="328"/>
      <c r="J116" s="328"/>
      <c r="K116" s="328"/>
      <c r="L116" s="231">
        <v>9.4701180121185438</v>
      </c>
      <c r="M116" s="328"/>
      <c r="N116" s="328"/>
      <c r="O116" s="328"/>
      <c r="P116" s="328"/>
    </row>
    <row r="117" spans="2:16" ht="18" customHeight="1">
      <c r="B117" s="307"/>
      <c r="C117" s="305"/>
      <c r="D117" s="305"/>
      <c r="E117" s="289"/>
      <c r="F117" s="79">
        <v>4</v>
      </c>
      <c r="G117" s="167" t="s">
        <v>65</v>
      </c>
      <c r="H117" s="231">
        <v>29.644246005315207</v>
      </c>
      <c r="I117" s="328"/>
      <c r="J117" s="328"/>
      <c r="K117" s="328"/>
      <c r="L117" s="231">
        <v>33.577146591975463</v>
      </c>
      <c r="M117" s="328"/>
      <c r="N117" s="328"/>
      <c r="O117" s="328"/>
      <c r="P117" s="328"/>
    </row>
    <row r="118" spans="2:16" ht="18" customHeight="1">
      <c r="B118" s="307"/>
      <c r="C118" s="305"/>
      <c r="D118" s="305"/>
      <c r="E118" s="289"/>
      <c r="F118" s="79">
        <v>5</v>
      </c>
      <c r="G118" s="167" t="s">
        <v>66</v>
      </c>
      <c r="H118" s="231">
        <v>26.853698981391233</v>
      </c>
      <c r="I118" s="328"/>
      <c r="J118" s="328"/>
      <c r="K118" s="328"/>
      <c r="L118" s="231">
        <v>28.181650727259761</v>
      </c>
      <c r="M118" s="328"/>
      <c r="N118" s="328"/>
      <c r="O118" s="328"/>
      <c r="P118" s="328"/>
    </row>
    <row r="119" spans="2:16" ht="18" customHeight="1">
      <c r="B119" s="307"/>
      <c r="C119" s="305"/>
      <c r="D119" s="305"/>
      <c r="E119" s="289"/>
      <c r="F119" s="79">
        <v>6</v>
      </c>
      <c r="G119" s="167" t="s">
        <v>67</v>
      </c>
      <c r="H119" s="231">
        <v>12.812344767000734</v>
      </c>
      <c r="I119" s="328"/>
      <c r="J119" s="328"/>
      <c r="K119" s="328"/>
      <c r="L119" s="231">
        <v>11.062630116172732</v>
      </c>
      <c r="M119" s="328"/>
      <c r="N119" s="328"/>
      <c r="O119" s="328"/>
      <c r="P119" s="328"/>
    </row>
    <row r="120" spans="2:16" ht="18" customHeight="1">
      <c r="B120" s="307"/>
      <c r="C120" s="305"/>
      <c r="D120" s="304"/>
      <c r="E120" s="288"/>
      <c r="F120" s="82">
        <v>7</v>
      </c>
      <c r="G120" s="182" t="s">
        <v>68</v>
      </c>
      <c r="H120" s="232">
        <v>7.6593510587139777</v>
      </c>
      <c r="I120" s="329"/>
      <c r="J120" s="329"/>
      <c r="K120" s="329"/>
      <c r="L120" s="232">
        <v>7.3762673829529097</v>
      </c>
      <c r="M120" s="329"/>
      <c r="N120" s="329"/>
      <c r="O120" s="329"/>
      <c r="P120" s="329"/>
    </row>
    <row r="121" spans="2:16" ht="18" customHeight="1">
      <c r="B121" s="307"/>
      <c r="C121" s="305"/>
      <c r="D121" s="303" t="s">
        <v>69</v>
      </c>
      <c r="E121" s="287" t="str">
        <f>HYPERLINK("#LAYOUT_e4!lay초YTIM1E02","YTIM1E02")</f>
        <v>YTIM1E02</v>
      </c>
      <c r="F121" s="78">
        <v>1</v>
      </c>
      <c r="G121" s="181" t="s">
        <v>62</v>
      </c>
      <c r="H121" s="230">
        <v>70.610322428806739</v>
      </c>
      <c r="I121" s="327"/>
      <c r="J121" s="327"/>
      <c r="K121" s="327"/>
      <c r="L121" s="230">
        <v>65.336807028025689</v>
      </c>
      <c r="M121" s="327"/>
      <c r="N121" s="327"/>
      <c r="O121" s="327"/>
      <c r="P121" s="327"/>
    </row>
    <row r="122" spans="2:16" ht="18" customHeight="1">
      <c r="B122" s="307"/>
      <c r="C122" s="305"/>
      <c r="D122" s="305"/>
      <c r="E122" s="289"/>
      <c r="F122" s="79">
        <v>2</v>
      </c>
      <c r="G122" s="167" t="s">
        <v>63</v>
      </c>
      <c r="H122" s="231">
        <v>5.4516707781112004</v>
      </c>
      <c r="I122" s="328"/>
      <c r="J122" s="328"/>
      <c r="K122" s="328"/>
      <c r="L122" s="231">
        <v>4.5455436797836164</v>
      </c>
      <c r="M122" s="328"/>
      <c r="N122" s="328"/>
      <c r="O122" s="328"/>
      <c r="P122" s="328"/>
    </row>
    <row r="123" spans="2:16" ht="18" customHeight="1">
      <c r="B123" s="307"/>
      <c r="C123" s="305"/>
      <c r="D123" s="305"/>
      <c r="E123" s="289"/>
      <c r="F123" s="79">
        <v>3</v>
      </c>
      <c r="G123" s="167" t="s">
        <v>64</v>
      </c>
      <c r="H123" s="231">
        <v>8.3484425638709219</v>
      </c>
      <c r="I123" s="328"/>
      <c r="J123" s="328"/>
      <c r="K123" s="328"/>
      <c r="L123" s="231">
        <v>8.0515388253813001</v>
      </c>
      <c r="M123" s="328"/>
      <c r="N123" s="328"/>
      <c r="O123" s="328"/>
      <c r="P123" s="328"/>
    </row>
    <row r="124" spans="2:16" ht="18" customHeight="1">
      <c r="B124" s="307"/>
      <c r="C124" s="305"/>
      <c r="D124" s="305"/>
      <c r="E124" s="289"/>
      <c r="F124" s="79">
        <v>4</v>
      </c>
      <c r="G124" s="167" t="s">
        <v>65</v>
      </c>
      <c r="H124" s="231">
        <v>8.691682089478892</v>
      </c>
      <c r="I124" s="328"/>
      <c r="J124" s="328"/>
      <c r="K124" s="328"/>
      <c r="L124" s="231">
        <v>12.074865587988851</v>
      </c>
      <c r="M124" s="328"/>
      <c r="N124" s="328"/>
      <c r="O124" s="328"/>
      <c r="P124" s="328"/>
    </row>
    <row r="125" spans="2:16" ht="18" customHeight="1">
      <c r="B125" s="307"/>
      <c r="C125" s="305"/>
      <c r="D125" s="305"/>
      <c r="E125" s="289"/>
      <c r="F125" s="79">
        <v>5</v>
      </c>
      <c r="G125" s="167" t="s">
        <v>66</v>
      </c>
      <c r="H125" s="231">
        <v>3.8827199488573192</v>
      </c>
      <c r="I125" s="328"/>
      <c r="J125" s="328"/>
      <c r="K125" s="328"/>
      <c r="L125" s="231">
        <v>6.7021030505416554</v>
      </c>
      <c r="M125" s="328"/>
      <c r="N125" s="328"/>
      <c r="O125" s="328"/>
      <c r="P125" s="328"/>
    </row>
    <row r="126" spans="2:16" ht="18" customHeight="1">
      <c r="B126" s="307"/>
      <c r="C126" s="305"/>
      <c r="D126" s="305"/>
      <c r="E126" s="289"/>
      <c r="F126" s="79">
        <v>6</v>
      </c>
      <c r="G126" s="167" t="s">
        <v>67</v>
      </c>
      <c r="H126" s="231">
        <v>1.8457637816317247</v>
      </c>
      <c r="I126" s="328"/>
      <c r="J126" s="328"/>
      <c r="K126" s="328"/>
      <c r="L126" s="231">
        <v>2.2946829985131698</v>
      </c>
      <c r="M126" s="328"/>
      <c r="N126" s="328"/>
      <c r="O126" s="328"/>
      <c r="P126" s="328"/>
    </row>
    <row r="127" spans="2:16" ht="18" customHeight="1">
      <c r="B127" s="307"/>
      <c r="C127" s="304"/>
      <c r="D127" s="304"/>
      <c r="E127" s="288"/>
      <c r="F127" s="82">
        <v>7</v>
      </c>
      <c r="G127" s="182" t="s">
        <v>68</v>
      </c>
      <c r="H127" s="232">
        <v>1.1693984092431775</v>
      </c>
      <c r="I127" s="329"/>
      <c r="J127" s="329"/>
      <c r="K127" s="329"/>
      <c r="L127" s="232">
        <v>0.994458829765689</v>
      </c>
      <c r="M127" s="329"/>
      <c r="N127" s="329"/>
      <c r="O127" s="329"/>
      <c r="P127" s="329"/>
    </row>
    <row r="128" spans="2:16" ht="18" customHeight="1">
      <c r="B128" s="307"/>
      <c r="C128" s="303" t="s">
        <v>71</v>
      </c>
      <c r="D128" s="303" t="s">
        <v>61</v>
      </c>
      <c r="E128" s="287" t="str">
        <f>HYPERLINK("#LAYOUT_e4!lay초YTIM1F01","YTIM1F01")</f>
        <v>YTIM1F01</v>
      </c>
      <c r="F128" s="78">
        <v>1</v>
      </c>
      <c r="G128" s="181" t="s">
        <v>62</v>
      </c>
      <c r="H128" s="230">
        <v>50.307389997663591</v>
      </c>
      <c r="I128" s="327"/>
      <c r="J128" s="327"/>
      <c r="K128" s="327"/>
      <c r="L128" s="230">
        <v>50.50790364272877</v>
      </c>
      <c r="M128" s="327"/>
      <c r="N128" s="327"/>
      <c r="O128" s="327"/>
      <c r="P128" s="327"/>
    </row>
    <row r="129" spans="2:16" ht="18" customHeight="1">
      <c r="B129" s="307"/>
      <c r="C129" s="305"/>
      <c r="D129" s="305"/>
      <c r="E129" s="289"/>
      <c r="F129" s="79">
        <v>2</v>
      </c>
      <c r="G129" s="167" t="s">
        <v>63</v>
      </c>
      <c r="H129" s="231">
        <v>16.477773630543087</v>
      </c>
      <c r="I129" s="328"/>
      <c r="J129" s="328"/>
      <c r="K129" s="328"/>
      <c r="L129" s="231">
        <v>14.68749434357559</v>
      </c>
      <c r="M129" s="328"/>
      <c r="N129" s="328"/>
      <c r="O129" s="328"/>
      <c r="P129" s="328"/>
    </row>
    <row r="130" spans="2:16" ht="18" customHeight="1">
      <c r="B130" s="307"/>
      <c r="C130" s="305"/>
      <c r="D130" s="305"/>
      <c r="E130" s="289"/>
      <c r="F130" s="79">
        <v>3</v>
      </c>
      <c r="G130" s="167" t="s">
        <v>64</v>
      </c>
      <c r="H130" s="231">
        <v>14.314980276242371</v>
      </c>
      <c r="I130" s="328"/>
      <c r="J130" s="328"/>
      <c r="K130" s="328"/>
      <c r="L130" s="231">
        <v>15.780163727476062</v>
      </c>
      <c r="M130" s="328"/>
      <c r="N130" s="328"/>
      <c r="O130" s="328"/>
      <c r="P130" s="328"/>
    </row>
    <row r="131" spans="2:16" ht="18" customHeight="1">
      <c r="B131" s="307"/>
      <c r="C131" s="305"/>
      <c r="D131" s="305"/>
      <c r="E131" s="289"/>
      <c r="F131" s="79">
        <v>4</v>
      </c>
      <c r="G131" s="167" t="s">
        <v>65</v>
      </c>
      <c r="H131" s="231">
        <v>12.347184902664376</v>
      </c>
      <c r="I131" s="328"/>
      <c r="J131" s="328"/>
      <c r="K131" s="328"/>
      <c r="L131" s="231">
        <v>11.90735906228617</v>
      </c>
      <c r="M131" s="328"/>
      <c r="N131" s="328"/>
      <c r="O131" s="328"/>
      <c r="P131" s="328"/>
    </row>
    <row r="132" spans="2:16" ht="18" customHeight="1">
      <c r="B132" s="307"/>
      <c r="C132" s="305"/>
      <c r="D132" s="305"/>
      <c r="E132" s="289"/>
      <c r="F132" s="79">
        <v>5</v>
      </c>
      <c r="G132" s="167" t="s">
        <v>66</v>
      </c>
      <c r="H132" s="231">
        <v>4.4221765827089143</v>
      </c>
      <c r="I132" s="328"/>
      <c r="J132" s="328"/>
      <c r="K132" s="328"/>
      <c r="L132" s="231">
        <v>4.6577528549509593</v>
      </c>
      <c r="M132" s="328"/>
      <c r="N132" s="328"/>
      <c r="O132" s="328"/>
      <c r="P132" s="328"/>
    </row>
    <row r="133" spans="2:16" ht="18" customHeight="1">
      <c r="B133" s="307"/>
      <c r="C133" s="305"/>
      <c r="D133" s="305"/>
      <c r="E133" s="289"/>
      <c r="F133" s="79">
        <v>6</v>
      </c>
      <c r="G133" s="167" t="s">
        <v>67</v>
      </c>
      <c r="H133" s="231">
        <v>1.2294491916934631</v>
      </c>
      <c r="I133" s="328"/>
      <c r="J133" s="328"/>
      <c r="K133" s="328"/>
      <c r="L133" s="231">
        <v>1.6093342174932153</v>
      </c>
      <c r="M133" s="328"/>
      <c r="N133" s="328"/>
      <c r="O133" s="328"/>
      <c r="P133" s="328"/>
    </row>
    <row r="134" spans="2:16" ht="18" customHeight="1">
      <c r="B134" s="307"/>
      <c r="C134" s="305"/>
      <c r="D134" s="304"/>
      <c r="E134" s="288"/>
      <c r="F134" s="82">
        <v>7</v>
      </c>
      <c r="G134" s="182" t="s">
        <v>68</v>
      </c>
      <c r="H134" s="232">
        <v>0.90104541848421404</v>
      </c>
      <c r="I134" s="329"/>
      <c r="J134" s="329"/>
      <c r="K134" s="329"/>
      <c r="L134" s="232">
        <v>0.84999215148923768</v>
      </c>
      <c r="M134" s="329"/>
      <c r="N134" s="329"/>
      <c r="O134" s="329"/>
      <c r="P134" s="329"/>
    </row>
    <row r="135" spans="2:16" ht="18" customHeight="1">
      <c r="B135" s="307"/>
      <c r="C135" s="305"/>
      <c r="D135" s="303" t="s">
        <v>69</v>
      </c>
      <c r="E135" s="287" t="str">
        <f>HYPERLINK("#LAYOUT_e4!lay초YTIM1F02","YTIM1F02")</f>
        <v>YTIM1F02</v>
      </c>
      <c r="F135" s="78">
        <v>1</v>
      </c>
      <c r="G135" s="181" t="s">
        <v>62</v>
      </c>
      <c r="H135" s="230">
        <v>58.339642799958682</v>
      </c>
      <c r="I135" s="327"/>
      <c r="J135" s="327"/>
      <c r="K135" s="327"/>
      <c r="L135" s="230">
        <v>57.471534206034384</v>
      </c>
      <c r="M135" s="327"/>
      <c r="N135" s="327"/>
      <c r="O135" s="327"/>
      <c r="P135" s="327"/>
    </row>
    <row r="136" spans="2:16" ht="18" customHeight="1">
      <c r="B136" s="307"/>
      <c r="C136" s="305"/>
      <c r="D136" s="305"/>
      <c r="E136" s="289"/>
      <c r="F136" s="79">
        <v>2</v>
      </c>
      <c r="G136" s="167" t="s">
        <v>63</v>
      </c>
      <c r="H136" s="231">
        <v>10.313299421212664</v>
      </c>
      <c r="I136" s="328"/>
      <c r="J136" s="328"/>
      <c r="K136" s="328"/>
      <c r="L136" s="231">
        <v>10.021441751296873</v>
      </c>
      <c r="M136" s="328"/>
      <c r="N136" s="328"/>
      <c r="O136" s="328"/>
      <c r="P136" s="328"/>
    </row>
    <row r="137" spans="2:16" ht="18" customHeight="1">
      <c r="B137" s="307"/>
      <c r="C137" s="305"/>
      <c r="D137" s="305"/>
      <c r="E137" s="289"/>
      <c r="F137" s="79">
        <v>3</v>
      </c>
      <c r="G137" s="167" t="s">
        <v>64</v>
      </c>
      <c r="H137" s="231">
        <v>8.9300669627649363</v>
      </c>
      <c r="I137" s="328"/>
      <c r="J137" s="328"/>
      <c r="K137" s="328"/>
      <c r="L137" s="231">
        <v>9.505171200786398</v>
      </c>
      <c r="M137" s="328"/>
      <c r="N137" s="328"/>
      <c r="O137" s="328"/>
      <c r="P137" s="328"/>
    </row>
    <row r="138" spans="2:16" ht="18" customHeight="1">
      <c r="B138" s="307"/>
      <c r="C138" s="305"/>
      <c r="D138" s="305"/>
      <c r="E138" s="289"/>
      <c r="F138" s="79">
        <v>4</v>
      </c>
      <c r="G138" s="167" t="s">
        <v>65</v>
      </c>
      <c r="H138" s="231">
        <v>9.3186539559291255</v>
      </c>
      <c r="I138" s="328"/>
      <c r="J138" s="328"/>
      <c r="K138" s="328"/>
      <c r="L138" s="231">
        <v>10.046266222807343</v>
      </c>
      <c r="M138" s="328"/>
      <c r="N138" s="328"/>
      <c r="O138" s="328"/>
      <c r="P138" s="328"/>
    </row>
    <row r="139" spans="2:16" ht="18" customHeight="1">
      <c r="B139" s="307"/>
      <c r="C139" s="305"/>
      <c r="D139" s="305"/>
      <c r="E139" s="289"/>
      <c r="F139" s="79">
        <v>5</v>
      </c>
      <c r="G139" s="167" t="s">
        <v>66</v>
      </c>
      <c r="H139" s="231">
        <v>6.7763787353249079</v>
      </c>
      <c r="I139" s="328"/>
      <c r="J139" s="328"/>
      <c r="K139" s="328"/>
      <c r="L139" s="231">
        <v>7.0855849714794186</v>
      </c>
      <c r="M139" s="328"/>
      <c r="N139" s="328"/>
      <c r="O139" s="328"/>
      <c r="P139" s="328"/>
    </row>
    <row r="140" spans="2:16" ht="18" customHeight="1">
      <c r="B140" s="307"/>
      <c r="C140" s="305"/>
      <c r="D140" s="305"/>
      <c r="E140" s="289"/>
      <c r="F140" s="79">
        <v>6</v>
      </c>
      <c r="G140" s="167" t="s">
        <v>67</v>
      </c>
      <c r="H140" s="231">
        <v>3.5165672118424487</v>
      </c>
      <c r="I140" s="328"/>
      <c r="J140" s="328"/>
      <c r="K140" s="328"/>
      <c r="L140" s="231">
        <v>3.9391076325117811</v>
      </c>
      <c r="M140" s="328"/>
      <c r="N140" s="328"/>
      <c r="O140" s="328"/>
      <c r="P140" s="328"/>
    </row>
    <row r="141" spans="2:16" ht="18" customHeight="1">
      <c r="B141" s="307"/>
      <c r="C141" s="304"/>
      <c r="D141" s="304"/>
      <c r="E141" s="288"/>
      <c r="F141" s="82">
        <v>7</v>
      </c>
      <c r="G141" s="182" t="s">
        <v>68</v>
      </c>
      <c r="H141" s="232">
        <v>2.8053909129672356</v>
      </c>
      <c r="I141" s="329"/>
      <c r="J141" s="329"/>
      <c r="K141" s="329"/>
      <c r="L141" s="232">
        <v>1.9308940150838074</v>
      </c>
      <c r="M141" s="329"/>
      <c r="N141" s="329"/>
      <c r="O141" s="329"/>
      <c r="P141" s="329"/>
    </row>
    <row r="142" spans="2:16" ht="18" customHeight="1">
      <c r="B142" s="307"/>
      <c r="C142" s="303" t="s">
        <v>72</v>
      </c>
      <c r="D142" s="303" t="s">
        <v>61</v>
      </c>
      <c r="E142" s="287" t="str">
        <f>HYPERLINK("#LAYOUT_e4!lay초YTIM1G01","YTIM1G01")</f>
        <v>YTIM1G01</v>
      </c>
      <c r="F142" s="78">
        <v>1</v>
      </c>
      <c r="G142" s="181" t="s">
        <v>62</v>
      </c>
      <c r="H142" s="230">
        <v>45.416120584047285</v>
      </c>
      <c r="I142" s="327"/>
      <c r="J142" s="327"/>
      <c r="K142" s="327"/>
      <c r="L142" s="230">
        <v>54.703589773736716</v>
      </c>
      <c r="M142" s="327"/>
      <c r="N142" s="327"/>
      <c r="O142" s="327"/>
      <c r="P142" s="327"/>
    </row>
    <row r="143" spans="2:16" ht="18" customHeight="1">
      <c r="B143" s="307"/>
      <c r="C143" s="305"/>
      <c r="D143" s="305"/>
      <c r="E143" s="289"/>
      <c r="F143" s="79">
        <v>2</v>
      </c>
      <c r="G143" s="167" t="s">
        <v>63</v>
      </c>
      <c r="H143" s="231">
        <v>2.7463710444818075</v>
      </c>
      <c r="I143" s="328"/>
      <c r="J143" s="328"/>
      <c r="K143" s="328"/>
      <c r="L143" s="231">
        <v>3.4773145532737915</v>
      </c>
      <c r="M143" s="328"/>
      <c r="N143" s="328"/>
      <c r="O143" s="328"/>
      <c r="P143" s="328"/>
    </row>
    <row r="144" spans="2:16" ht="18" customHeight="1">
      <c r="B144" s="307"/>
      <c r="C144" s="305"/>
      <c r="D144" s="305"/>
      <c r="E144" s="289"/>
      <c r="F144" s="79">
        <v>3</v>
      </c>
      <c r="G144" s="167" t="s">
        <v>64</v>
      </c>
      <c r="H144" s="231">
        <v>19.370611705844315</v>
      </c>
      <c r="I144" s="328"/>
      <c r="J144" s="328"/>
      <c r="K144" s="328"/>
      <c r="L144" s="231">
        <v>14.906049087346716</v>
      </c>
      <c r="M144" s="328"/>
      <c r="N144" s="328"/>
      <c r="O144" s="328"/>
      <c r="P144" s="328"/>
    </row>
    <row r="145" spans="2:16" ht="18" customHeight="1">
      <c r="B145" s="307"/>
      <c r="C145" s="305"/>
      <c r="D145" s="305"/>
      <c r="E145" s="289"/>
      <c r="F145" s="79">
        <v>4</v>
      </c>
      <c r="G145" s="167" t="s">
        <v>65</v>
      </c>
      <c r="H145" s="231">
        <v>24.47089493152528</v>
      </c>
      <c r="I145" s="328"/>
      <c r="J145" s="328"/>
      <c r="K145" s="328"/>
      <c r="L145" s="231">
        <v>19.524292797998594</v>
      </c>
      <c r="M145" s="328"/>
      <c r="N145" s="328"/>
      <c r="O145" s="328"/>
      <c r="P145" s="328"/>
    </row>
    <row r="146" spans="2:16" ht="18" customHeight="1">
      <c r="B146" s="307"/>
      <c r="C146" s="305"/>
      <c r="D146" s="305"/>
      <c r="E146" s="289"/>
      <c r="F146" s="79">
        <v>5</v>
      </c>
      <c r="G146" s="167" t="s">
        <v>66</v>
      </c>
      <c r="H146" s="231">
        <v>5.2128632286193204</v>
      </c>
      <c r="I146" s="328"/>
      <c r="J146" s="328"/>
      <c r="K146" s="328"/>
      <c r="L146" s="231">
        <v>4.9153441019925568</v>
      </c>
      <c r="M146" s="328"/>
      <c r="N146" s="328"/>
      <c r="O146" s="328"/>
      <c r="P146" s="328"/>
    </row>
    <row r="147" spans="2:16" ht="18" customHeight="1">
      <c r="B147" s="307"/>
      <c r="C147" s="305"/>
      <c r="D147" s="305"/>
      <c r="E147" s="289"/>
      <c r="F147" s="79">
        <v>6</v>
      </c>
      <c r="G147" s="167" t="s">
        <v>67</v>
      </c>
      <c r="H147" s="231">
        <v>1.4237488623683434</v>
      </c>
      <c r="I147" s="328"/>
      <c r="J147" s="328"/>
      <c r="K147" s="328"/>
      <c r="L147" s="231">
        <v>1.3223805473811177</v>
      </c>
      <c r="M147" s="328"/>
      <c r="N147" s="328"/>
      <c r="O147" s="328"/>
      <c r="P147" s="328"/>
    </row>
    <row r="148" spans="2:16" ht="18" customHeight="1">
      <c r="B148" s="307"/>
      <c r="C148" s="305"/>
      <c r="D148" s="304"/>
      <c r="E148" s="288"/>
      <c r="F148" s="82">
        <v>7</v>
      </c>
      <c r="G148" s="182" t="s">
        <v>68</v>
      </c>
      <c r="H148" s="232">
        <v>1.3593896431136892</v>
      </c>
      <c r="I148" s="329"/>
      <c r="J148" s="329"/>
      <c r="K148" s="329"/>
      <c r="L148" s="232">
        <v>1.1510291382705258</v>
      </c>
      <c r="M148" s="329"/>
      <c r="N148" s="329"/>
      <c r="O148" s="329"/>
      <c r="P148" s="329"/>
    </row>
    <row r="149" spans="2:16" ht="18" customHeight="1">
      <c r="B149" s="307"/>
      <c r="C149" s="305"/>
      <c r="D149" s="303" t="s">
        <v>69</v>
      </c>
      <c r="E149" s="287" t="str">
        <f>HYPERLINK("#LAYOUT_e4!lay초YTIM1G02","YTIM1G02")</f>
        <v>YTIM1G02</v>
      </c>
      <c r="F149" s="78">
        <v>1</v>
      </c>
      <c r="G149" s="181" t="s">
        <v>62</v>
      </c>
      <c r="H149" s="230">
        <v>86.583309585115373</v>
      </c>
      <c r="I149" s="327"/>
      <c r="J149" s="327"/>
      <c r="K149" s="327"/>
      <c r="L149" s="230">
        <v>85.521307654841522</v>
      </c>
      <c r="M149" s="327"/>
      <c r="N149" s="327"/>
      <c r="O149" s="327"/>
      <c r="P149" s="327"/>
    </row>
    <row r="150" spans="2:16" ht="18" customHeight="1">
      <c r="B150" s="307"/>
      <c r="C150" s="305"/>
      <c r="D150" s="305"/>
      <c r="E150" s="289"/>
      <c r="F150" s="79">
        <v>2</v>
      </c>
      <c r="G150" s="167" t="s">
        <v>63</v>
      </c>
      <c r="H150" s="231">
        <v>1.7258403701986675</v>
      </c>
      <c r="I150" s="328"/>
      <c r="J150" s="328"/>
      <c r="K150" s="328"/>
      <c r="L150" s="231">
        <v>1.9158005281178236</v>
      </c>
      <c r="M150" s="328"/>
      <c r="N150" s="328"/>
      <c r="O150" s="328"/>
      <c r="P150" s="328"/>
    </row>
    <row r="151" spans="2:16" ht="18" customHeight="1">
      <c r="B151" s="307"/>
      <c r="C151" s="305"/>
      <c r="D151" s="305"/>
      <c r="E151" s="289"/>
      <c r="F151" s="79">
        <v>3</v>
      </c>
      <c r="G151" s="167" t="s">
        <v>64</v>
      </c>
      <c r="H151" s="231">
        <v>3.9843413260675149</v>
      </c>
      <c r="I151" s="328"/>
      <c r="J151" s="328"/>
      <c r="K151" s="328"/>
      <c r="L151" s="231">
        <v>4.147594151005551</v>
      </c>
      <c r="M151" s="328"/>
      <c r="N151" s="328"/>
      <c r="O151" s="328"/>
      <c r="P151" s="328"/>
    </row>
    <row r="152" spans="2:16" ht="18" customHeight="1">
      <c r="B152" s="307"/>
      <c r="C152" s="305"/>
      <c r="D152" s="305"/>
      <c r="E152" s="289"/>
      <c r="F152" s="79">
        <v>4</v>
      </c>
      <c r="G152" s="167" t="s">
        <v>65</v>
      </c>
      <c r="H152" s="231">
        <v>5.578632700170064</v>
      </c>
      <c r="I152" s="328"/>
      <c r="J152" s="328"/>
      <c r="K152" s="328"/>
      <c r="L152" s="231">
        <v>5.0371915470956736</v>
      </c>
      <c r="M152" s="328"/>
      <c r="N152" s="328"/>
      <c r="O152" s="328"/>
      <c r="P152" s="328"/>
    </row>
    <row r="153" spans="2:16" ht="18" customHeight="1">
      <c r="B153" s="307"/>
      <c r="C153" s="305"/>
      <c r="D153" s="305"/>
      <c r="E153" s="289"/>
      <c r="F153" s="79">
        <v>5</v>
      </c>
      <c r="G153" s="167" t="s">
        <v>66</v>
      </c>
      <c r="H153" s="231">
        <v>1.2216210004223231</v>
      </c>
      <c r="I153" s="328"/>
      <c r="J153" s="328"/>
      <c r="K153" s="328"/>
      <c r="L153" s="231">
        <v>2.3685089728691846</v>
      </c>
      <c r="M153" s="328"/>
      <c r="N153" s="328"/>
      <c r="O153" s="328"/>
      <c r="P153" s="328"/>
    </row>
    <row r="154" spans="2:16" ht="18" customHeight="1">
      <c r="B154" s="307"/>
      <c r="C154" s="305"/>
      <c r="D154" s="305"/>
      <c r="E154" s="289"/>
      <c r="F154" s="79">
        <v>6</v>
      </c>
      <c r="G154" s="167" t="s">
        <v>67</v>
      </c>
      <c r="H154" s="231">
        <v>0.4546019619003539</v>
      </c>
      <c r="I154" s="328"/>
      <c r="J154" s="328"/>
      <c r="K154" s="328"/>
      <c r="L154" s="231">
        <v>0.63543609916631938</v>
      </c>
      <c r="M154" s="328"/>
      <c r="N154" s="328"/>
      <c r="O154" s="328"/>
      <c r="P154" s="328"/>
    </row>
    <row r="155" spans="2:16" ht="18" customHeight="1">
      <c r="B155" s="307"/>
      <c r="C155" s="304"/>
      <c r="D155" s="304"/>
      <c r="E155" s="288"/>
      <c r="F155" s="82">
        <v>7</v>
      </c>
      <c r="G155" s="182" t="s">
        <v>68</v>
      </c>
      <c r="H155" s="232">
        <v>0.45165305612569567</v>
      </c>
      <c r="I155" s="329"/>
      <c r="J155" s="329"/>
      <c r="K155" s="329"/>
      <c r="L155" s="232">
        <v>0.3741610469039216</v>
      </c>
      <c r="M155" s="329"/>
      <c r="N155" s="329"/>
      <c r="O155" s="329"/>
      <c r="P155" s="329"/>
    </row>
    <row r="156" spans="2:16" ht="18" customHeight="1">
      <c r="B156" s="307"/>
      <c r="C156" s="303" t="s">
        <v>73</v>
      </c>
      <c r="D156" s="303" t="s">
        <v>61</v>
      </c>
      <c r="E156" s="287" t="str">
        <f>HYPERLINK("#LAYOUT_e4!lay초YTIM1H01","YTIM1H01")</f>
        <v>YTIM1H01</v>
      </c>
      <c r="F156" s="78">
        <v>1</v>
      </c>
      <c r="G156" s="181" t="s">
        <v>62</v>
      </c>
      <c r="H156" s="230">
        <v>3.8014409927601567</v>
      </c>
      <c r="I156" s="327"/>
      <c r="J156" s="327"/>
      <c r="K156" s="327"/>
      <c r="L156" s="230">
        <v>3.5372955966559227</v>
      </c>
      <c r="M156" s="327"/>
      <c r="N156" s="327"/>
      <c r="O156" s="327"/>
      <c r="P156" s="327"/>
    </row>
    <row r="157" spans="2:16" ht="18" customHeight="1">
      <c r="B157" s="307"/>
      <c r="C157" s="305"/>
      <c r="D157" s="305"/>
      <c r="E157" s="289"/>
      <c r="F157" s="79">
        <v>2</v>
      </c>
      <c r="G157" s="167" t="s">
        <v>63</v>
      </c>
      <c r="H157" s="231">
        <v>19.419867848514375</v>
      </c>
      <c r="I157" s="328"/>
      <c r="J157" s="328"/>
      <c r="K157" s="328"/>
      <c r="L157" s="231">
        <v>16.299732895778561</v>
      </c>
      <c r="M157" s="328"/>
      <c r="N157" s="328"/>
      <c r="O157" s="328"/>
      <c r="P157" s="328"/>
    </row>
    <row r="158" spans="2:16" ht="18" customHeight="1">
      <c r="B158" s="307"/>
      <c r="C158" s="305"/>
      <c r="D158" s="305"/>
      <c r="E158" s="289"/>
      <c r="F158" s="79">
        <v>3</v>
      </c>
      <c r="G158" s="167" t="s">
        <v>64</v>
      </c>
      <c r="H158" s="231">
        <v>34.76121533594749</v>
      </c>
      <c r="I158" s="328"/>
      <c r="J158" s="328"/>
      <c r="K158" s="328"/>
      <c r="L158" s="231">
        <v>32.968609943770716</v>
      </c>
      <c r="M158" s="328"/>
      <c r="N158" s="328"/>
      <c r="O158" s="328"/>
      <c r="P158" s="328"/>
    </row>
    <row r="159" spans="2:16" ht="18" customHeight="1">
      <c r="B159" s="307"/>
      <c r="C159" s="305"/>
      <c r="D159" s="305"/>
      <c r="E159" s="289"/>
      <c r="F159" s="79">
        <v>4</v>
      </c>
      <c r="G159" s="167" t="s">
        <v>65</v>
      </c>
      <c r="H159" s="231">
        <v>29.03840742130172</v>
      </c>
      <c r="I159" s="328"/>
      <c r="J159" s="328"/>
      <c r="K159" s="328"/>
      <c r="L159" s="231">
        <v>32.40625325648714</v>
      </c>
      <c r="M159" s="328"/>
      <c r="N159" s="328"/>
      <c r="O159" s="328"/>
      <c r="P159" s="328"/>
    </row>
    <row r="160" spans="2:16" ht="18" customHeight="1">
      <c r="B160" s="307"/>
      <c r="C160" s="305"/>
      <c r="D160" s="305"/>
      <c r="E160" s="289"/>
      <c r="F160" s="79">
        <v>5</v>
      </c>
      <c r="G160" s="167" t="s">
        <v>66</v>
      </c>
      <c r="H160" s="231">
        <v>7.7419669278633547</v>
      </c>
      <c r="I160" s="328"/>
      <c r="J160" s="328"/>
      <c r="K160" s="328"/>
      <c r="L160" s="231">
        <v>10.283405783848941</v>
      </c>
      <c r="M160" s="328"/>
      <c r="N160" s="328"/>
      <c r="O160" s="328"/>
      <c r="P160" s="328"/>
    </row>
    <row r="161" spans="2:16" ht="18" customHeight="1">
      <c r="B161" s="307"/>
      <c r="C161" s="305"/>
      <c r="D161" s="305"/>
      <c r="E161" s="289"/>
      <c r="F161" s="79">
        <v>6</v>
      </c>
      <c r="G161" s="167" t="s">
        <v>67</v>
      </c>
      <c r="H161" s="231">
        <v>2.6914994544455073</v>
      </c>
      <c r="I161" s="328"/>
      <c r="J161" s="328"/>
      <c r="K161" s="328"/>
      <c r="L161" s="231">
        <v>2.4811829813869406</v>
      </c>
      <c r="M161" s="328"/>
      <c r="N161" s="328"/>
      <c r="O161" s="328"/>
      <c r="P161" s="328"/>
    </row>
    <row r="162" spans="2:16" ht="18" customHeight="1">
      <c r="B162" s="307"/>
      <c r="C162" s="305"/>
      <c r="D162" s="304"/>
      <c r="E162" s="288"/>
      <c r="F162" s="82">
        <v>7</v>
      </c>
      <c r="G162" s="182" t="s">
        <v>68</v>
      </c>
      <c r="H162" s="232">
        <v>2.54560201916739</v>
      </c>
      <c r="I162" s="329"/>
      <c r="J162" s="329"/>
      <c r="K162" s="329"/>
      <c r="L162" s="232">
        <v>2.0235195420717971</v>
      </c>
      <c r="M162" s="329"/>
      <c r="N162" s="329"/>
      <c r="O162" s="329"/>
      <c r="P162" s="329"/>
    </row>
    <row r="163" spans="2:16" ht="18" customHeight="1">
      <c r="B163" s="307"/>
      <c r="C163" s="305"/>
      <c r="D163" s="303" t="s">
        <v>69</v>
      </c>
      <c r="E163" s="287" t="str">
        <f>HYPERLINK("#LAYOUT_e4!lay초YTIM1H02","YTIM1H02")</f>
        <v>YTIM1H02</v>
      </c>
      <c r="F163" s="78">
        <v>1</v>
      </c>
      <c r="G163" s="181" t="s">
        <v>62</v>
      </c>
      <c r="H163" s="230">
        <v>17.05711671362381</v>
      </c>
      <c r="I163" s="327"/>
      <c r="J163" s="327"/>
      <c r="K163" s="327"/>
      <c r="L163" s="230">
        <v>14.78983761755385</v>
      </c>
      <c r="M163" s="327"/>
      <c r="N163" s="327"/>
      <c r="O163" s="327"/>
      <c r="P163" s="327"/>
    </row>
    <row r="164" spans="2:16" ht="18" customHeight="1">
      <c r="B164" s="307"/>
      <c r="C164" s="305"/>
      <c r="D164" s="305"/>
      <c r="E164" s="289"/>
      <c r="F164" s="79">
        <v>2</v>
      </c>
      <c r="G164" s="167" t="s">
        <v>63</v>
      </c>
      <c r="H164" s="231">
        <v>25.492942673166446</v>
      </c>
      <c r="I164" s="328"/>
      <c r="J164" s="328"/>
      <c r="K164" s="328"/>
      <c r="L164" s="231">
        <v>19.604824797524369</v>
      </c>
      <c r="M164" s="328"/>
      <c r="N164" s="328"/>
      <c r="O164" s="328"/>
      <c r="P164" s="328"/>
    </row>
    <row r="165" spans="2:16" ht="18" customHeight="1">
      <c r="B165" s="307"/>
      <c r="C165" s="305"/>
      <c r="D165" s="305"/>
      <c r="E165" s="289"/>
      <c r="F165" s="79">
        <v>3</v>
      </c>
      <c r="G165" s="167" t="s">
        <v>64</v>
      </c>
      <c r="H165" s="231">
        <v>28.790145028574152</v>
      </c>
      <c r="I165" s="328"/>
      <c r="J165" s="328"/>
      <c r="K165" s="328"/>
      <c r="L165" s="231">
        <v>27.31724399064295</v>
      </c>
      <c r="M165" s="328"/>
      <c r="N165" s="328"/>
      <c r="O165" s="328"/>
      <c r="P165" s="328"/>
    </row>
    <row r="166" spans="2:16" ht="18" customHeight="1">
      <c r="B166" s="307"/>
      <c r="C166" s="305"/>
      <c r="D166" s="305"/>
      <c r="E166" s="289"/>
      <c r="F166" s="79">
        <v>4</v>
      </c>
      <c r="G166" s="167" t="s">
        <v>65</v>
      </c>
      <c r="H166" s="231">
        <v>19.953395387847905</v>
      </c>
      <c r="I166" s="328"/>
      <c r="J166" s="328"/>
      <c r="K166" s="328"/>
      <c r="L166" s="231">
        <v>24.109760887377256</v>
      </c>
      <c r="M166" s="328"/>
      <c r="N166" s="328"/>
      <c r="O166" s="328"/>
      <c r="P166" s="328"/>
    </row>
    <row r="167" spans="2:16" ht="18" customHeight="1">
      <c r="B167" s="307"/>
      <c r="C167" s="305"/>
      <c r="D167" s="305"/>
      <c r="E167" s="289"/>
      <c r="F167" s="79">
        <v>5</v>
      </c>
      <c r="G167" s="167" t="s">
        <v>66</v>
      </c>
      <c r="H167" s="231">
        <v>5.9329696473982017</v>
      </c>
      <c r="I167" s="328"/>
      <c r="J167" s="328"/>
      <c r="K167" s="328"/>
      <c r="L167" s="231">
        <v>10.409753673123047</v>
      </c>
      <c r="M167" s="328"/>
      <c r="N167" s="328"/>
      <c r="O167" s="328"/>
      <c r="P167" s="328"/>
    </row>
    <row r="168" spans="2:16" ht="18" customHeight="1">
      <c r="B168" s="307"/>
      <c r="C168" s="305"/>
      <c r="D168" s="305"/>
      <c r="E168" s="289"/>
      <c r="F168" s="79">
        <v>6</v>
      </c>
      <c r="G168" s="167" t="s">
        <v>67</v>
      </c>
      <c r="H168" s="231">
        <v>1.9305700790484186</v>
      </c>
      <c r="I168" s="328"/>
      <c r="J168" s="328"/>
      <c r="K168" s="328"/>
      <c r="L168" s="231">
        <v>2.529286389939819</v>
      </c>
      <c r="M168" s="328"/>
      <c r="N168" s="328"/>
      <c r="O168" s="328"/>
      <c r="P168" s="328"/>
    </row>
    <row r="169" spans="2:16" ht="18" customHeight="1">
      <c r="B169" s="307"/>
      <c r="C169" s="304"/>
      <c r="D169" s="304"/>
      <c r="E169" s="288"/>
      <c r="F169" s="82">
        <v>7</v>
      </c>
      <c r="G169" s="182" t="s">
        <v>68</v>
      </c>
      <c r="H169" s="232">
        <v>0.84286047034108547</v>
      </c>
      <c r="I169" s="329"/>
      <c r="J169" s="329"/>
      <c r="K169" s="329"/>
      <c r="L169" s="232">
        <v>1.2392926438387422</v>
      </c>
      <c r="M169" s="329"/>
      <c r="N169" s="329"/>
      <c r="O169" s="329"/>
      <c r="P169" s="329"/>
    </row>
    <row r="170" spans="2:16" ht="18" customHeight="1">
      <c r="B170" s="307"/>
      <c r="C170" s="303" t="s">
        <v>74</v>
      </c>
      <c r="D170" s="303" t="s">
        <v>61</v>
      </c>
      <c r="E170" s="287" t="str">
        <f>HYPERLINK("#LAYOUT_e4!lay초YTIM1I01","YTIM1I01")</f>
        <v>YTIM1I01</v>
      </c>
      <c r="F170" s="78">
        <v>1</v>
      </c>
      <c r="G170" s="181" t="s">
        <v>62</v>
      </c>
      <c r="H170" s="230">
        <v>11.907991811942518</v>
      </c>
      <c r="I170" s="327"/>
      <c r="J170" s="327"/>
      <c r="K170" s="327"/>
      <c r="L170" s="230">
        <v>15.714542534760378</v>
      </c>
      <c r="M170" s="327"/>
      <c r="N170" s="327"/>
      <c r="O170" s="327"/>
      <c r="P170" s="327"/>
    </row>
    <row r="171" spans="2:16" ht="18" customHeight="1">
      <c r="B171" s="307"/>
      <c r="C171" s="305"/>
      <c r="D171" s="305"/>
      <c r="E171" s="289"/>
      <c r="F171" s="79">
        <v>2</v>
      </c>
      <c r="G171" s="167" t="s">
        <v>63</v>
      </c>
      <c r="H171" s="231">
        <v>35.44850048964868</v>
      </c>
      <c r="I171" s="328"/>
      <c r="J171" s="328"/>
      <c r="K171" s="328"/>
      <c r="L171" s="231">
        <v>31.900646251781925</v>
      </c>
      <c r="M171" s="328"/>
      <c r="N171" s="328"/>
      <c r="O171" s="328"/>
      <c r="P171" s="328"/>
    </row>
    <row r="172" spans="2:16" ht="18" customHeight="1">
      <c r="B172" s="307"/>
      <c r="C172" s="305"/>
      <c r="D172" s="305"/>
      <c r="E172" s="289"/>
      <c r="F172" s="79">
        <v>3</v>
      </c>
      <c r="G172" s="167" t="s">
        <v>64</v>
      </c>
      <c r="H172" s="231">
        <v>30.031845041425779</v>
      </c>
      <c r="I172" s="328"/>
      <c r="J172" s="328"/>
      <c r="K172" s="328"/>
      <c r="L172" s="231">
        <v>29.118102217470796</v>
      </c>
      <c r="M172" s="328"/>
      <c r="N172" s="328"/>
      <c r="O172" s="328"/>
      <c r="P172" s="328"/>
    </row>
    <row r="173" spans="2:16" ht="18" customHeight="1">
      <c r="B173" s="307"/>
      <c r="C173" s="305"/>
      <c r="D173" s="305"/>
      <c r="E173" s="289"/>
      <c r="F173" s="79">
        <v>4</v>
      </c>
      <c r="G173" s="167" t="s">
        <v>65</v>
      </c>
      <c r="H173" s="231">
        <v>16.219551920313304</v>
      </c>
      <c r="I173" s="328"/>
      <c r="J173" s="328"/>
      <c r="K173" s="328"/>
      <c r="L173" s="231">
        <v>15.394122698246649</v>
      </c>
      <c r="M173" s="328"/>
      <c r="N173" s="328"/>
      <c r="O173" s="328"/>
      <c r="P173" s="328"/>
    </row>
    <row r="174" spans="2:16" ht="18" customHeight="1">
      <c r="B174" s="307"/>
      <c r="C174" s="305"/>
      <c r="D174" s="305"/>
      <c r="E174" s="289"/>
      <c r="F174" s="79">
        <v>5</v>
      </c>
      <c r="G174" s="167" t="s">
        <v>66</v>
      </c>
      <c r="H174" s="231">
        <v>4.0054380103485761</v>
      </c>
      <c r="I174" s="328"/>
      <c r="J174" s="328"/>
      <c r="K174" s="328"/>
      <c r="L174" s="231">
        <v>6.1817574345036608</v>
      </c>
      <c r="M174" s="328"/>
      <c r="N174" s="328"/>
      <c r="O174" s="328"/>
      <c r="P174" s="328"/>
    </row>
    <row r="175" spans="2:16" ht="18" customHeight="1">
      <c r="B175" s="307"/>
      <c r="C175" s="305"/>
      <c r="D175" s="305"/>
      <c r="E175" s="289"/>
      <c r="F175" s="79">
        <v>6</v>
      </c>
      <c r="G175" s="167" t="s">
        <v>67</v>
      </c>
      <c r="H175" s="231">
        <v>1.425853468028369</v>
      </c>
      <c r="I175" s="328"/>
      <c r="J175" s="328"/>
      <c r="K175" s="328"/>
      <c r="L175" s="231">
        <v>1.1804568859579696</v>
      </c>
      <c r="M175" s="328"/>
      <c r="N175" s="328"/>
      <c r="O175" s="328"/>
      <c r="P175" s="328"/>
    </row>
    <row r="176" spans="2:16" ht="18" customHeight="1">
      <c r="B176" s="307"/>
      <c r="C176" s="305"/>
      <c r="D176" s="304"/>
      <c r="E176" s="288"/>
      <c r="F176" s="82">
        <v>7</v>
      </c>
      <c r="G176" s="182" t="s">
        <v>68</v>
      </c>
      <c r="H176" s="232">
        <v>0.96081925829275361</v>
      </c>
      <c r="I176" s="329"/>
      <c r="J176" s="329"/>
      <c r="K176" s="329"/>
      <c r="L176" s="232">
        <v>0.51037197727859684</v>
      </c>
      <c r="M176" s="329"/>
      <c r="N176" s="329"/>
      <c r="O176" s="329"/>
      <c r="P176" s="329"/>
    </row>
    <row r="177" spans="2:16" ht="18" customHeight="1">
      <c r="B177" s="307"/>
      <c r="C177" s="305"/>
      <c r="D177" s="303" t="s">
        <v>69</v>
      </c>
      <c r="E177" s="287" t="str">
        <f>HYPERLINK("#LAYOUT_e4!lay초YTIM1I02","YTIM1I02")</f>
        <v>YTIM1I02</v>
      </c>
      <c r="F177" s="78">
        <v>1</v>
      </c>
      <c r="G177" s="181" t="s">
        <v>62</v>
      </c>
      <c r="H177" s="230">
        <v>25.836552110400511</v>
      </c>
      <c r="I177" s="327"/>
      <c r="J177" s="327"/>
      <c r="K177" s="327"/>
      <c r="L177" s="230">
        <v>26.070103328874907</v>
      </c>
      <c r="M177" s="327"/>
      <c r="N177" s="327"/>
      <c r="O177" s="327"/>
      <c r="P177" s="327"/>
    </row>
    <row r="178" spans="2:16" ht="18" customHeight="1">
      <c r="B178" s="307"/>
      <c r="C178" s="305"/>
      <c r="D178" s="305"/>
      <c r="E178" s="289"/>
      <c r="F178" s="79">
        <v>2</v>
      </c>
      <c r="G178" s="167" t="s">
        <v>63</v>
      </c>
      <c r="H178" s="231">
        <v>31.831279685011527</v>
      </c>
      <c r="I178" s="328"/>
      <c r="J178" s="328"/>
      <c r="K178" s="328"/>
      <c r="L178" s="231">
        <v>27.722498233602913</v>
      </c>
      <c r="M178" s="328"/>
      <c r="N178" s="328"/>
      <c r="O178" s="328"/>
      <c r="P178" s="328"/>
    </row>
    <row r="179" spans="2:16" ht="18" customHeight="1">
      <c r="B179" s="307"/>
      <c r="C179" s="305"/>
      <c r="D179" s="305"/>
      <c r="E179" s="289"/>
      <c r="F179" s="79">
        <v>3</v>
      </c>
      <c r="G179" s="167" t="s">
        <v>64</v>
      </c>
      <c r="H179" s="231">
        <v>20.859515304845669</v>
      </c>
      <c r="I179" s="328"/>
      <c r="J179" s="328"/>
      <c r="K179" s="328"/>
      <c r="L179" s="231">
        <v>20.267213285749438</v>
      </c>
      <c r="M179" s="328"/>
      <c r="N179" s="328"/>
      <c r="O179" s="328"/>
      <c r="P179" s="328"/>
    </row>
    <row r="180" spans="2:16" ht="18" customHeight="1">
      <c r="B180" s="307"/>
      <c r="C180" s="305"/>
      <c r="D180" s="305"/>
      <c r="E180" s="289"/>
      <c r="F180" s="79">
        <v>4</v>
      </c>
      <c r="G180" s="167" t="s">
        <v>65</v>
      </c>
      <c r="H180" s="231">
        <v>12.948944655715703</v>
      </c>
      <c r="I180" s="328"/>
      <c r="J180" s="328"/>
      <c r="K180" s="328"/>
      <c r="L180" s="231">
        <v>16.40245763093338</v>
      </c>
      <c r="M180" s="328"/>
      <c r="N180" s="328"/>
      <c r="O180" s="328"/>
      <c r="P180" s="328"/>
    </row>
    <row r="181" spans="2:16" ht="18" customHeight="1">
      <c r="B181" s="307"/>
      <c r="C181" s="305"/>
      <c r="D181" s="305"/>
      <c r="E181" s="289"/>
      <c r="F181" s="79">
        <v>5</v>
      </c>
      <c r="G181" s="167" t="s">
        <v>66</v>
      </c>
      <c r="H181" s="231">
        <v>5.368843454238867</v>
      </c>
      <c r="I181" s="328"/>
      <c r="J181" s="328"/>
      <c r="K181" s="328"/>
      <c r="L181" s="231">
        <v>6.4780808859343049</v>
      </c>
      <c r="M181" s="328"/>
      <c r="N181" s="328"/>
      <c r="O181" s="328"/>
      <c r="P181" s="328"/>
    </row>
    <row r="182" spans="2:16" ht="18" customHeight="1">
      <c r="B182" s="307"/>
      <c r="C182" s="305"/>
      <c r="D182" s="305"/>
      <c r="E182" s="289"/>
      <c r="F182" s="79">
        <v>6</v>
      </c>
      <c r="G182" s="167" t="s">
        <v>67</v>
      </c>
      <c r="H182" s="231">
        <v>1.6384622049710145</v>
      </c>
      <c r="I182" s="328"/>
      <c r="J182" s="328"/>
      <c r="K182" s="328"/>
      <c r="L182" s="231">
        <v>2.1837482264014016</v>
      </c>
      <c r="M182" s="328"/>
      <c r="N182" s="328"/>
      <c r="O182" s="328"/>
      <c r="P182" s="328"/>
    </row>
    <row r="183" spans="2:16" ht="18" customHeight="1">
      <c r="B183" s="307"/>
      <c r="C183" s="304"/>
      <c r="D183" s="304"/>
      <c r="E183" s="288"/>
      <c r="F183" s="82">
        <v>7</v>
      </c>
      <c r="G183" s="182" t="s">
        <v>68</v>
      </c>
      <c r="H183" s="232">
        <v>1.5164025848167015</v>
      </c>
      <c r="I183" s="329"/>
      <c r="J183" s="329"/>
      <c r="K183" s="329"/>
      <c r="L183" s="232">
        <v>0.87589840850366196</v>
      </c>
      <c r="M183" s="329"/>
      <c r="N183" s="329"/>
      <c r="O183" s="329"/>
      <c r="P183" s="329"/>
    </row>
    <row r="184" spans="2:16" ht="18" customHeight="1">
      <c r="B184" s="307"/>
      <c r="C184" s="303" t="s">
        <v>75</v>
      </c>
      <c r="D184" s="303" t="s">
        <v>61</v>
      </c>
      <c r="E184" s="287" t="str">
        <f>HYPERLINK("#LAYOUT_e4!lay초YTIM1J01","YTIM1J01")</f>
        <v>YTIM1J01</v>
      </c>
      <c r="F184" s="78">
        <v>1</v>
      </c>
      <c r="G184" s="181" t="s">
        <v>62</v>
      </c>
      <c r="H184" s="230">
        <v>9.3971170466451373</v>
      </c>
      <c r="I184" s="327"/>
      <c r="J184" s="327"/>
      <c r="K184" s="327"/>
      <c r="L184" s="230">
        <v>12.543796812046912</v>
      </c>
      <c r="M184" s="327"/>
      <c r="N184" s="327"/>
      <c r="O184" s="327"/>
      <c r="P184" s="327"/>
    </row>
    <row r="185" spans="2:16" ht="18" customHeight="1">
      <c r="B185" s="307"/>
      <c r="C185" s="305"/>
      <c r="D185" s="305"/>
      <c r="E185" s="289"/>
      <c r="F185" s="79">
        <v>2</v>
      </c>
      <c r="G185" s="167" t="s">
        <v>63</v>
      </c>
      <c r="H185" s="231">
        <v>17.327445717613099</v>
      </c>
      <c r="I185" s="328"/>
      <c r="J185" s="328"/>
      <c r="K185" s="328"/>
      <c r="L185" s="231">
        <v>18.961906902150151</v>
      </c>
      <c r="M185" s="328"/>
      <c r="N185" s="328"/>
      <c r="O185" s="328"/>
      <c r="P185" s="328"/>
    </row>
    <row r="186" spans="2:16" ht="18" customHeight="1">
      <c r="B186" s="307"/>
      <c r="C186" s="305"/>
      <c r="D186" s="305"/>
      <c r="E186" s="289"/>
      <c r="F186" s="79">
        <v>3</v>
      </c>
      <c r="G186" s="167" t="s">
        <v>64</v>
      </c>
      <c r="H186" s="231">
        <v>28.798070823547452</v>
      </c>
      <c r="I186" s="328"/>
      <c r="J186" s="328"/>
      <c r="K186" s="328"/>
      <c r="L186" s="231">
        <v>26.349966138748222</v>
      </c>
      <c r="M186" s="328"/>
      <c r="N186" s="328"/>
      <c r="O186" s="328"/>
      <c r="P186" s="328"/>
    </row>
    <row r="187" spans="2:16" ht="18" customHeight="1">
      <c r="B187" s="307"/>
      <c r="C187" s="305"/>
      <c r="D187" s="305"/>
      <c r="E187" s="289"/>
      <c r="F187" s="79">
        <v>4</v>
      </c>
      <c r="G187" s="167" t="s">
        <v>65</v>
      </c>
      <c r="H187" s="231">
        <v>29.207851255746274</v>
      </c>
      <c r="I187" s="328"/>
      <c r="J187" s="328"/>
      <c r="K187" s="328"/>
      <c r="L187" s="231">
        <v>26.127066255259127</v>
      </c>
      <c r="M187" s="328"/>
      <c r="N187" s="328"/>
      <c r="O187" s="328"/>
      <c r="P187" s="328"/>
    </row>
    <row r="188" spans="2:16" ht="18" customHeight="1">
      <c r="B188" s="307"/>
      <c r="C188" s="305"/>
      <c r="D188" s="305"/>
      <c r="E188" s="289"/>
      <c r="F188" s="79">
        <v>5</v>
      </c>
      <c r="G188" s="167" t="s">
        <v>66</v>
      </c>
      <c r="H188" s="231">
        <v>9.6460075435551982</v>
      </c>
      <c r="I188" s="328"/>
      <c r="J188" s="328"/>
      <c r="K188" s="328"/>
      <c r="L188" s="231">
        <v>11.141930797648294</v>
      </c>
      <c r="M188" s="328"/>
      <c r="N188" s="328"/>
      <c r="O188" s="328"/>
      <c r="P188" s="328"/>
    </row>
    <row r="189" spans="2:16" ht="18" customHeight="1">
      <c r="B189" s="307"/>
      <c r="C189" s="305"/>
      <c r="D189" s="305"/>
      <c r="E189" s="289"/>
      <c r="F189" s="79">
        <v>6</v>
      </c>
      <c r="G189" s="167" t="s">
        <v>67</v>
      </c>
      <c r="H189" s="231">
        <v>3.0608278381782279</v>
      </c>
      <c r="I189" s="328"/>
      <c r="J189" s="328"/>
      <c r="K189" s="328"/>
      <c r="L189" s="231">
        <v>2.6120243975719317</v>
      </c>
      <c r="M189" s="328"/>
      <c r="N189" s="328"/>
      <c r="O189" s="328"/>
      <c r="P189" s="328"/>
    </row>
    <row r="190" spans="2:16" ht="18" customHeight="1">
      <c r="B190" s="307"/>
      <c r="C190" s="305"/>
      <c r="D190" s="304"/>
      <c r="E190" s="288"/>
      <c r="F190" s="82">
        <v>7</v>
      </c>
      <c r="G190" s="182" t="s">
        <v>68</v>
      </c>
      <c r="H190" s="232">
        <v>2.5626797747146042</v>
      </c>
      <c r="I190" s="329"/>
      <c r="J190" s="329"/>
      <c r="K190" s="329"/>
      <c r="L190" s="232">
        <v>2.2633086965753573</v>
      </c>
      <c r="M190" s="329"/>
      <c r="N190" s="329"/>
      <c r="O190" s="329"/>
      <c r="P190" s="329"/>
    </row>
    <row r="191" spans="2:16" ht="18" customHeight="1">
      <c r="B191" s="307"/>
      <c r="C191" s="305"/>
      <c r="D191" s="303" t="s">
        <v>69</v>
      </c>
      <c r="E191" s="287" t="str">
        <f>HYPERLINK("#LAYOUT_e4!lay초YTIM1J02","YTIM1J02")</f>
        <v>YTIM1J02</v>
      </c>
      <c r="F191" s="78">
        <v>1</v>
      </c>
      <c r="G191" s="181" t="s">
        <v>62</v>
      </c>
      <c r="H191" s="230">
        <v>17.030752699876462</v>
      </c>
      <c r="I191" s="327"/>
      <c r="J191" s="327"/>
      <c r="K191" s="327"/>
      <c r="L191" s="230">
        <v>20.12625288700406</v>
      </c>
      <c r="M191" s="327"/>
      <c r="N191" s="327"/>
      <c r="O191" s="327"/>
      <c r="P191" s="327"/>
    </row>
    <row r="192" spans="2:16" ht="18" customHeight="1">
      <c r="B192" s="307"/>
      <c r="C192" s="305"/>
      <c r="D192" s="305"/>
      <c r="E192" s="289"/>
      <c r="F192" s="79">
        <v>2</v>
      </c>
      <c r="G192" s="167" t="s">
        <v>63</v>
      </c>
      <c r="H192" s="231">
        <v>18.741133138475842</v>
      </c>
      <c r="I192" s="328"/>
      <c r="J192" s="328"/>
      <c r="K192" s="328"/>
      <c r="L192" s="231">
        <v>18.131555669376315</v>
      </c>
      <c r="M192" s="328"/>
      <c r="N192" s="328"/>
      <c r="O192" s="328"/>
      <c r="P192" s="328"/>
    </row>
    <row r="193" spans="2:16" ht="18" customHeight="1">
      <c r="B193" s="307"/>
      <c r="C193" s="305"/>
      <c r="D193" s="305"/>
      <c r="E193" s="289"/>
      <c r="F193" s="79">
        <v>3</v>
      </c>
      <c r="G193" s="167" t="s">
        <v>64</v>
      </c>
      <c r="H193" s="231">
        <v>21.878930872287622</v>
      </c>
      <c r="I193" s="328"/>
      <c r="J193" s="328"/>
      <c r="K193" s="328"/>
      <c r="L193" s="231">
        <v>20.00906214907268</v>
      </c>
      <c r="M193" s="328"/>
      <c r="N193" s="328"/>
      <c r="O193" s="328"/>
      <c r="P193" s="328"/>
    </row>
    <row r="194" spans="2:16" ht="18" customHeight="1">
      <c r="B194" s="307"/>
      <c r="C194" s="305"/>
      <c r="D194" s="305"/>
      <c r="E194" s="289"/>
      <c r="F194" s="79">
        <v>4</v>
      </c>
      <c r="G194" s="167" t="s">
        <v>65</v>
      </c>
      <c r="H194" s="231">
        <v>18.675448818102172</v>
      </c>
      <c r="I194" s="328"/>
      <c r="J194" s="328"/>
      <c r="K194" s="328"/>
      <c r="L194" s="231">
        <v>20.149804500495527</v>
      </c>
      <c r="M194" s="328"/>
      <c r="N194" s="328"/>
      <c r="O194" s="328"/>
      <c r="P194" s="328"/>
    </row>
    <row r="195" spans="2:16" ht="18" customHeight="1">
      <c r="B195" s="307"/>
      <c r="C195" s="305"/>
      <c r="D195" s="305"/>
      <c r="E195" s="289"/>
      <c r="F195" s="79">
        <v>5</v>
      </c>
      <c r="G195" s="167" t="s">
        <v>66</v>
      </c>
      <c r="H195" s="231">
        <v>11.991197730632125</v>
      </c>
      <c r="I195" s="328"/>
      <c r="J195" s="328"/>
      <c r="K195" s="328"/>
      <c r="L195" s="231">
        <v>13.171708280443285</v>
      </c>
      <c r="M195" s="328"/>
      <c r="N195" s="328"/>
      <c r="O195" s="328"/>
      <c r="P195" s="328"/>
    </row>
    <row r="196" spans="2:16" ht="18" customHeight="1">
      <c r="B196" s="307"/>
      <c r="C196" s="305"/>
      <c r="D196" s="305"/>
      <c r="E196" s="289"/>
      <c r="F196" s="79">
        <v>6</v>
      </c>
      <c r="G196" s="167" t="s">
        <v>67</v>
      </c>
      <c r="H196" s="231">
        <v>5.7186658911474755</v>
      </c>
      <c r="I196" s="328"/>
      <c r="J196" s="328"/>
      <c r="K196" s="328"/>
      <c r="L196" s="231">
        <v>4.3313886541765889</v>
      </c>
      <c r="M196" s="328"/>
      <c r="N196" s="328"/>
      <c r="O196" s="328"/>
      <c r="P196" s="328"/>
    </row>
    <row r="197" spans="2:16" ht="18" customHeight="1">
      <c r="B197" s="307"/>
      <c r="C197" s="304"/>
      <c r="D197" s="304"/>
      <c r="E197" s="288"/>
      <c r="F197" s="82">
        <v>7</v>
      </c>
      <c r="G197" s="182" t="s">
        <v>68</v>
      </c>
      <c r="H197" s="232">
        <v>5.9638708494783206</v>
      </c>
      <c r="I197" s="329"/>
      <c r="J197" s="329"/>
      <c r="K197" s="329"/>
      <c r="L197" s="232">
        <v>4.0802278594315489</v>
      </c>
      <c r="M197" s="329"/>
      <c r="N197" s="329"/>
      <c r="O197" s="329"/>
      <c r="P197" s="329"/>
    </row>
    <row r="198" spans="2:16" ht="18" customHeight="1">
      <c r="B198" s="307"/>
      <c r="C198" s="303" t="s">
        <v>76</v>
      </c>
      <c r="D198" s="303" t="s">
        <v>61</v>
      </c>
      <c r="E198" s="287" t="str">
        <f>HYPERLINK("#LAYOUT_e4!lay초YTIM1K01","YTIM1K01")</f>
        <v>YTIM1K01</v>
      </c>
      <c r="F198" s="78">
        <v>1</v>
      </c>
      <c r="G198" s="181" t="s">
        <v>62</v>
      </c>
      <c r="H198" s="230">
        <v>16.168046055718939</v>
      </c>
      <c r="I198" s="327"/>
      <c r="J198" s="327"/>
      <c r="K198" s="327"/>
      <c r="L198" s="230">
        <v>9.5469056233077367</v>
      </c>
      <c r="M198" s="327"/>
      <c r="N198" s="327"/>
      <c r="O198" s="327"/>
      <c r="P198" s="327"/>
    </row>
    <row r="199" spans="2:16" ht="18" customHeight="1">
      <c r="B199" s="307"/>
      <c r="C199" s="305"/>
      <c r="D199" s="305"/>
      <c r="E199" s="289"/>
      <c r="F199" s="79">
        <v>2</v>
      </c>
      <c r="G199" s="167" t="s">
        <v>63</v>
      </c>
      <c r="H199" s="231">
        <v>19.395050339718765</v>
      </c>
      <c r="I199" s="328"/>
      <c r="J199" s="328"/>
      <c r="K199" s="328"/>
      <c r="L199" s="231">
        <v>12.452510594982703</v>
      </c>
      <c r="M199" s="328"/>
      <c r="N199" s="328"/>
      <c r="O199" s="328"/>
      <c r="P199" s="328"/>
    </row>
    <row r="200" spans="2:16" ht="18" customHeight="1">
      <c r="B200" s="307"/>
      <c r="C200" s="305"/>
      <c r="D200" s="305"/>
      <c r="E200" s="289"/>
      <c r="F200" s="79">
        <v>3</v>
      </c>
      <c r="G200" s="167" t="s">
        <v>64</v>
      </c>
      <c r="H200" s="231">
        <v>23.345545672876451</v>
      </c>
      <c r="I200" s="328"/>
      <c r="J200" s="328"/>
      <c r="K200" s="328"/>
      <c r="L200" s="231">
        <v>23.194087367668899</v>
      </c>
      <c r="M200" s="328"/>
      <c r="N200" s="328"/>
      <c r="O200" s="328"/>
      <c r="P200" s="328"/>
    </row>
    <row r="201" spans="2:16" ht="18" customHeight="1">
      <c r="B201" s="307"/>
      <c r="C201" s="305"/>
      <c r="D201" s="305"/>
      <c r="E201" s="289"/>
      <c r="F201" s="79">
        <v>4</v>
      </c>
      <c r="G201" s="167" t="s">
        <v>65</v>
      </c>
      <c r="H201" s="231">
        <v>23.742720082352122</v>
      </c>
      <c r="I201" s="328"/>
      <c r="J201" s="328"/>
      <c r="K201" s="328"/>
      <c r="L201" s="231">
        <v>29.137254394671206</v>
      </c>
      <c r="M201" s="328"/>
      <c r="N201" s="328"/>
      <c r="O201" s="328"/>
      <c r="P201" s="328"/>
    </row>
    <row r="202" spans="2:16" ht="18" customHeight="1">
      <c r="B202" s="307"/>
      <c r="C202" s="305"/>
      <c r="D202" s="305"/>
      <c r="E202" s="289"/>
      <c r="F202" s="79">
        <v>5</v>
      </c>
      <c r="G202" s="167" t="s">
        <v>66</v>
      </c>
      <c r="H202" s="231">
        <v>10.59345541761587</v>
      </c>
      <c r="I202" s="328"/>
      <c r="J202" s="328"/>
      <c r="K202" s="328"/>
      <c r="L202" s="231">
        <v>16.858691506594713</v>
      </c>
      <c r="M202" s="328"/>
      <c r="N202" s="328"/>
      <c r="O202" s="328"/>
      <c r="P202" s="328"/>
    </row>
    <row r="203" spans="2:16" ht="18" customHeight="1">
      <c r="B203" s="307"/>
      <c r="C203" s="305"/>
      <c r="D203" s="305"/>
      <c r="E203" s="289"/>
      <c r="F203" s="79">
        <v>6</v>
      </c>
      <c r="G203" s="167" t="s">
        <v>67</v>
      </c>
      <c r="H203" s="231">
        <v>3.4739158895658924</v>
      </c>
      <c r="I203" s="328"/>
      <c r="J203" s="328"/>
      <c r="K203" s="328"/>
      <c r="L203" s="231">
        <v>4.6158117456763037</v>
      </c>
      <c r="M203" s="328"/>
      <c r="N203" s="328"/>
      <c r="O203" s="328"/>
      <c r="P203" s="328"/>
    </row>
    <row r="204" spans="2:16" ht="18" customHeight="1">
      <c r="B204" s="307"/>
      <c r="C204" s="305"/>
      <c r="D204" s="304"/>
      <c r="E204" s="288"/>
      <c r="F204" s="82">
        <v>7</v>
      </c>
      <c r="G204" s="182" t="s">
        <v>68</v>
      </c>
      <c r="H204" s="232">
        <v>3.2812665421519784</v>
      </c>
      <c r="I204" s="329"/>
      <c r="J204" s="329"/>
      <c r="K204" s="329"/>
      <c r="L204" s="232">
        <v>4.1947387670984257</v>
      </c>
      <c r="M204" s="329"/>
      <c r="N204" s="329"/>
      <c r="O204" s="329"/>
      <c r="P204" s="329"/>
    </row>
    <row r="205" spans="2:16" ht="18" customHeight="1">
      <c r="B205" s="307"/>
      <c r="C205" s="305"/>
      <c r="D205" s="303" t="s">
        <v>69</v>
      </c>
      <c r="E205" s="287" t="str">
        <f>HYPERLINK("#LAYOUT_e4!lay초YTIM1K02","YTIM1K02")</f>
        <v>YTIM1K02</v>
      </c>
      <c r="F205" s="78">
        <v>1</v>
      </c>
      <c r="G205" s="181" t="s">
        <v>62</v>
      </c>
      <c r="H205" s="230">
        <v>11.411945134827258</v>
      </c>
      <c r="I205" s="327"/>
      <c r="J205" s="327"/>
      <c r="K205" s="327"/>
      <c r="L205" s="230">
        <v>7.0692124480647154</v>
      </c>
      <c r="M205" s="327"/>
      <c r="N205" s="327"/>
      <c r="O205" s="327"/>
      <c r="P205" s="327"/>
    </row>
    <row r="206" spans="2:16" ht="18" customHeight="1">
      <c r="B206" s="307"/>
      <c r="C206" s="305"/>
      <c r="D206" s="305"/>
      <c r="E206" s="289"/>
      <c r="F206" s="79">
        <v>2</v>
      </c>
      <c r="G206" s="167" t="s">
        <v>63</v>
      </c>
      <c r="H206" s="231">
        <v>12.612194685466957</v>
      </c>
      <c r="I206" s="328"/>
      <c r="J206" s="328"/>
      <c r="K206" s="328"/>
      <c r="L206" s="231">
        <v>7.2588519173750505</v>
      </c>
      <c r="M206" s="328"/>
      <c r="N206" s="328"/>
      <c r="O206" s="328"/>
      <c r="P206" s="328"/>
    </row>
    <row r="207" spans="2:16" ht="18" customHeight="1">
      <c r="B207" s="307"/>
      <c r="C207" s="305"/>
      <c r="D207" s="305"/>
      <c r="E207" s="289"/>
      <c r="F207" s="79">
        <v>3</v>
      </c>
      <c r="G207" s="167" t="s">
        <v>64</v>
      </c>
      <c r="H207" s="231">
        <v>20.416462108498877</v>
      </c>
      <c r="I207" s="328"/>
      <c r="J207" s="328"/>
      <c r="K207" s="328"/>
      <c r="L207" s="231">
        <v>13.60501703256719</v>
      </c>
      <c r="M207" s="328"/>
      <c r="N207" s="328"/>
      <c r="O207" s="328"/>
      <c r="P207" s="328"/>
    </row>
    <row r="208" spans="2:16" ht="18" customHeight="1">
      <c r="B208" s="307"/>
      <c r="C208" s="305"/>
      <c r="D208" s="305"/>
      <c r="E208" s="289"/>
      <c r="F208" s="79">
        <v>4</v>
      </c>
      <c r="G208" s="167" t="s">
        <v>65</v>
      </c>
      <c r="H208" s="231">
        <v>22.816858086884846</v>
      </c>
      <c r="I208" s="328"/>
      <c r="J208" s="328"/>
      <c r="K208" s="328"/>
      <c r="L208" s="231">
        <v>25.382768121149041</v>
      </c>
      <c r="M208" s="328"/>
      <c r="N208" s="328"/>
      <c r="O208" s="328"/>
      <c r="P208" s="328"/>
    </row>
    <row r="209" spans="2:16" ht="18" customHeight="1">
      <c r="B209" s="307"/>
      <c r="C209" s="305"/>
      <c r="D209" s="305"/>
      <c r="E209" s="289"/>
      <c r="F209" s="79">
        <v>5</v>
      </c>
      <c r="G209" s="167" t="s">
        <v>66</v>
      </c>
      <c r="H209" s="231">
        <v>15.879561545492541</v>
      </c>
      <c r="I209" s="328"/>
      <c r="J209" s="328"/>
      <c r="K209" s="328"/>
      <c r="L209" s="231">
        <v>24.009937976619536</v>
      </c>
      <c r="M209" s="328"/>
      <c r="N209" s="328"/>
      <c r="O209" s="328"/>
      <c r="P209" s="328"/>
    </row>
    <row r="210" spans="2:16" ht="18" customHeight="1">
      <c r="B210" s="307"/>
      <c r="C210" s="305"/>
      <c r="D210" s="305"/>
      <c r="E210" s="289"/>
      <c r="F210" s="79">
        <v>6</v>
      </c>
      <c r="G210" s="167" t="s">
        <v>67</v>
      </c>
      <c r="H210" s="231">
        <v>8.2235513136322282</v>
      </c>
      <c r="I210" s="328"/>
      <c r="J210" s="328"/>
      <c r="K210" s="328"/>
      <c r="L210" s="231">
        <v>12.928673251523879</v>
      </c>
      <c r="M210" s="328"/>
      <c r="N210" s="328"/>
      <c r="O210" s="328"/>
      <c r="P210" s="328"/>
    </row>
    <row r="211" spans="2:16" ht="18" customHeight="1">
      <c r="B211" s="307"/>
      <c r="C211" s="304"/>
      <c r="D211" s="304"/>
      <c r="E211" s="288"/>
      <c r="F211" s="82">
        <v>7</v>
      </c>
      <c r="G211" s="182" t="s">
        <v>68</v>
      </c>
      <c r="H211" s="232">
        <v>8.6394271251972796</v>
      </c>
      <c r="I211" s="329"/>
      <c r="J211" s="329"/>
      <c r="K211" s="329"/>
      <c r="L211" s="232">
        <v>9.745539252700576</v>
      </c>
      <c r="M211" s="329"/>
      <c r="N211" s="329"/>
      <c r="O211" s="329"/>
      <c r="P211" s="329"/>
    </row>
    <row r="212" spans="2:16" ht="18" customHeight="1">
      <c r="B212" s="307"/>
      <c r="C212" s="303" t="s">
        <v>77</v>
      </c>
      <c r="D212" s="303" t="s">
        <v>61</v>
      </c>
      <c r="E212" s="287" t="str">
        <f>HYPERLINK("#LAYOUT_e4!lay초YTIM1L01","YTIM1L01")</f>
        <v>YTIM1L01</v>
      </c>
      <c r="F212" s="78">
        <v>1</v>
      </c>
      <c r="G212" s="181" t="s">
        <v>62</v>
      </c>
      <c r="H212" s="230">
        <v>66.632916362827601</v>
      </c>
      <c r="I212" s="327"/>
      <c r="J212" s="327"/>
      <c r="K212" s="327"/>
      <c r="L212" s="230">
        <v>55.380762386624141</v>
      </c>
      <c r="M212" s="327"/>
      <c r="N212" s="327"/>
      <c r="O212" s="327"/>
      <c r="P212" s="327"/>
    </row>
    <row r="213" spans="2:16" ht="18" customHeight="1">
      <c r="B213" s="307"/>
      <c r="C213" s="305"/>
      <c r="D213" s="305"/>
      <c r="E213" s="289"/>
      <c r="F213" s="79">
        <v>2</v>
      </c>
      <c r="G213" s="167" t="s">
        <v>63</v>
      </c>
      <c r="H213" s="231">
        <v>15.590539742346012</v>
      </c>
      <c r="I213" s="328"/>
      <c r="J213" s="328"/>
      <c r="K213" s="328"/>
      <c r="L213" s="231">
        <v>14.917858016557549</v>
      </c>
      <c r="M213" s="328"/>
      <c r="N213" s="328"/>
      <c r="O213" s="328"/>
      <c r="P213" s="328"/>
    </row>
    <row r="214" spans="2:16" ht="18" customHeight="1">
      <c r="B214" s="307"/>
      <c r="C214" s="305"/>
      <c r="D214" s="305"/>
      <c r="E214" s="289"/>
      <c r="F214" s="79">
        <v>3</v>
      </c>
      <c r="G214" s="167" t="s">
        <v>64</v>
      </c>
      <c r="H214" s="231">
        <v>10.033594480494273</v>
      </c>
      <c r="I214" s="328"/>
      <c r="J214" s="328"/>
      <c r="K214" s="328"/>
      <c r="L214" s="231">
        <v>13.549625807834911</v>
      </c>
      <c r="M214" s="328"/>
      <c r="N214" s="328"/>
      <c r="O214" s="328"/>
      <c r="P214" s="328"/>
    </row>
    <row r="215" spans="2:16" ht="18" customHeight="1">
      <c r="B215" s="307"/>
      <c r="C215" s="305"/>
      <c r="D215" s="305"/>
      <c r="E215" s="289"/>
      <c r="F215" s="79">
        <v>4</v>
      </c>
      <c r="G215" s="167" t="s">
        <v>65</v>
      </c>
      <c r="H215" s="231">
        <v>5.4058303925991797</v>
      </c>
      <c r="I215" s="328"/>
      <c r="J215" s="328"/>
      <c r="K215" s="328"/>
      <c r="L215" s="231">
        <v>9.5168700539627551</v>
      </c>
      <c r="M215" s="328"/>
      <c r="N215" s="328"/>
      <c r="O215" s="328"/>
      <c r="P215" s="328"/>
    </row>
    <row r="216" spans="2:16" ht="18" customHeight="1">
      <c r="B216" s="307"/>
      <c r="C216" s="305"/>
      <c r="D216" s="305"/>
      <c r="E216" s="289"/>
      <c r="F216" s="79">
        <v>5</v>
      </c>
      <c r="G216" s="167" t="s">
        <v>66</v>
      </c>
      <c r="H216" s="231">
        <v>1.6214655842030612</v>
      </c>
      <c r="I216" s="328"/>
      <c r="J216" s="328"/>
      <c r="K216" s="328"/>
      <c r="L216" s="231">
        <v>5.1083346345597729</v>
      </c>
      <c r="M216" s="328"/>
      <c r="N216" s="328"/>
      <c r="O216" s="328"/>
      <c r="P216" s="328"/>
    </row>
    <row r="217" spans="2:16" ht="18" customHeight="1">
      <c r="B217" s="307"/>
      <c r="C217" s="305"/>
      <c r="D217" s="305"/>
      <c r="E217" s="289"/>
      <c r="F217" s="79">
        <v>6</v>
      </c>
      <c r="G217" s="167" t="s">
        <v>67</v>
      </c>
      <c r="H217" s="231">
        <v>0.43032564540131496</v>
      </c>
      <c r="I217" s="328"/>
      <c r="J217" s="328"/>
      <c r="K217" s="328"/>
      <c r="L217" s="231">
        <v>0.90028404578302357</v>
      </c>
      <c r="M217" s="328"/>
      <c r="N217" s="328"/>
      <c r="O217" s="328"/>
      <c r="P217" s="328"/>
    </row>
    <row r="218" spans="2:16" ht="18" customHeight="1">
      <c r="B218" s="307"/>
      <c r="C218" s="305"/>
      <c r="D218" s="304"/>
      <c r="E218" s="288"/>
      <c r="F218" s="82">
        <v>7</v>
      </c>
      <c r="G218" s="182" t="s">
        <v>68</v>
      </c>
      <c r="H218" s="232">
        <v>0.28532779212856774</v>
      </c>
      <c r="I218" s="329"/>
      <c r="J218" s="329"/>
      <c r="K218" s="329"/>
      <c r="L218" s="232">
        <v>0.62626505467784965</v>
      </c>
      <c r="M218" s="329"/>
      <c r="N218" s="329"/>
      <c r="O218" s="329"/>
      <c r="P218" s="329"/>
    </row>
    <row r="219" spans="2:16" ht="18" customHeight="1">
      <c r="B219" s="307"/>
      <c r="C219" s="305"/>
      <c r="D219" s="303" t="s">
        <v>69</v>
      </c>
      <c r="E219" s="287" t="str">
        <f>HYPERLINK("#LAYOUT_e4!lay초YTIM1L02","YTIM1L02")</f>
        <v>YTIM1L02</v>
      </c>
      <c r="F219" s="78">
        <v>1</v>
      </c>
      <c r="G219" s="181" t="s">
        <v>62</v>
      </c>
      <c r="H219" s="230">
        <v>60.820933885917334</v>
      </c>
      <c r="I219" s="327"/>
      <c r="J219" s="327"/>
      <c r="K219" s="327"/>
      <c r="L219" s="230">
        <v>50.82016206600936</v>
      </c>
      <c r="M219" s="327"/>
      <c r="N219" s="327"/>
      <c r="O219" s="327"/>
      <c r="P219" s="327"/>
    </row>
    <row r="220" spans="2:16" ht="18" customHeight="1">
      <c r="B220" s="307"/>
      <c r="C220" s="305"/>
      <c r="D220" s="305"/>
      <c r="E220" s="289"/>
      <c r="F220" s="79">
        <v>2</v>
      </c>
      <c r="G220" s="167" t="s">
        <v>63</v>
      </c>
      <c r="H220" s="231">
        <v>15.191970198160156</v>
      </c>
      <c r="I220" s="328"/>
      <c r="J220" s="328"/>
      <c r="K220" s="328"/>
      <c r="L220" s="231">
        <v>12.52697274032049</v>
      </c>
      <c r="M220" s="328"/>
      <c r="N220" s="328"/>
      <c r="O220" s="328"/>
      <c r="P220" s="328"/>
    </row>
    <row r="221" spans="2:16" ht="18" customHeight="1">
      <c r="B221" s="307"/>
      <c r="C221" s="305"/>
      <c r="D221" s="305"/>
      <c r="E221" s="289"/>
      <c r="F221" s="79">
        <v>3</v>
      </c>
      <c r="G221" s="167" t="s">
        <v>64</v>
      </c>
      <c r="H221" s="231">
        <v>11.13334678347586</v>
      </c>
      <c r="I221" s="328"/>
      <c r="J221" s="328"/>
      <c r="K221" s="328"/>
      <c r="L221" s="231">
        <v>12.824209552002367</v>
      </c>
      <c r="M221" s="328"/>
      <c r="N221" s="328"/>
      <c r="O221" s="328"/>
      <c r="P221" s="328"/>
    </row>
    <row r="222" spans="2:16" ht="18" customHeight="1">
      <c r="B222" s="307"/>
      <c r="C222" s="305"/>
      <c r="D222" s="305"/>
      <c r="E222" s="289"/>
      <c r="F222" s="79">
        <v>4</v>
      </c>
      <c r="G222" s="167" t="s">
        <v>65</v>
      </c>
      <c r="H222" s="231">
        <v>7.7959890967109988</v>
      </c>
      <c r="I222" s="328"/>
      <c r="J222" s="328"/>
      <c r="K222" s="328"/>
      <c r="L222" s="231">
        <v>12.263256383395431</v>
      </c>
      <c r="M222" s="328"/>
      <c r="N222" s="328"/>
      <c r="O222" s="328"/>
      <c r="P222" s="328"/>
    </row>
    <row r="223" spans="2:16" ht="18" customHeight="1">
      <c r="B223" s="307"/>
      <c r="C223" s="305"/>
      <c r="D223" s="305"/>
      <c r="E223" s="289"/>
      <c r="F223" s="79">
        <v>5</v>
      </c>
      <c r="G223" s="167" t="s">
        <v>66</v>
      </c>
      <c r="H223" s="231">
        <v>2.6736309976832939</v>
      </c>
      <c r="I223" s="328"/>
      <c r="J223" s="328"/>
      <c r="K223" s="328"/>
      <c r="L223" s="231">
        <v>7.219156046483608</v>
      </c>
      <c r="M223" s="328"/>
      <c r="N223" s="328"/>
      <c r="O223" s="328"/>
      <c r="P223" s="328"/>
    </row>
    <row r="224" spans="2:16" ht="18" customHeight="1">
      <c r="B224" s="307"/>
      <c r="C224" s="305"/>
      <c r="D224" s="305"/>
      <c r="E224" s="289"/>
      <c r="F224" s="79">
        <v>6</v>
      </c>
      <c r="G224" s="167" t="s">
        <v>67</v>
      </c>
      <c r="H224" s="231">
        <v>1.3172590597130243</v>
      </c>
      <c r="I224" s="328"/>
      <c r="J224" s="328"/>
      <c r="K224" s="328"/>
      <c r="L224" s="231">
        <v>2.4918036418724872</v>
      </c>
      <c r="M224" s="328"/>
      <c r="N224" s="328"/>
      <c r="O224" s="328"/>
      <c r="P224" s="328"/>
    </row>
    <row r="225" spans="2:16" ht="18" customHeight="1">
      <c r="B225" s="307"/>
      <c r="C225" s="304"/>
      <c r="D225" s="304"/>
      <c r="E225" s="288"/>
      <c r="F225" s="82">
        <v>7</v>
      </c>
      <c r="G225" s="182" t="s">
        <v>68</v>
      </c>
      <c r="H225" s="232">
        <v>1.0668699783393225</v>
      </c>
      <c r="I225" s="329"/>
      <c r="J225" s="329"/>
      <c r="K225" s="329"/>
      <c r="L225" s="232">
        <v>1.8544395699162748</v>
      </c>
      <c r="M225" s="329"/>
      <c r="N225" s="329"/>
      <c r="O225" s="329"/>
      <c r="P225" s="329"/>
    </row>
    <row r="226" spans="2:16" ht="18" customHeight="1">
      <c r="B226" s="307"/>
      <c r="C226" s="303" t="s">
        <v>78</v>
      </c>
      <c r="D226" s="303" t="s">
        <v>61</v>
      </c>
      <c r="E226" s="287" t="str">
        <f>HYPERLINK("#LAYOUT_e4!lay초YTIM1M01","YTIM1M01")</f>
        <v>YTIM1M01</v>
      </c>
      <c r="F226" s="78">
        <v>1</v>
      </c>
      <c r="G226" s="181" t="s">
        <v>62</v>
      </c>
      <c r="H226" s="230">
        <v>17.371283529218076</v>
      </c>
      <c r="I226" s="327"/>
      <c r="J226" s="327"/>
      <c r="K226" s="327"/>
      <c r="L226" s="230">
        <v>16.132092966183762</v>
      </c>
      <c r="M226" s="327"/>
      <c r="N226" s="327"/>
      <c r="O226" s="327"/>
      <c r="P226" s="327"/>
    </row>
    <row r="227" spans="2:16" ht="18" customHeight="1">
      <c r="B227" s="307"/>
      <c r="C227" s="305"/>
      <c r="D227" s="305"/>
      <c r="E227" s="289"/>
      <c r="F227" s="79">
        <v>2</v>
      </c>
      <c r="G227" s="167" t="s">
        <v>63</v>
      </c>
      <c r="H227" s="231">
        <v>20.676458309780287</v>
      </c>
      <c r="I227" s="328"/>
      <c r="J227" s="328"/>
      <c r="K227" s="328"/>
      <c r="L227" s="231">
        <v>19.347022534905957</v>
      </c>
      <c r="M227" s="328"/>
      <c r="N227" s="328"/>
      <c r="O227" s="328"/>
      <c r="P227" s="328"/>
    </row>
    <row r="228" spans="2:16" ht="18" customHeight="1">
      <c r="B228" s="307"/>
      <c r="C228" s="305"/>
      <c r="D228" s="305"/>
      <c r="E228" s="289"/>
      <c r="F228" s="79">
        <v>3</v>
      </c>
      <c r="G228" s="167" t="s">
        <v>64</v>
      </c>
      <c r="H228" s="231">
        <v>27.243025555617582</v>
      </c>
      <c r="I228" s="328"/>
      <c r="J228" s="328"/>
      <c r="K228" s="328"/>
      <c r="L228" s="231">
        <v>28.129099744287839</v>
      </c>
      <c r="M228" s="328"/>
      <c r="N228" s="328"/>
      <c r="O228" s="328"/>
      <c r="P228" s="328"/>
    </row>
    <row r="229" spans="2:16" ht="18" customHeight="1">
      <c r="B229" s="307"/>
      <c r="C229" s="305"/>
      <c r="D229" s="305"/>
      <c r="E229" s="289"/>
      <c r="F229" s="79">
        <v>4</v>
      </c>
      <c r="G229" s="167" t="s">
        <v>65</v>
      </c>
      <c r="H229" s="231">
        <v>23.518337669734059</v>
      </c>
      <c r="I229" s="328"/>
      <c r="J229" s="328"/>
      <c r="K229" s="328"/>
      <c r="L229" s="231">
        <v>24.405507110553646</v>
      </c>
      <c r="M229" s="328"/>
      <c r="N229" s="328"/>
      <c r="O229" s="328"/>
      <c r="P229" s="328"/>
    </row>
    <row r="230" spans="2:16" ht="18" customHeight="1">
      <c r="B230" s="307"/>
      <c r="C230" s="305"/>
      <c r="D230" s="305"/>
      <c r="E230" s="289"/>
      <c r="F230" s="79">
        <v>5</v>
      </c>
      <c r="G230" s="167" t="s">
        <v>66</v>
      </c>
      <c r="H230" s="231">
        <v>7.2860674230625921</v>
      </c>
      <c r="I230" s="328"/>
      <c r="J230" s="328"/>
      <c r="K230" s="328"/>
      <c r="L230" s="231">
        <v>8.9897845858047489</v>
      </c>
      <c r="M230" s="328"/>
      <c r="N230" s="328"/>
      <c r="O230" s="328"/>
      <c r="P230" s="328"/>
    </row>
    <row r="231" spans="2:16" ht="18" customHeight="1">
      <c r="B231" s="307"/>
      <c r="C231" s="305"/>
      <c r="D231" s="305"/>
      <c r="E231" s="289"/>
      <c r="F231" s="79">
        <v>6</v>
      </c>
      <c r="G231" s="167" t="s">
        <v>67</v>
      </c>
      <c r="H231" s="231">
        <v>2.2412896289544904</v>
      </c>
      <c r="I231" s="328"/>
      <c r="J231" s="328"/>
      <c r="K231" s="328"/>
      <c r="L231" s="231">
        <v>1.8082675179557806</v>
      </c>
      <c r="M231" s="328"/>
      <c r="N231" s="328"/>
      <c r="O231" s="328"/>
      <c r="P231" s="328"/>
    </row>
    <row r="232" spans="2:16" ht="18" customHeight="1">
      <c r="B232" s="307"/>
      <c r="C232" s="305"/>
      <c r="D232" s="304"/>
      <c r="E232" s="288"/>
      <c r="F232" s="82">
        <v>7</v>
      </c>
      <c r="G232" s="182" t="s">
        <v>68</v>
      </c>
      <c r="H232" s="232">
        <v>1.663537883632898</v>
      </c>
      <c r="I232" s="329"/>
      <c r="J232" s="329"/>
      <c r="K232" s="329"/>
      <c r="L232" s="232">
        <v>1.1882255403082762</v>
      </c>
      <c r="M232" s="329"/>
      <c r="N232" s="329"/>
      <c r="O232" s="329"/>
      <c r="P232" s="329"/>
    </row>
    <row r="233" spans="2:16" ht="18" customHeight="1">
      <c r="B233" s="307"/>
      <c r="C233" s="305"/>
      <c r="D233" s="303" t="s">
        <v>69</v>
      </c>
      <c r="E233" s="287" t="str">
        <f>HYPERLINK("#LAYOUT_e4!lay초YTIM1M02","YTIM1M02")</f>
        <v>YTIM1M02</v>
      </c>
      <c r="F233" s="78">
        <v>1</v>
      </c>
      <c r="G233" s="181" t="s">
        <v>62</v>
      </c>
      <c r="H233" s="230">
        <v>7.9435477757267652</v>
      </c>
      <c r="I233" s="327"/>
      <c r="J233" s="327"/>
      <c r="K233" s="327"/>
      <c r="L233" s="230">
        <v>8.5264651315270505</v>
      </c>
      <c r="M233" s="327"/>
      <c r="N233" s="327"/>
      <c r="O233" s="327"/>
      <c r="P233" s="327"/>
    </row>
    <row r="234" spans="2:16" ht="18" customHeight="1">
      <c r="B234" s="307"/>
      <c r="C234" s="305"/>
      <c r="D234" s="305"/>
      <c r="E234" s="289"/>
      <c r="F234" s="79">
        <v>2</v>
      </c>
      <c r="G234" s="167" t="s">
        <v>63</v>
      </c>
      <c r="H234" s="231">
        <v>12.419900839300144</v>
      </c>
      <c r="I234" s="328"/>
      <c r="J234" s="328"/>
      <c r="K234" s="328"/>
      <c r="L234" s="231">
        <v>11.93979856401161</v>
      </c>
      <c r="M234" s="328"/>
      <c r="N234" s="328"/>
      <c r="O234" s="328"/>
      <c r="P234" s="328"/>
    </row>
    <row r="235" spans="2:16" ht="18" customHeight="1">
      <c r="B235" s="307"/>
      <c r="C235" s="305"/>
      <c r="D235" s="305"/>
      <c r="E235" s="289"/>
      <c r="F235" s="79">
        <v>3</v>
      </c>
      <c r="G235" s="167" t="s">
        <v>64</v>
      </c>
      <c r="H235" s="231">
        <v>21.8792884843301</v>
      </c>
      <c r="I235" s="328"/>
      <c r="J235" s="328"/>
      <c r="K235" s="328"/>
      <c r="L235" s="231">
        <v>19.328305677594496</v>
      </c>
      <c r="M235" s="328"/>
      <c r="N235" s="328"/>
      <c r="O235" s="328"/>
      <c r="P235" s="328"/>
    </row>
    <row r="236" spans="2:16" ht="18" customHeight="1">
      <c r="B236" s="307"/>
      <c r="C236" s="305"/>
      <c r="D236" s="305"/>
      <c r="E236" s="289"/>
      <c r="F236" s="79">
        <v>4</v>
      </c>
      <c r="G236" s="167" t="s">
        <v>65</v>
      </c>
      <c r="H236" s="231">
        <v>27.644015467385795</v>
      </c>
      <c r="I236" s="328"/>
      <c r="J236" s="328"/>
      <c r="K236" s="328"/>
      <c r="L236" s="231">
        <v>30.259134058897953</v>
      </c>
      <c r="M236" s="328"/>
      <c r="N236" s="328"/>
      <c r="O236" s="328"/>
      <c r="P236" s="328"/>
    </row>
    <row r="237" spans="2:16" ht="18" customHeight="1">
      <c r="B237" s="307"/>
      <c r="C237" s="305"/>
      <c r="D237" s="305"/>
      <c r="E237" s="289"/>
      <c r="F237" s="79">
        <v>5</v>
      </c>
      <c r="G237" s="167" t="s">
        <v>66</v>
      </c>
      <c r="H237" s="231">
        <v>17.796909157468011</v>
      </c>
      <c r="I237" s="328"/>
      <c r="J237" s="328"/>
      <c r="K237" s="328"/>
      <c r="L237" s="231">
        <v>19.375865855938745</v>
      </c>
      <c r="M237" s="328"/>
      <c r="N237" s="328"/>
      <c r="O237" s="328"/>
      <c r="P237" s="328"/>
    </row>
    <row r="238" spans="2:16" ht="18" customHeight="1">
      <c r="B238" s="307"/>
      <c r="C238" s="305"/>
      <c r="D238" s="305"/>
      <c r="E238" s="289"/>
      <c r="F238" s="79">
        <v>6</v>
      </c>
      <c r="G238" s="167" t="s">
        <v>67</v>
      </c>
      <c r="H238" s="231">
        <v>6.8251774464460988</v>
      </c>
      <c r="I238" s="328"/>
      <c r="J238" s="328"/>
      <c r="K238" s="328"/>
      <c r="L238" s="231">
        <v>7.0756230210906521</v>
      </c>
      <c r="M238" s="328"/>
      <c r="N238" s="328"/>
      <c r="O238" s="328"/>
      <c r="P238" s="328"/>
    </row>
    <row r="239" spans="2:16" ht="18" customHeight="1">
      <c r="B239" s="307"/>
      <c r="C239" s="304"/>
      <c r="D239" s="304"/>
      <c r="E239" s="288"/>
      <c r="F239" s="82">
        <v>7</v>
      </c>
      <c r="G239" s="182" t="s">
        <v>68</v>
      </c>
      <c r="H239" s="232">
        <v>5.4911608293430874</v>
      </c>
      <c r="I239" s="329"/>
      <c r="J239" s="329"/>
      <c r="K239" s="329"/>
      <c r="L239" s="232">
        <v>3.4948076909394925</v>
      </c>
      <c r="M239" s="329"/>
      <c r="N239" s="329"/>
      <c r="O239" s="329"/>
      <c r="P239" s="329"/>
    </row>
    <row r="240" spans="2:16" ht="18" customHeight="1">
      <c r="B240" s="307"/>
      <c r="C240" s="303" t="s">
        <v>79</v>
      </c>
      <c r="D240" s="303" t="s">
        <v>61</v>
      </c>
      <c r="E240" s="287" t="str">
        <f>HYPERLINK("#LAYOUT_e4!lay초YTIM1N01","YTIM1N01")</f>
        <v>YTIM1N01</v>
      </c>
      <c r="F240" s="78">
        <v>1</v>
      </c>
      <c r="G240" s="181" t="s">
        <v>62</v>
      </c>
      <c r="H240" s="230">
        <v>12.924889364479155</v>
      </c>
      <c r="I240" s="327"/>
      <c r="J240" s="327"/>
      <c r="K240" s="327"/>
      <c r="L240" s="230">
        <v>10.438052954196611</v>
      </c>
      <c r="M240" s="327"/>
      <c r="N240" s="327"/>
      <c r="O240" s="327"/>
      <c r="P240" s="327"/>
    </row>
    <row r="241" spans="2:16" ht="18" customHeight="1">
      <c r="B241" s="307"/>
      <c r="C241" s="305"/>
      <c r="D241" s="305"/>
      <c r="E241" s="289"/>
      <c r="F241" s="79">
        <v>2</v>
      </c>
      <c r="G241" s="167" t="s">
        <v>63</v>
      </c>
      <c r="H241" s="231">
        <v>16.96131840224276</v>
      </c>
      <c r="I241" s="328"/>
      <c r="J241" s="328"/>
      <c r="K241" s="328"/>
      <c r="L241" s="231">
        <v>17.530908191553689</v>
      </c>
      <c r="M241" s="328"/>
      <c r="N241" s="328"/>
      <c r="O241" s="328"/>
      <c r="P241" s="328"/>
    </row>
    <row r="242" spans="2:16" ht="18" customHeight="1">
      <c r="B242" s="307"/>
      <c r="C242" s="305"/>
      <c r="D242" s="305"/>
      <c r="E242" s="289"/>
      <c r="F242" s="79">
        <v>3</v>
      </c>
      <c r="G242" s="167" t="s">
        <v>64</v>
      </c>
      <c r="H242" s="231">
        <v>25.700023150586759</v>
      </c>
      <c r="I242" s="328"/>
      <c r="J242" s="328"/>
      <c r="K242" s="328"/>
      <c r="L242" s="231">
        <v>25.840736040603598</v>
      </c>
      <c r="M242" s="328"/>
      <c r="N242" s="328"/>
      <c r="O242" s="328"/>
      <c r="P242" s="328"/>
    </row>
    <row r="243" spans="2:16" ht="18" customHeight="1">
      <c r="B243" s="307"/>
      <c r="C243" s="305"/>
      <c r="D243" s="305"/>
      <c r="E243" s="289"/>
      <c r="F243" s="79">
        <v>4</v>
      </c>
      <c r="G243" s="167" t="s">
        <v>65</v>
      </c>
      <c r="H243" s="231">
        <v>26.637793895744604</v>
      </c>
      <c r="I243" s="328"/>
      <c r="J243" s="328"/>
      <c r="K243" s="328"/>
      <c r="L243" s="231">
        <v>26.735151894001348</v>
      </c>
      <c r="M243" s="328"/>
      <c r="N243" s="328"/>
      <c r="O243" s="328"/>
      <c r="P243" s="328"/>
    </row>
    <row r="244" spans="2:16" ht="18" customHeight="1">
      <c r="B244" s="307"/>
      <c r="C244" s="305"/>
      <c r="D244" s="305"/>
      <c r="E244" s="289"/>
      <c r="F244" s="79">
        <v>5</v>
      </c>
      <c r="G244" s="167" t="s">
        <v>66</v>
      </c>
      <c r="H244" s="231">
        <v>10.046834144124986</v>
      </c>
      <c r="I244" s="328"/>
      <c r="J244" s="328"/>
      <c r="K244" s="328"/>
      <c r="L244" s="231">
        <v>11.690437980630019</v>
      </c>
      <c r="M244" s="328"/>
      <c r="N244" s="328"/>
      <c r="O244" s="328"/>
      <c r="P244" s="328"/>
    </row>
    <row r="245" spans="2:16" ht="18" customHeight="1">
      <c r="B245" s="307"/>
      <c r="C245" s="305"/>
      <c r="D245" s="305"/>
      <c r="E245" s="289"/>
      <c r="F245" s="79">
        <v>6</v>
      </c>
      <c r="G245" s="167" t="s">
        <v>67</v>
      </c>
      <c r="H245" s="231">
        <v>3.7286356413317532</v>
      </c>
      <c r="I245" s="328"/>
      <c r="J245" s="328"/>
      <c r="K245" s="328"/>
      <c r="L245" s="231">
        <v>4.0685302819778073</v>
      </c>
      <c r="M245" s="328"/>
      <c r="N245" s="328"/>
      <c r="O245" s="328"/>
      <c r="P245" s="328"/>
    </row>
    <row r="246" spans="2:16" ht="18" customHeight="1">
      <c r="B246" s="307"/>
      <c r="C246" s="305"/>
      <c r="D246" s="304"/>
      <c r="E246" s="288"/>
      <c r="F246" s="82">
        <v>7</v>
      </c>
      <c r="G246" s="182" t="s">
        <v>68</v>
      </c>
      <c r="H246" s="232">
        <v>4.0005054014899875</v>
      </c>
      <c r="I246" s="329"/>
      <c r="J246" s="329"/>
      <c r="K246" s="329"/>
      <c r="L246" s="232">
        <v>3.6961826570369576</v>
      </c>
      <c r="M246" s="329"/>
      <c r="N246" s="329"/>
      <c r="O246" s="329"/>
      <c r="P246" s="329"/>
    </row>
    <row r="247" spans="2:16" ht="18" customHeight="1">
      <c r="B247" s="307"/>
      <c r="C247" s="305"/>
      <c r="D247" s="303" t="s">
        <v>69</v>
      </c>
      <c r="E247" s="287" t="str">
        <f>HYPERLINK("#LAYOUT_e4!lay초YTIM1N02","YTIM1N02")</f>
        <v>YTIM1N02</v>
      </c>
      <c r="F247" s="78">
        <v>1</v>
      </c>
      <c r="G247" s="181" t="s">
        <v>62</v>
      </c>
      <c r="H247" s="230">
        <v>21.839897487562126</v>
      </c>
      <c r="I247" s="327"/>
      <c r="J247" s="327"/>
      <c r="K247" s="327"/>
      <c r="L247" s="230">
        <v>15.719377715231312</v>
      </c>
      <c r="M247" s="327"/>
      <c r="N247" s="327"/>
      <c r="O247" s="327"/>
      <c r="P247" s="327"/>
    </row>
    <row r="248" spans="2:16" ht="18" customHeight="1">
      <c r="B248" s="307"/>
      <c r="C248" s="305"/>
      <c r="D248" s="305"/>
      <c r="E248" s="289"/>
      <c r="F248" s="79">
        <v>2</v>
      </c>
      <c r="G248" s="167" t="s">
        <v>63</v>
      </c>
      <c r="H248" s="231">
        <v>10.740179776181229</v>
      </c>
      <c r="I248" s="328"/>
      <c r="J248" s="328"/>
      <c r="K248" s="328"/>
      <c r="L248" s="231">
        <v>8.6349084883681915</v>
      </c>
      <c r="M248" s="328"/>
      <c r="N248" s="328"/>
      <c r="O248" s="328"/>
      <c r="P248" s="328"/>
    </row>
    <row r="249" spans="2:16" ht="18" customHeight="1">
      <c r="B249" s="307"/>
      <c r="C249" s="305"/>
      <c r="D249" s="305"/>
      <c r="E249" s="289"/>
      <c r="F249" s="79">
        <v>3</v>
      </c>
      <c r="G249" s="167" t="s">
        <v>64</v>
      </c>
      <c r="H249" s="231">
        <v>13.137653825966902</v>
      </c>
      <c r="I249" s="328"/>
      <c r="J249" s="328"/>
      <c r="K249" s="328"/>
      <c r="L249" s="231">
        <v>16.029727693454099</v>
      </c>
      <c r="M249" s="328"/>
      <c r="N249" s="328"/>
      <c r="O249" s="328"/>
      <c r="P249" s="328"/>
    </row>
    <row r="250" spans="2:16" ht="18" customHeight="1">
      <c r="B250" s="307"/>
      <c r="C250" s="305"/>
      <c r="D250" s="305"/>
      <c r="E250" s="289"/>
      <c r="F250" s="79">
        <v>4</v>
      </c>
      <c r="G250" s="167" t="s">
        <v>65</v>
      </c>
      <c r="H250" s="231">
        <v>17.191861312227509</v>
      </c>
      <c r="I250" s="328"/>
      <c r="J250" s="328"/>
      <c r="K250" s="328"/>
      <c r="L250" s="231">
        <v>20.541565484456232</v>
      </c>
      <c r="M250" s="328"/>
      <c r="N250" s="328"/>
      <c r="O250" s="328"/>
      <c r="P250" s="328"/>
    </row>
    <row r="251" spans="2:16" ht="18" customHeight="1">
      <c r="B251" s="307"/>
      <c r="C251" s="305"/>
      <c r="D251" s="305"/>
      <c r="E251" s="289"/>
      <c r="F251" s="79">
        <v>5</v>
      </c>
      <c r="G251" s="167" t="s">
        <v>66</v>
      </c>
      <c r="H251" s="231">
        <v>15.474007420313139</v>
      </c>
      <c r="I251" s="328"/>
      <c r="J251" s="328"/>
      <c r="K251" s="328"/>
      <c r="L251" s="231">
        <v>16.815359173771128</v>
      </c>
      <c r="M251" s="328"/>
      <c r="N251" s="328"/>
      <c r="O251" s="328"/>
      <c r="P251" s="328"/>
    </row>
    <row r="252" spans="2:16" ht="18" customHeight="1">
      <c r="B252" s="307"/>
      <c r="C252" s="305"/>
      <c r="D252" s="305"/>
      <c r="E252" s="289"/>
      <c r="F252" s="79">
        <v>6</v>
      </c>
      <c r="G252" s="167" t="s">
        <v>67</v>
      </c>
      <c r="H252" s="231">
        <v>8.8217961108428398</v>
      </c>
      <c r="I252" s="328"/>
      <c r="J252" s="328"/>
      <c r="K252" s="328"/>
      <c r="L252" s="231">
        <v>10.418939696774919</v>
      </c>
      <c r="M252" s="328"/>
      <c r="N252" s="328"/>
      <c r="O252" s="328"/>
      <c r="P252" s="328"/>
    </row>
    <row r="253" spans="2:16" ht="18" customHeight="1">
      <c r="B253" s="308"/>
      <c r="C253" s="304"/>
      <c r="D253" s="304"/>
      <c r="E253" s="288"/>
      <c r="F253" s="82">
        <v>7</v>
      </c>
      <c r="G253" s="182" t="s">
        <v>68</v>
      </c>
      <c r="H253" s="232">
        <v>12.79460406690627</v>
      </c>
      <c r="I253" s="329"/>
      <c r="J253" s="329"/>
      <c r="K253" s="329"/>
      <c r="L253" s="232">
        <v>11.84012174794411</v>
      </c>
      <c r="M253" s="329"/>
      <c r="N253" s="329"/>
      <c r="O253" s="329"/>
      <c r="P253" s="329"/>
    </row>
    <row r="254" spans="2:16" ht="18" customHeight="1">
      <c r="B254" s="315" t="s">
        <v>80</v>
      </c>
      <c r="C254" s="315"/>
      <c r="D254" s="310"/>
      <c r="E254" s="287" t="str">
        <f>HYPERLINK("#LAYOUT_e4!lay초YMDA1A00","YMDA1A00")</f>
        <v>YMDA1A00</v>
      </c>
      <c r="F254" s="78">
        <v>1</v>
      </c>
      <c r="G254" s="179" t="s">
        <v>81</v>
      </c>
      <c r="H254" s="230">
        <v>75.969555108703034</v>
      </c>
      <c r="I254" s="327"/>
      <c r="J254" s="327"/>
      <c r="K254" s="327"/>
      <c r="L254" s="230">
        <v>87.117422167366016</v>
      </c>
      <c r="M254" s="327"/>
      <c r="N254" s="327"/>
      <c r="O254" s="327"/>
      <c r="P254" s="327"/>
    </row>
    <row r="255" spans="2:16" ht="18" customHeight="1">
      <c r="B255" s="316"/>
      <c r="C255" s="316"/>
      <c r="D255" s="312"/>
      <c r="E255" s="289"/>
      <c r="F255" s="79">
        <v>2</v>
      </c>
      <c r="G255" s="178" t="s">
        <v>82</v>
      </c>
      <c r="H255" s="231">
        <v>14.702503079126588</v>
      </c>
      <c r="I255" s="328"/>
      <c r="J255" s="328"/>
      <c r="K255" s="328"/>
      <c r="L255" s="231">
        <v>8.0398098623052512</v>
      </c>
      <c r="M255" s="328"/>
      <c r="N255" s="328"/>
      <c r="O255" s="328"/>
      <c r="P255" s="328"/>
    </row>
    <row r="256" spans="2:16" ht="18" customHeight="1">
      <c r="B256" s="317"/>
      <c r="C256" s="317"/>
      <c r="D256" s="314"/>
      <c r="E256" s="288"/>
      <c r="F256" s="82">
        <v>3</v>
      </c>
      <c r="G256" s="180" t="s">
        <v>83</v>
      </c>
      <c r="H256" s="232">
        <v>9.3279418121703941</v>
      </c>
      <c r="I256" s="329"/>
      <c r="J256" s="329"/>
      <c r="K256" s="329"/>
      <c r="L256" s="232">
        <v>4.8427679703287723</v>
      </c>
      <c r="M256" s="329"/>
      <c r="N256" s="329"/>
      <c r="O256" s="329"/>
      <c r="P256" s="329"/>
    </row>
    <row r="257" spans="2:16" ht="18" customHeight="1">
      <c r="B257" s="282" t="s">
        <v>84</v>
      </c>
      <c r="C257" s="309" t="s">
        <v>85</v>
      </c>
      <c r="D257" s="310"/>
      <c r="E257" s="287" t="str">
        <f>HYPERLINK("#LAYOUT_e4!lay초YMDA1B01","YMDA1B01")</f>
        <v>YMDA1B01</v>
      </c>
      <c r="F257" s="78">
        <v>1</v>
      </c>
      <c r="G257" s="179" t="s">
        <v>86</v>
      </c>
      <c r="H257" s="230">
        <v>3.8148309852983475</v>
      </c>
      <c r="I257" s="327">
        <v>3.4756288253409275</v>
      </c>
      <c r="J257" s="327">
        <v>1.5497103159064204E-2</v>
      </c>
      <c r="K257" s="327">
        <v>0.44587911822097664</v>
      </c>
      <c r="L257" s="230">
        <v>1.4407152189860137</v>
      </c>
      <c r="M257" s="327">
        <v>3.4962100678977119</v>
      </c>
      <c r="N257" s="327">
        <v>0.67853555450842729</v>
      </c>
      <c r="O257" s="327">
        <v>1.4090420185152264E-2</v>
      </c>
      <c r="P257" s="327">
        <v>0.40301983895449695</v>
      </c>
    </row>
    <row r="258" spans="2:16" ht="18" customHeight="1">
      <c r="B258" s="284"/>
      <c r="C258" s="311"/>
      <c r="D258" s="312"/>
      <c r="E258" s="289"/>
      <c r="F258" s="79">
        <v>2</v>
      </c>
      <c r="G258" s="178" t="s">
        <v>87</v>
      </c>
      <c r="H258" s="231">
        <v>4.8804134899072702</v>
      </c>
      <c r="I258" s="328"/>
      <c r="J258" s="328"/>
      <c r="K258" s="328"/>
      <c r="L258" s="231">
        <v>6.3581106333756097</v>
      </c>
      <c r="M258" s="328">
        <v>3.4962100678977119</v>
      </c>
      <c r="N258" s="328">
        <v>0.67853555450842729</v>
      </c>
      <c r="O258" s="328">
        <v>1.4090420185152264E-2</v>
      </c>
      <c r="P258" s="328">
        <v>0.40301983895449695</v>
      </c>
    </row>
    <row r="259" spans="2:16" ht="18" customHeight="1">
      <c r="B259" s="284"/>
      <c r="C259" s="311"/>
      <c r="D259" s="312"/>
      <c r="E259" s="289"/>
      <c r="F259" s="79">
        <v>3</v>
      </c>
      <c r="G259" s="178" t="s">
        <v>88</v>
      </c>
      <c r="H259" s="231">
        <v>31.231797530195649</v>
      </c>
      <c r="I259" s="328"/>
      <c r="J259" s="328"/>
      <c r="K259" s="328"/>
      <c r="L259" s="231">
        <v>33.340626286519992</v>
      </c>
      <c r="M259" s="328">
        <v>3.4962100678977119</v>
      </c>
      <c r="N259" s="328">
        <v>0.67853555450842729</v>
      </c>
      <c r="O259" s="328">
        <v>1.4090420185152264E-2</v>
      </c>
      <c r="P259" s="328">
        <v>0.40301983895449695</v>
      </c>
    </row>
    <row r="260" spans="2:16" ht="18" customHeight="1">
      <c r="B260" s="284"/>
      <c r="C260" s="311"/>
      <c r="D260" s="312"/>
      <c r="E260" s="289"/>
      <c r="F260" s="79">
        <v>4</v>
      </c>
      <c r="G260" s="178" t="s">
        <v>89</v>
      </c>
      <c r="H260" s="231">
        <v>60.072957994598731</v>
      </c>
      <c r="I260" s="328"/>
      <c r="J260" s="328"/>
      <c r="K260" s="328"/>
      <c r="L260" s="231">
        <v>58.860547861118398</v>
      </c>
      <c r="M260" s="328">
        <v>3.4962100678977119</v>
      </c>
      <c r="N260" s="328">
        <v>0.67853555450842729</v>
      </c>
      <c r="O260" s="328">
        <v>1.4090420185152264E-2</v>
      </c>
      <c r="P260" s="328">
        <v>0.40301983895449695</v>
      </c>
    </row>
    <row r="261" spans="2:16" ht="18" customHeight="1">
      <c r="B261" s="284"/>
      <c r="C261" s="309" t="s">
        <v>91</v>
      </c>
      <c r="D261" s="310"/>
      <c r="E261" s="287" t="str">
        <f>HYPERLINK("#LAYOUT_e4!lay초YMDA1B02","YMDA1B02")</f>
        <v>YMDA1B02</v>
      </c>
      <c r="F261" s="78">
        <v>1</v>
      </c>
      <c r="G261" s="179" t="s">
        <v>86</v>
      </c>
      <c r="H261" s="230">
        <v>8.7482910680599222</v>
      </c>
      <c r="I261" s="327">
        <v>3.0146191642645723</v>
      </c>
      <c r="J261" s="327">
        <v>1.8609087614561596E-2</v>
      </c>
      <c r="K261" s="327">
        <v>0.61729480908084611</v>
      </c>
      <c r="L261" s="230">
        <v>3.9050265415617504</v>
      </c>
      <c r="M261" s="327">
        <v>3.1909253771066437</v>
      </c>
      <c r="N261" s="327">
        <v>0.80277370966810369</v>
      </c>
      <c r="O261" s="327">
        <v>1.6670340717829739E-2</v>
      </c>
      <c r="P261" s="327">
        <v>0.52242966374053801</v>
      </c>
    </row>
    <row r="262" spans="2:16" ht="18" customHeight="1">
      <c r="B262" s="284"/>
      <c r="C262" s="311"/>
      <c r="D262" s="312"/>
      <c r="E262" s="289"/>
      <c r="F262" s="79">
        <v>2</v>
      </c>
      <c r="G262" s="178" t="s">
        <v>87</v>
      </c>
      <c r="H262" s="231">
        <v>14.556001788167475</v>
      </c>
      <c r="I262" s="328"/>
      <c r="J262" s="328"/>
      <c r="K262" s="328"/>
      <c r="L262" s="231">
        <v>13.006131815114527</v>
      </c>
      <c r="M262" s="328">
        <v>3.1909253771066437</v>
      </c>
      <c r="N262" s="328">
        <v>0.80277370966810369</v>
      </c>
      <c r="O262" s="328">
        <v>1.6670340717829739E-2</v>
      </c>
      <c r="P262" s="328">
        <v>0.52242966374053801</v>
      </c>
    </row>
    <row r="263" spans="2:16" ht="18" customHeight="1">
      <c r="B263" s="284"/>
      <c r="C263" s="311"/>
      <c r="D263" s="312"/>
      <c r="E263" s="289"/>
      <c r="F263" s="79">
        <v>3</v>
      </c>
      <c r="G263" s="178" t="s">
        <v>88</v>
      </c>
      <c r="H263" s="231">
        <v>43.181206793025289</v>
      </c>
      <c r="I263" s="328"/>
      <c r="J263" s="328"/>
      <c r="K263" s="328"/>
      <c r="L263" s="231">
        <v>43.180119034421388</v>
      </c>
      <c r="M263" s="328">
        <v>3.1909253771066437</v>
      </c>
      <c r="N263" s="328">
        <v>0.80277370966810369</v>
      </c>
      <c r="O263" s="328">
        <v>1.6670340717829739E-2</v>
      </c>
      <c r="P263" s="328">
        <v>0.52242966374053801</v>
      </c>
    </row>
    <row r="264" spans="2:16" ht="18" customHeight="1">
      <c r="B264" s="284"/>
      <c r="C264" s="311"/>
      <c r="D264" s="312"/>
      <c r="E264" s="289"/>
      <c r="F264" s="79">
        <v>4</v>
      </c>
      <c r="G264" s="178" t="s">
        <v>89</v>
      </c>
      <c r="H264" s="231">
        <v>33.514500350747291</v>
      </c>
      <c r="I264" s="328"/>
      <c r="J264" s="328"/>
      <c r="K264" s="328"/>
      <c r="L264" s="231">
        <v>39.908722608902337</v>
      </c>
      <c r="M264" s="328">
        <v>3.1909253771066437</v>
      </c>
      <c r="N264" s="328">
        <v>0.80277370966810369</v>
      </c>
      <c r="O264" s="328">
        <v>1.6670340717829739E-2</v>
      </c>
      <c r="P264" s="328">
        <v>0.52242966374053801</v>
      </c>
    </row>
    <row r="265" spans="2:16" ht="18" customHeight="1">
      <c r="B265" s="284"/>
      <c r="C265" s="309" t="s">
        <v>92</v>
      </c>
      <c r="D265" s="310"/>
      <c r="E265" s="287" t="str">
        <f>HYPERLINK("#LAYOUT_e4!lay초YMDA1B03","YMDA1B03")</f>
        <v>YMDA1B03</v>
      </c>
      <c r="F265" s="78">
        <v>1</v>
      </c>
      <c r="G265" s="179" t="s">
        <v>86</v>
      </c>
      <c r="H265" s="230">
        <v>7.1380888003801699</v>
      </c>
      <c r="I265" s="327">
        <v>2.9679219907596299</v>
      </c>
      <c r="J265" s="327">
        <v>1.7854647229455765E-2</v>
      </c>
      <c r="K265" s="327">
        <v>0.60158748393807759</v>
      </c>
      <c r="L265" s="230">
        <v>3.7644631509849931</v>
      </c>
      <c r="M265" s="327">
        <v>3.1881351868186623</v>
      </c>
      <c r="N265" s="327">
        <v>0.81053699390291434</v>
      </c>
      <c r="O265" s="327">
        <v>1.6831552516030194E-2</v>
      </c>
      <c r="P265" s="327">
        <v>0.52794350081578123</v>
      </c>
    </row>
    <row r="266" spans="2:16" ht="18" customHeight="1">
      <c r="B266" s="284"/>
      <c r="C266" s="311"/>
      <c r="D266" s="312"/>
      <c r="E266" s="289"/>
      <c r="F266" s="79">
        <v>2</v>
      </c>
      <c r="G266" s="178" t="s">
        <v>87</v>
      </c>
      <c r="H266" s="231">
        <v>18.463816474547013</v>
      </c>
      <c r="I266" s="328"/>
      <c r="J266" s="328"/>
      <c r="K266" s="328"/>
      <c r="L266" s="231">
        <v>14.14500407373786</v>
      </c>
      <c r="M266" s="328">
        <v>3.1881351868186623</v>
      </c>
      <c r="N266" s="328">
        <v>0.81053699390291434</v>
      </c>
      <c r="O266" s="328">
        <v>1.6831552516030194E-2</v>
      </c>
      <c r="P266" s="328">
        <v>0.52794350081578123</v>
      </c>
    </row>
    <row r="267" spans="2:16" ht="18" customHeight="1">
      <c r="B267" s="284"/>
      <c r="C267" s="311"/>
      <c r="D267" s="312"/>
      <c r="E267" s="289"/>
      <c r="F267" s="79">
        <v>3</v>
      </c>
      <c r="G267" s="178" t="s">
        <v>88</v>
      </c>
      <c r="H267" s="231">
        <v>44.865901573799931</v>
      </c>
      <c r="I267" s="328"/>
      <c r="J267" s="328"/>
      <c r="K267" s="328"/>
      <c r="L267" s="231">
        <v>41.603083717703207</v>
      </c>
      <c r="M267" s="328">
        <v>3.1881351868186623</v>
      </c>
      <c r="N267" s="328">
        <v>0.81053699390291434</v>
      </c>
      <c r="O267" s="328">
        <v>1.6831552516030194E-2</v>
      </c>
      <c r="P267" s="328">
        <v>0.52794350081578123</v>
      </c>
    </row>
    <row r="268" spans="2:16" ht="18" customHeight="1">
      <c r="B268" s="284"/>
      <c r="C268" s="311"/>
      <c r="D268" s="312"/>
      <c r="E268" s="289"/>
      <c r="F268" s="79">
        <v>4</v>
      </c>
      <c r="G268" s="178" t="s">
        <v>89</v>
      </c>
      <c r="H268" s="231">
        <v>29.532193151272878</v>
      </c>
      <c r="I268" s="328"/>
      <c r="J268" s="328"/>
      <c r="K268" s="328"/>
      <c r="L268" s="231">
        <v>40.487449057573912</v>
      </c>
      <c r="M268" s="328">
        <v>3.1881351868186623</v>
      </c>
      <c r="N268" s="328">
        <v>0.81053699390291434</v>
      </c>
      <c r="O268" s="328">
        <v>1.6831552516030194E-2</v>
      </c>
      <c r="P268" s="328">
        <v>0.52794350081578123</v>
      </c>
    </row>
    <row r="269" spans="2:16" ht="18" customHeight="1">
      <c r="B269" s="284"/>
      <c r="C269" s="309" t="s">
        <v>93</v>
      </c>
      <c r="D269" s="310"/>
      <c r="E269" s="287" t="str">
        <f>HYPERLINK("#LAYOUT_e4!lay초YMDA1B04","YMDA1B04")</f>
        <v>YMDA1B04</v>
      </c>
      <c r="F269" s="78">
        <v>1</v>
      </c>
      <c r="G269" s="179" t="s">
        <v>86</v>
      </c>
      <c r="H269" s="230">
        <v>11.503337670406765</v>
      </c>
      <c r="I269" s="327">
        <v>2.9411316878960552</v>
      </c>
      <c r="J269" s="327">
        <v>2.0011796959063476E-2</v>
      </c>
      <c r="K269" s="327">
        <v>0.6804114566314764</v>
      </c>
      <c r="L269" s="230">
        <v>6.1041427595199309</v>
      </c>
      <c r="M269" s="327">
        <v>3.2263684699499602</v>
      </c>
      <c r="N269" s="327">
        <v>0.88298095848702318</v>
      </c>
      <c r="O269" s="327">
        <v>1.8335918638167876E-2</v>
      </c>
      <c r="P269" s="327">
        <v>0.56831446280691766</v>
      </c>
    </row>
    <row r="270" spans="2:16" ht="18" customHeight="1">
      <c r="B270" s="284"/>
      <c r="C270" s="311"/>
      <c r="D270" s="312"/>
      <c r="E270" s="289"/>
      <c r="F270" s="79">
        <v>2</v>
      </c>
      <c r="G270" s="178" t="s">
        <v>87</v>
      </c>
      <c r="H270" s="231">
        <v>16.623271404415277</v>
      </c>
      <c r="I270" s="328"/>
      <c r="J270" s="328"/>
      <c r="K270" s="328"/>
      <c r="L270" s="231">
        <v>12.183322694985078</v>
      </c>
      <c r="M270" s="328">
        <v>3.2263684699499602</v>
      </c>
      <c r="N270" s="328">
        <v>0.88298095848702318</v>
      </c>
      <c r="O270" s="328">
        <v>1.8335918638167876E-2</v>
      </c>
      <c r="P270" s="328">
        <v>0.56831446280691766</v>
      </c>
    </row>
    <row r="271" spans="2:16" ht="18" customHeight="1">
      <c r="B271" s="284"/>
      <c r="C271" s="311"/>
      <c r="D271" s="312"/>
      <c r="E271" s="289"/>
      <c r="F271" s="79">
        <v>3</v>
      </c>
      <c r="G271" s="178" t="s">
        <v>88</v>
      </c>
      <c r="H271" s="231">
        <v>38.130275390341623</v>
      </c>
      <c r="I271" s="328"/>
      <c r="J271" s="328"/>
      <c r="K271" s="328"/>
      <c r="L271" s="231">
        <v>34.684079336473779</v>
      </c>
      <c r="M271" s="328">
        <v>3.2263684699499602</v>
      </c>
      <c r="N271" s="328">
        <v>0.88298095848702318</v>
      </c>
      <c r="O271" s="328">
        <v>1.8335918638167876E-2</v>
      </c>
      <c r="P271" s="328">
        <v>0.56831446280691766</v>
      </c>
    </row>
    <row r="272" spans="2:16" ht="18" customHeight="1">
      <c r="B272" s="284"/>
      <c r="C272" s="311"/>
      <c r="D272" s="312"/>
      <c r="E272" s="289"/>
      <c r="F272" s="79">
        <v>4</v>
      </c>
      <c r="G272" s="178" t="s">
        <v>89</v>
      </c>
      <c r="H272" s="231">
        <v>33.743115534836342</v>
      </c>
      <c r="I272" s="328"/>
      <c r="J272" s="328"/>
      <c r="K272" s="328"/>
      <c r="L272" s="231">
        <v>47.028455209021196</v>
      </c>
      <c r="M272" s="328">
        <v>3.2263684699499602</v>
      </c>
      <c r="N272" s="328">
        <v>0.88298095848702318</v>
      </c>
      <c r="O272" s="328">
        <v>1.8335918638167876E-2</v>
      </c>
      <c r="P272" s="328">
        <v>0.56831446280691766</v>
      </c>
    </row>
    <row r="273" spans="2:16" ht="18" customHeight="1">
      <c r="B273" s="284"/>
      <c r="C273" s="309" t="s">
        <v>94</v>
      </c>
      <c r="D273" s="310"/>
      <c r="E273" s="287" t="str">
        <f>HYPERLINK("#LAYOUT_e4!lay초YMDA1B05","YMDA1B05")</f>
        <v>YMDA1B05</v>
      </c>
      <c r="F273" s="78">
        <v>1</v>
      </c>
      <c r="G273" s="179" t="s">
        <v>86</v>
      </c>
      <c r="H273" s="230">
        <v>75.909272639758143</v>
      </c>
      <c r="I273" s="327">
        <v>1.4523276329292751</v>
      </c>
      <c r="J273" s="327">
        <v>1.8151787728640321E-2</v>
      </c>
      <c r="K273" s="327">
        <v>1.249841104519166</v>
      </c>
      <c r="L273" s="230">
        <v>49.6696002443258</v>
      </c>
      <c r="M273" s="327">
        <v>1.9925719385777121</v>
      </c>
      <c r="N273" s="327">
        <v>1.1195344673999577</v>
      </c>
      <c r="O273" s="327">
        <v>2.3248171672970361E-2</v>
      </c>
      <c r="P273" s="327">
        <v>1.1667418988929847</v>
      </c>
    </row>
    <row r="274" spans="2:16" ht="18" customHeight="1">
      <c r="B274" s="284"/>
      <c r="C274" s="311"/>
      <c r="D274" s="312"/>
      <c r="E274" s="289"/>
      <c r="F274" s="79">
        <v>2</v>
      </c>
      <c r="G274" s="178" t="s">
        <v>87</v>
      </c>
      <c r="H274" s="231">
        <v>8.9258272136747507</v>
      </c>
      <c r="I274" s="328"/>
      <c r="J274" s="328"/>
      <c r="K274" s="328"/>
      <c r="L274" s="231">
        <v>15.20891379155662</v>
      </c>
      <c r="M274" s="328">
        <v>1.9925719385777121</v>
      </c>
      <c r="N274" s="328">
        <v>1.1195344673999577</v>
      </c>
      <c r="O274" s="328">
        <v>2.3248171672970361E-2</v>
      </c>
      <c r="P274" s="328">
        <v>1.1667418988929847</v>
      </c>
    </row>
    <row r="275" spans="2:16" ht="18" customHeight="1">
      <c r="B275" s="284"/>
      <c r="C275" s="311"/>
      <c r="D275" s="312"/>
      <c r="E275" s="289"/>
      <c r="F275" s="79">
        <v>3</v>
      </c>
      <c r="G275" s="178" t="s">
        <v>88</v>
      </c>
      <c r="H275" s="231">
        <v>9.1877643604476908</v>
      </c>
      <c r="I275" s="328"/>
      <c r="J275" s="328"/>
      <c r="K275" s="328"/>
      <c r="L275" s="231">
        <v>21.316177826137753</v>
      </c>
      <c r="M275" s="328">
        <v>1.9925719385777121</v>
      </c>
      <c r="N275" s="328">
        <v>1.1195344673999577</v>
      </c>
      <c r="O275" s="328">
        <v>2.3248171672970361E-2</v>
      </c>
      <c r="P275" s="328">
        <v>1.1667418988929847</v>
      </c>
    </row>
    <row r="276" spans="2:16" ht="18" customHeight="1">
      <c r="B276" s="284"/>
      <c r="C276" s="311"/>
      <c r="D276" s="312"/>
      <c r="E276" s="289"/>
      <c r="F276" s="79">
        <v>4</v>
      </c>
      <c r="G276" s="178" t="s">
        <v>89</v>
      </c>
      <c r="H276" s="231">
        <v>5.9771357861194083</v>
      </c>
      <c r="I276" s="328"/>
      <c r="J276" s="328"/>
      <c r="K276" s="328"/>
      <c r="L276" s="231">
        <v>13.805308137979839</v>
      </c>
      <c r="M276" s="328">
        <v>1.9925719385777121</v>
      </c>
      <c r="N276" s="328">
        <v>1.1195344673999577</v>
      </c>
      <c r="O276" s="328">
        <v>2.3248171672970361E-2</v>
      </c>
      <c r="P276" s="328">
        <v>1.1667418988929847</v>
      </c>
    </row>
    <row r="277" spans="2:16" ht="18" customHeight="1">
      <c r="B277" s="284"/>
      <c r="C277" s="309" t="s">
        <v>95</v>
      </c>
      <c r="D277" s="310"/>
      <c r="E277" s="287" t="str">
        <f>HYPERLINK("#LAYOUT_e4!lay초YMDA1B06","YMDA1B06")</f>
        <v>YMDA1B06</v>
      </c>
      <c r="F277" s="78">
        <v>1</v>
      </c>
      <c r="G277" s="179" t="s">
        <v>86</v>
      </c>
      <c r="H277" s="230">
        <v>9.4836172074203748</v>
      </c>
      <c r="I277" s="327">
        <v>3.1176320103725352</v>
      </c>
      <c r="J277" s="327">
        <v>1.9276777033411623E-2</v>
      </c>
      <c r="K277" s="327">
        <v>0.61831470068554306</v>
      </c>
      <c r="L277" s="230">
        <v>7.6878500977449189</v>
      </c>
      <c r="M277" s="327">
        <v>3.1128102607505128</v>
      </c>
      <c r="N277" s="327">
        <v>0.92252096160183217</v>
      </c>
      <c r="O277" s="327">
        <v>1.9157003479349871E-2</v>
      </c>
      <c r="P277" s="327">
        <v>0.61542470869172172</v>
      </c>
    </row>
    <row r="278" spans="2:16" ht="18" customHeight="1">
      <c r="B278" s="284"/>
      <c r="C278" s="311"/>
      <c r="D278" s="312"/>
      <c r="E278" s="289"/>
      <c r="F278" s="79">
        <v>2</v>
      </c>
      <c r="G278" s="178" t="s">
        <v>87</v>
      </c>
      <c r="H278" s="231">
        <v>10.913548874549869</v>
      </c>
      <c r="I278" s="328"/>
      <c r="J278" s="328"/>
      <c r="K278" s="328"/>
      <c r="L278" s="231">
        <v>14.778418250208025</v>
      </c>
      <c r="M278" s="328">
        <v>3.1128102607505128</v>
      </c>
      <c r="N278" s="328">
        <v>0.92252096160183217</v>
      </c>
      <c r="O278" s="328">
        <v>1.9157003479349871E-2</v>
      </c>
      <c r="P278" s="328">
        <v>0.61542470869172172</v>
      </c>
    </row>
    <row r="279" spans="2:16" ht="18" customHeight="1">
      <c r="B279" s="284"/>
      <c r="C279" s="311"/>
      <c r="D279" s="312"/>
      <c r="E279" s="289"/>
      <c r="F279" s="79">
        <v>3</v>
      </c>
      <c r="G279" s="178" t="s">
        <v>88</v>
      </c>
      <c r="H279" s="231">
        <v>37.95884959138359</v>
      </c>
      <c r="I279" s="328"/>
      <c r="J279" s="328"/>
      <c r="K279" s="328"/>
      <c r="L279" s="231">
        <v>36.098587131297869</v>
      </c>
      <c r="M279" s="328">
        <v>3.1128102607505128</v>
      </c>
      <c r="N279" s="328">
        <v>0.92252096160183217</v>
      </c>
      <c r="O279" s="328">
        <v>1.9157003479349871E-2</v>
      </c>
      <c r="P279" s="328">
        <v>0.61542470869172172</v>
      </c>
    </row>
    <row r="280" spans="2:16" ht="18" customHeight="1">
      <c r="B280" s="284"/>
      <c r="C280" s="311"/>
      <c r="D280" s="312"/>
      <c r="E280" s="289"/>
      <c r="F280" s="79">
        <v>4</v>
      </c>
      <c r="G280" s="178" t="s">
        <v>89</v>
      </c>
      <c r="H280" s="231">
        <v>41.643984326646148</v>
      </c>
      <c r="I280" s="328"/>
      <c r="J280" s="328"/>
      <c r="K280" s="328"/>
      <c r="L280" s="231">
        <v>41.435144520749155</v>
      </c>
      <c r="M280" s="328">
        <v>3.1128102607505128</v>
      </c>
      <c r="N280" s="328">
        <v>0.92252096160183217</v>
      </c>
      <c r="O280" s="328">
        <v>1.9157003479349871E-2</v>
      </c>
      <c r="P280" s="328">
        <v>0.61542470869172172</v>
      </c>
    </row>
    <row r="281" spans="2:16" ht="18" customHeight="1">
      <c r="B281" s="284"/>
      <c r="C281" s="309" t="s">
        <v>96</v>
      </c>
      <c r="D281" s="310"/>
      <c r="E281" s="287" t="str">
        <f>HYPERLINK("#LAYOUT_e4!lay초YMDA1B07","YMDA1B07")</f>
        <v>YMDA1B07</v>
      </c>
      <c r="F281" s="78">
        <v>1</v>
      </c>
      <c r="G281" s="179" t="s">
        <v>86</v>
      </c>
      <c r="H281" s="230">
        <v>10.404954742891551</v>
      </c>
      <c r="I281" s="327">
        <v>2.7639628049321119</v>
      </c>
      <c r="J281" s="327">
        <v>1.8307881322626878E-2</v>
      </c>
      <c r="K281" s="327">
        <v>0.66237799184408885</v>
      </c>
      <c r="L281" s="230">
        <v>7.1718191234376603</v>
      </c>
      <c r="M281" s="327">
        <v>2.9301264226341792</v>
      </c>
      <c r="N281" s="327">
        <v>0.87328071808778174</v>
      </c>
      <c r="O281" s="327">
        <v>1.8134484148531856E-2</v>
      </c>
      <c r="P281" s="327">
        <v>0.61889766968583515</v>
      </c>
    </row>
    <row r="282" spans="2:16" ht="18" customHeight="1">
      <c r="B282" s="284"/>
      <c r="C282" s="311"/>
      <c r="D282" s="312"/>
      <c r="E282" s="289"/>
      <c r="F282" s="79">
        <v>2</v>
      </c>
      <c r="G282" s="178" t="s">
        <v>87</v>
      </c>
      <c r="H282" s="231">
        <v>23.560577768448542</v>
      </c>
      <c r="I282" s="328"/>
      <c r="J282" s="328"/>
      <c r="K282" s="328"/>
      <c r="L282" s="231">
        <v>20.616685753842212</v>
      </c>
      <c r="M282" s="328">
        <v>2.9301264226341792</v>
      </c>
      <c r="N282" s="328">
        <v>0.87328071808778174</v>
      </c>
      <c r="O282" s="328">
        <v>1.8134484148531856E-2</v>
      </c>
      <c r="P282" s="328">
        <v>0.61889766968583515</v>
      </c>
    </row>
    <row r="283" spans="2:16" ht="18" customHeight="1">
      <c r="B283" s="284"/>
      <c r="C283" s="311"/>
      <c r="D283" s="312"/>
      <c r="E283" s="289"/>
      <c r="F283" s="79">
        <v>3</v>
      </c>
      <c r="G283" s="178" t="s">
        <v>88</v>
      </c>
      <c r="H283" s="231">
        <v>45.267699741215324</v>
      </c>
      <c r="I283" s="328"/>
      <c r="J283" s="328"/>
      <c r="K283" s="328"/>
      <c r="L283" s="231">
        <v>44.238528858585092</v>
      </c>
      <c r="M283" s="328">
        <v>2.9301264226341792</v>
      </c>
      <c r="N283" s="328">
        <v>0.87328071808778174</v>
      </c>
      <c r="O283" s="328">
        <v>1.8134484148531856E-2</v>
      </c>
      <c r="P283" s="328">
        <v>0.61889766968583515</v>
      </c>
    </row>
    <row r="284" spans="2:16" ht="18" customHeight="1">
      <c r="B284" s="284"/>
      <c r="C284" s="311"/>
      <c r="D284" s="312"/>
      <c r="E284" s="289"/>
      <c r="F284" s="79">
        <v>4</v>
      </c>
      <c r="G284" s="178" t="s">
        <v>89</v>
      </c>
      <c r="H284" s="231">
        <v>20.766767747444604</v>
      </c>
      <c r="I284" s="328"/>
      <c r="J284" s="328"/>
      <c r="K284" s="328"/>
      <c r="L284" s="231">
        <v>27.972966264135021</v>
      </c>
      <c r="M284" s="328">
        <v>2.9301264226341792</v>
      </c>
      <c r="N284" s="328">
        <v>0.87328071808778174</v>
      </c>
      <c r="O284" s="328">
        <v>1.8134484148531856E-2</v>
      </c>
      <c r="P284" s="328">
        <v>0.61889766968583515</v>
      </c>
    </row>
    <row r="285" spans="2:16" ht="18" customHeight="1">
      <c r="B285" s="284"/>
      <c r="C285" s="309" t="s">
        <v>97</v>
      </c>
      <c r="D285" s="310"/>
      <c r="E285" s="287" t="str">
        <f>HYPERLINK("#LAYOUT_e4!lay초YMDA1B08","YMDA1B08")</f>
        <v>YMDA1B08</v>
      </c>
      <c r="F285" s="78">
        <v>1</v>
      </c>
      <c r="G285" s="179" t="s">
        <v>86</v>
      </c>
      <c r="H285" s="230">
        <v>10.970991647287232</v>
      </c>
      <c r="I285" s="327">
        <v>3.1672665515589058</v>
      </c>
      <c r="J285" s="327">
        <v>2.0473634323468316E-2</v>
      </c>
      <c r="K285" s="327">
        <v>0.64641336591615051</v>
      </c>
      <c r="L285" s="230">
        <v>8.0522675768107064</v>
      </c>
      <c r="M285" s="327">
        <v>3.2883339325137677</v>
      </c>
      <c r="N285" s="327">
        <v>0.92719083985456763</v>
      </c>
      <c r="O285" s="327">
        <v>1.925397783295205E-2</v>
      </c>
      <c r="P285" s="327">
        <v>0.58552380105244783</v>
      </c>
    </row>
    <row r="286" spans="2:16" ht="18" customHeight="1">
      <c r="B286" s="284"/>
      <c r="C286" s="311"/>
      <c r="D286" s="312"/>
      <c r="E286" s="289"/>
      <c r="F286" s="79">
        <v>2</v>
      </c>
      <c r="G286" s="178" t="s">
        <v>87</v>
      </c>
      <c r="H286" s="231">
        <v>10.381049762803773</v>
      </c>
      <c r="I286" s="328"/>
      <c r="J286" s="328"/>
      <c r="K286" s="328"/>
      <c r="L286" s="231">
        <v>8.8643770600659195</v>
      </c>
      <c r="M286" s="328">
        <v>3.2883339325137677</v>
      </c>
      <c r="N286" s="328">
        <v>0.92719083985456763</v>
      </c>
      <c r="O286" s="328">
        <v>1.925397783295205E-2</v>
      </c>
      <c r="P286" s="328">
        <v>0.58552380105244783</v>
      </c>
    </row>
    <row r="287" spans="2:16" ht="18" customHeight="1">
      <c r="B287" s="284"/>
      <c r="C287" s="311"/>
      <c r="D287" s="312"/>
      <c r="E287" s="289"/>
      <c r="F287" s="79">
        <v>3</v>
      </c>
      <c r="G287" s="178" t="s">
        <v>88</v>
      </c>
      <c r="H287" s="231">
        <v>29.598270376638457</v>
      </c>
      <c r="I287" s="328"/>
      <c r="J287" s="328"/>
      <c r="K287" s="328"/>
      <c r="L287" s="231">
        <v>29.281049898059404</v>
      </c>
      <c r="M287" s="328">
        <v>3.2883339325137677</v>
      </c>
      <c r="N287" s="328">
        <v>0.92719083985456763</v>
      </c>
      <c r="O287" s="328">
        <v>1.925397783295205E-2</v>
      </c>
      <c r="P287" s="328">
        <v>0.58552380105244783</v>
      </c>
    </row>
    <row r="288" spans="2:16" ht="18" customHeight="1">
      <c r="B288" s="284"/>
      <c r="C288" s="311"/>
      <c r="D288" s="312"/>
      <c r="E288" s="289"/>
      <c r="F288" s="79">
        <v>4</v>
      </c>
      <c r="G288" s="178" t="s">
        <v>89</v>
      </c>
      <c r="H288" s="231">
        <v>49.049688213270542</v>
      </c>
      <c r="I288" s="328"/>
      <c r="J288" s="328"/>
      <c r="K288" s="328"/>
      <c r="L288" s="231">
        <v>53.802305465064002</v>
      </c>
      <c r="M288" s="328">
        <v>3.2883339325137677</v>
      </c>
      <c r="N288" s="328">
        <v>0.92719083985456763</v>
      </c>
      <c r="O288" s="328">
        <v>1.925397783295205E-2</v>
      </c>
      <c r="P288" s="328">
        <v>0.58552380105244783</v>
      </c>
    </row>
    <row r="289" spans="2:16" ht="18" customHeight="1">
      <c r="B289" s="284"/>
      <c r="C289" s="309" t="s">
        <v>98</v>
      </c>
      <c r="D289" s="310"/>
      <c r="E289" s="287" t="str">
        <f>HYPERLINK("#LAYOUT_e4!lay초YMDA1B09","YMDA1B09")</f>
        <v>YMDA1B09</v>
      </c>
      <c r="F289" s="78">
        <v>1</v>
      </c>
      <c r="G289" s="179" t="s">
        <v>86</v>
      </c>
      <c r="H289" s="230">
        <v>14.614085320559001</v>
      </c>
      <c r="I289" s="327">
        <v>2.774096914573946</v>
      </c>
      <c r="J289" s="327">
        <v>2.0182185941284327E-2</v>
      </c>
      <c r="K289" s="327">
        <v>0.72752274209511369</v>
      </c>
      <c r="L289" s="230">
        <v>10.285693975783902</v>
      </c>
      <c r="M289" s="327">
        <v>2.9234000674875431</v>
      </c>
      <c r="N289" s="327">
        <v>0.94658972692736076</v>
      </c>
      <c r="O289" s="327">
        <v>1.9656813717031832E-2</v>
      </c>
      <c r="P289" s="327">
        <v>0.67239561001739634</v>
      </c>
    </row>
    <row r="290" spans="2:16" ht="18" customHeight="1">
      <c r="B290" s="284"/>
      <c r="C290" s="311"/>
      <c r="D290" s="312"/>
      <c r="E290" s="289"/>
      <c r="F290" s="79">
        <v>2</v>
      </c>
      <c r="G290" s="178" t="s">
        <v>87</v>
      </c>
      <c r="H290" s="231">
        <v>18.842251971166444</v>
      </c>
      <c r="I290" s="328"/>
      <c r="J290" s="328"/>
      <c r="K290" s="328"/>
      <c r="L290" s="231">
        <v>18.377362684152935</v>
      </c>
      <c r="M290" s="328">
        <v>2.9234000674875431</v>
      </c>
      <c r="N290" s="328">
        <v>0.94658972692736076</v>
      </c>
      <c r="O290" s="328">
        <v>1.9656813717031832E-2</v>
      </c>
      <c r="P290" s="328">
        <v>0.67239561001739634</v>
      </c>
    </row>
    <row r="291" spans="2:16" ht="18" customHeight="1">
      <c r="B291" s="284"/>
      <c r="C291" s="311"/>
      <c r="D291" s="312"/>
      <c r="E291" s="289"/>
      <c r="F291" s="79">
        <v>3</v>
      </c>
      <c r="G291" s="178" t="s">
        <v>88</v>
      </c>
      <c r="H291" s="231">
        <v>41.063548638593623</v>
      </c>
      <c r="I291" s="328"/>
      <c r="J291" s="328"/>
      <c r="K291" s="328"/>
      <c r="L291" s="231">
        <v>40.048185955588146</v>
      </c>
      <c r="M291" s="328">
        <v>2.9234000674875431</v>
      </c>
      <c r="N291" s="328">
        <v>0.94658972692736076</v>
      </c>
      <c r="O291" s="328">
        <v>1.9656813717031832E-2</v>
      </c>
      <c r="P291" s="328">
        <v>0.67239561001739634</v>
      </c>
    </row>
    <row r="292" spans="2:16" ht="18" customHeight="1">
      <c r="B292" s="284"/>
      <c r="C292" s="311"/>
      <c r="D292" s="312"/>
      <c r="E292" s="289"/>
      <c r="F292" s="79">
        <v>4</v>
      </c>
      <c r="G292" s="178" t="s">
        <v>89</v>
      </c>
      <c r="H292" s="231">
        <v>25.480114069680937</v>
      </c>
      <c r="I292" s="328"/>
      <c r="J292" s="328"/>
      <c r="K292" s="328"/>
      <c r="L292" s="231">
        <v>31.288757384475019</v>
      </c>
      <c r="M292" s="328">
        <v>2.9234000674875431</v>
      </c>
      <c r="N292" s="328">
        <v>0.94658972692736076</v>
      </c>
      <c r="O292" s="328">
        <v>1.9656813717031832E-2</v>
      </c>
      <c r="P292" s="328">
        <v>0.67239561001739634</v>
      </c>
    </row>
    <row r="293" spans="2:16" ht="18" customHeight="1">
      <c r="B293" s="284"/>
      <c r="C293" s="309" t="s">
        <v>99</v>
      </c>
      <c r="D293" s="310"/>
      <c r="E293" s="287" t="str">
        <f>HYPERLINK("#LAYOUT_e4!lay초YMDA1B10","YMDA1B10")</f>
        <v>YMDA1B10</v>
      </c>
      <c r="F293" s="78">
        <v>1</v>
      </c>
      <c r="G293" s="179" t="s">
        <v>86</v>
      </c>
      <c r="H293" s="230">
        <v>19.109139943735787</v>
      </c>
      <c r="I293" s="327">
        <v>2.5186243725598874</v>
      </c>
      <c r="J293" s="327">
        <v>1.9694625731104379E-2</v>
      </c>
      <c r="K293" s="327">
        <v>0.78195962628151228</v>
      </c>
      <c r="L293" s="230">
        <v>9.9649396456660142</v>
      </c>
      <c r="M293" s="327">
        <v>2.8221318971791676</v>
      </c>
      <c r="N293" s="327">
        <v>0.89932784961086276</v>
      </c>
      <c r="O293" s="327">
        <v>1.8675376995398257E-2</v>
      </c>
      <c r="P293" s="327">
        <v>0.66174713570492694</v>
      </c>
    </row>
    <row r="294" spans="2:16" ht="18" customHeight="1">
      <c r="B294" s="284"/>
      <c r="C294" s="311"/>
      <c r="D294" s="312"/>
      <c r="E294" s="289"/>
      <c r="F294" s="79">
        <v>2</v>
      </c>
      <c r="G294" s="178" t="s">
        <v>87</v>
      </c>
      <c r="H294" s="231">
        <v>24.834092369789371</v>
      </c>
      <c r="I294" s="328"/>
      <c r="J294" s="328"/>
      <c r="K294" s="328"/>
      <c r="L294" s="231">
        <v>21.299302470286875</v>
      </c>
      <c r="M294" s="328">
        <v>2.8221318971791676</v>
      </c>
      <c r="N294" s="328">
        <v>0.89932784961086276</v>
      </c>
      <c r="O294" s="328">
        <v>1.8675376995398257E-2</v>
      </c>
      <c r="P294" s="328">
        <v>0.66174713570492694</v>
      </c>
    </row>
    <row r="295" spans="2:16" ht="18" customHeight="1">
      <c r="B295" s="284"/>
      <c r="C295" s="311"/>
      <c r="D295" s="312"/>
      <c r="E295" s="289"/>
      <c r="F295" s="79">
        <v>3</v>
      </c>
      <c r="G295" s="178" t="s">
        <v>88</v>
      </c>
      <c r="H295" s="231">
        <v>41.141958173223529</v>
      </c>
      <c r="I295" s="328"/>
      <c r="J295" s="328"/>
      <c r="K295" s="328"/>
      <c r="L295" s="231">
        <v>45.293386404511523</v>
      </c>
      <c r="M295" s="328">
        <v>2.8221318971791676</v>
      </c>
      <c r="N295" s="328">
        <v>0.89932784961086276</v>
      </c>
      <c r="O295" s="328">
        <v>1.8675376995398257E-2</v>
      </c>
      <c r="P295" s="328">
        <v>0.66174713570492694</v>
      </c>
    </row>
    <row r="296" spans="2:16" ht="18" customHeight="1">
      <c r="B296" s="284"/>
      <c r="C296" s="311"/>
      <c r="D296" s="312"/>
      <c r="E296" s="289"/>
      <c r="F296" s="79">
        <v>4</v>
      </c>
      <c r="G296" s="178" t="s">
        <v>89</v>
      </c>
      <c r="H296" s="231">
        <v>14.914809513251315</v>
      </c>
      <c r="I296" s="328"/>
      <c r="J296" s="328"/>
      <c r="K296" s="328"/>
      <c r="L296" s="231">
        <v>23.442371479535591</v>
      </c>
      <c r="M296" s="328">
        <v>2.8221318971791676</v>
      </c>
      <c r="N296" s="328">
        <v>0.89932784961086276</v>
      </c>
      <c r="O296" s="328">
        <v>1.8675376995398257E-2</v>
      </c>
      <c r="P296" s="328">
        <v>0.66174713570492694</v>
      </c>
    </row>
    <row r="297" spans="2:16" ht="18" customHeight="1">
      <c r="B297" s="284"/>
      <c r="C297" s="309" t="s">
        <v>100</v>
      </c>
      <c r="D297" s="310"/>
      <c r="E297" s="287" t="str">
        <f>HYPERLINK("#LAYOUT_e4!lay초YMDA1B11","YMDA1B11")</f>
        <v>YMDA1B11</v>
      </c>
      <c r="F297" s="78">
        <v>1</v>
      </c>
      <c r="G297" s="179" t="s">
        <v>86</v>
      </c>
      <c r="H297" s="230">
        <v>54.38768897536125</v>
      </c>
      <c r="I297" s="327">
        <v>1.8065118459404224</v>
      </c>
      <c r="J297" s="327">
        <v>2.082294061545906E-2</v>
      </c>
      <c r="K297" s="327">
        <v>1.1526600648787431</v>
      </c>
      <c r="L297" s="230">
        <v>35.932550309758469</v>
      </c>
      <c r="M297" s="327">
        <v>2.2390882631980276</v>
      </c>
      <c r="N297" s="327">
        <v>1.1116360430981376</v>
      </c>
      <c r="O297" s="327">
        <v>2.3084153565925275E-2</v>
      </c>
      <c r="P297" s="327">
        <v>1.030962197664991</v>
      </c>
    </row>
    <row r="298" spans="2:16" ht="18" customHeight="1">
      <c r="B298" s="284"/>
      <c r="C298" s="311"/>
      <c r="D298" s="312"/>
      <c r="E298" s="289"/>
      <c r="F298" s="79">
        <v>2</v>
      </c>
      <c r="G298" s="178" t="s">
        <v>87</v>
      </c>
      <c r="H298" s="231">
        <v>19.720062690323765</v>
      </c>
      <c r="I298" s="328"/>
      <c r="J298" s="328"/>
      <c r="K298" s="328"/>
      <c r="L298" s="231">
        <v>21.410792999569061</v>
      </c>
      <c r="M298" s="328">
        <v>2.2390882631980276</v>
      </c>
      <c r="N298" s="328">
        <v>1.1116360430981376</v>
      </c>
      <c r="O298" s="328">
        <v>2.3084153565925275E-2</v>
      </c>
      <c r="P298" s="328">
        <v>1.030962197664991</v>
      </c>
    </row>
    <row r="299" spans="2:16" ht="18" customHeight="1">
      <c r="B299" s="284"/>
      <c r="C299" s="311"/>
      <c r="D299" s="312"/>
      <c r="E299" s="289"/>
      <c r="F299" s="79">
        <v>3</v>
      </c>
      <c r="G299" s="178" t="s">
        <v>88</v>
      </c>
      <c r="H299" s="231">
        <v>16.745623099224911</v>
      </c>
      <c r="I299" s="328"/>
      <c r="J299" s="328"/>
      <c r="K299" s="328"/>
      <c r="L299" s="231">
        <v>25.471936751782913</v>
      </c>
      <c r="M299" s="328">
        <v>2.2390882631980276</v>
      </c>
      <c r="N299" s="328">
        <v>1.1116360430981376</v>
      </c>
      <c r="O299" s="328">
        <v>2.3084153565925275E-2</v>
      </c>
      <c r="P299" s="328">
        <v>1.030962197664991</v>
      </c>
    </row>
    <row r="300" spans="2:16" ht="18" customHeight="1">
      <c r="B300" s="284"/>
      <c r="C300" s="311"/>
      <c r="D300" s="312"/>
      <c r="E300" s="289"/>
      <c r="F300" s="79">
        <v>4</v>
      </c>
      <c r="G300" s="178" t="s">
        <v>89</v>
      </c>
      <c r="H300" s="231">
        <v>9.1466252350900632</v>
      </c>
      <c r="I300" s="328"/>
      <c r="J300" s="328"/>
      <c r="K300" s="328"/>
      <c r="L300" s="231">
        <v>17.184719938889561</v>
      </c>
      <c r="M300" s="328">
        <v>2.2390882631980276</v>
      </c>
      <c r="N300" s="328">
        <v>1.1116360430981376</v>
      </c>
      <c r="O300" s="328">
        <v>2.3084153565925275E-2</v>
      </c>
      <c r="P300" s="328">
        <v>1.030962197664991</v>
      </c>
    </row>
    <row r="301" spans="2:16" ht="18" customHeight="1">
      <c r="B301" s="284"/>
      <c r="C301" s="309" t="s">
        <v>1429</v>
      </c>
      <c r="D301" s="310"/>
      <c r="E301" s="287" t="str">
        <f>HYPERLINK("#LAYOUT_e4!lay초YMDA1B12","YMDA1B12")</f>
        <v>YMDA1B12</v>
      </c>
      <c r="F301" s="78">
        <v>1</v>
      </c>
      <c r="G301" s="179" t="s">
        <v>86</v>
      </c>
      <c r="H301" s="230" t="s">
        <v>1804</v>
      </c>
      <c r="I301" s="327" t="s">
        <v>1811</v>
      </c>
      <c r="J301" s="327" t="s">
        <v>1810</v>
      </c>
      <c r="K301" s="327" t="s">
        <v>1811</v>
      </c>
      <c r="L301" s="230">
        <v>25.623170507067503</v>
      </c>
      <c r="M301" s="327">
        <v>2.2902046981051676</v>
      </c>
      <c r="N301" s="327">
        <v>0.96717110296096387</v>
      </c>
      <c r="O301" s="327">
        <v>2.0084205081235564E-2</v>
      </c>
      <c r="P301" s="327">
        <v>0.87696113355511485</v>
      </c>
    </row>
    <row r="302" spans="2:16" ht="18" customHeight="1">
      <c r="B302" s="284"/>
      <c r="C302" s="311"/>
      <c r="D302" s="312"/>
      <c r="E302" s="289"/>
      <c r="F302" s="79">
        <v>2</v>
      </c>
      <c r="G302" s="178" t="s">
        <v>87</v>
      </c>
      <c r="H302" s="231" t="s">
        <v>1805</v>
      </c>
      <c r="I302" s="328"/>
      <c r="J302" s="328"/>
      <c r="K302" s="328"/>
      <c r="L302" s="231">
        <v>30.904787647882124</v>
      </c>
      <c r="M302" s="328">
        <v>2.2902046981051676</v>
      </c>
      <c r="N302" s="328">
        <v>0.96717110296096387</v>
      </c>
      <c r="O302" s="328">
        <v>2.0084205081235564E-2</v>
      </c>
      <c r="P302" s="328">
        <v>0.87696113355511485</v>
      </c>
    </row>
    <row r="303" spans="2:16" ht="18" customHeight="1">
      <c r="B303" s="284"/>
      <c r="C303" s="311"/>
      <c r="D303" s="312"/>
      <c r="E303" s="289"/>
      <c r="F303" s="79">
        <v>3</v>
      </c>
      <c r="G303" s="178" t="s">
        <v>88</v>
      </c>
      <c r="H303" s="231" t="s">
        <v>1805</v>
      </c>
      <c r="I303" s="328"/>
      <c r="J303" s="328"/>
      <c r="K303" s="328"/>
      <c r="L303" s="231">
        <v>32.300443372516902</v>
      </c>
      <c r="M303" s="328">
        <v>2.2902046981051676</v>
      </c>
      <c r="N303" s="328">
        <v>0.96717110296096387</v>
      </c>
      <c r="O303" s="328">
        <v>2.0084205081235564E-2</v>
      </c>
      <c r="P303" s="328">
        <v>0.87696113355511485</v>
      </c>
    </row>
    <row r="304" spans="2:16" ht="18" customHeight="1">
      <c r="B304" s="284"/>
      <c r="C304" s="311"/>
      <c r="D304" s="312"/>
      <c r="E304" s="289"/>
      <c r="F304" s="79">
        <v>4</v>
      </c>
      <c r="G304" s="178" t="s">
        <v>89</v>
      </c>
      <c r="H304" s="231" t="s">
        <v>1807</v>
      </c>
      <c r="I304" s="328"/>
      <c r="J304" s="328"/>
      <c r="K304" s="328"/>
      <c r="L304" s="231">
        <v>11.17159847253347</v>
      </c>
      <c r="M304" s="328">
        <v>2.2902046981051676</v>
      </c>
      <c r="N304" s="328">
        <v>0.96717110296096387</v>
      </c>
      <c r="O304" s="328">
        <v>2.0084205081235564E-2</v>
      </c>
      <c r="P304" s="328">
        <v>0.87696113355511485</v>
      </c>
    </row>
    <row r="305" spans="2:16" ht="18" customHeight="1">
      <c r="B305" s="284"/>
      <c r="C305" s="309" t="s">
        <v>101</v>
      </c>
      <c r="D305" s="310"/>
      <c r="E305" s="287" t="str">
        <f>HYPERLINK("#LAYOUT_e4!lay초YMDA1B13","YMDA1B13")</f>
        <v>YMDA1B13</v>
      </c>
      <c r="F305" s="78">
        <v>1</v>
      </c>
      <c r="G305" s="179" t="s">
        <v>86</v>
      </c>
      <c r="H305" s="230">
        <v>0</v>
      </c>
      <c r="I305" s="331">
        <v>3.1007944919999999</v>
      </c>
      <c r="J305" s="331">
        <v>0.15995990400000001</v>
      </c>
      <c r="K305" s="327">
        <v>5.1586748020000002</v>
      </c>
      <c r="L305" s="230">
        <v>0.16092144833528518</v>
      </c>
      <c r="M305" s="331">
        <v>7.9586621288809241</v>
      </c>
      <c r="N305" s="331">
        <v>0.47742681917331442</v>
      </c>
      <c r="O305" s="331">
        <v>9.914210751544578E-3</v>
      </c>
      <c r="P305" s="327">
        <v>0.1245713235591096</v>
      </c>
    </row>
    <row r="306" spans="2:16" ht="18" customHeight="1">
      <c r="B306" s="284"/>
      <c r="C306" s="311"/>
      <c r="D306" s="312"/>
      <c r="E306" s="290"/>
      <c r="F306" s="79">
        <v>2</v>
      </c>
      <c r="G306" s="178" t="s">
        <v>87</v>
      </c>
      <c r="H306" s="231">
        <v>5.3333357284654118E-2</v>
      </c>
      <c r="I306" s="332"/>
      <c r="J306" s="332"/>
      <c r="K306" s="328"/>
      <c r="L306" s="231">
        <v>0.12197410797813471</v>
      </c>
      <c r="M306" s="332">
        <v>7.9586621288809241</v>
      </c>
      <c r="N306" s="332">
        <v>0.47742681917331442</v>
      </c>
      <c r="O306" s="332">
        <v>9.914210751544578E-3</v>
      </c>
      <c r="P306" s="328">
        <v>0.1245713235591096</v>
      </c>
    </row>
    <row r="307" spans="2:16" ht="18" customHeight="1">
      <c r="B307" s="284"/>
      <c r="C307" s="311"/>
      <c r="D307" s="312"/>
      <c r="E307" s="290"/>
      <c r="F307" s="79">
        <v>3</v>
      </c>
      <c r="G307" s="178" t="s">
        <v>88</v>
      </c>
      <c r="H307" s="231">
        <v>0.33654207808958142</v>
      </c>
      <c r="I307" s="332"/>
      <c r="J307" s="332"/>
      <c r="K307" s="328"/>
      <c r="L307" s="231">
        <v>0.34875530446700104</v>
      </c>
      <c r="M307" s="332">
        <v>7.9586621288809241</v>
      </c>
      <c r="N307" s="332">
        <v>0.47742681917331442</v>
      </c>
      <c r="O307" s="332">
        <v>9.914210751544578E-3</v>
      </c>
      <c r="P307" s="328">
        <v>0.1245713235591096</v>
      </c>
    </row>
    <row r="308" spans="2:16" ht="18" customHeight="1">
      <c r="B308" s="284"/>
      <c r="C308" s="311"/>
      <c r="D308" s="312"/>
      <c r="E308" s="290"/>
      <c r="F308" s="79">
        <v>4</v>
      </c>
      <c r="G308" s="178" t="s">
        <v>89</v>
      </c>
      <c r="H308" s="231">
        <v>0.10301388628788488</v>
      </c>
      <c r="I308" s="332"/>
      <c r="J308" s="332"/>
      <c r="K308" s="328"/>
      <c r="L308" s="231">
        <v>0.13292895083935927</v>
      </c>
      <c r="M308" s="332">
        <v>7.9586621288809241</v>
      </c>
      <c r="N308" s="332">
        <v>0.47742681917331442</v>
      </c>
      <c r="O308" s="332">
        <v>9.914210751544578E-3</v>
      </c>
      <c r="P308" s="328">
        <v>0.1245713235591096</v>
      </c>
    </row>
    <row r="309" spans="2:16" ht="18" customHeight="1">
      <c r="B309" s="284"/>
      <c r="C309" s="313"/>
      <c r="D309" s="314"/>
      <c r="E309" s="291"/>
      <c r="F309" s="82">
        <v>8</v>
      </c>
      <c r="G309" s="180" t="s">
        <v>90</v>
      </c>
      <c r="H309" s="232">
        <v>99.507110678337909</v>
      </c>
      <c r="I309" s="333"/>
      <c r="J309" s="333"/>
      <c r="K309" s="329"/>
      <c r="L309" s="232">
        <v>99.235420188380232</v>
      </c>
      <c r="M309" s="333">
        <v>7.9586621288809241</v>
      </c>
      <c r="N309" s="333">
        <v>0.47742681917331442</v>
      </c>
      <c r="O309" s="333">
        <v>9.914210751544578E-3</v>
      </c>
      <c r="P309" s="329">
        <v>0.1245713235591096</v>
      </c>
    </row>
    <row r="310" spans="2:16" ht="18" customHeight="1">
      <c r="B310" s="286"/>
      <c r="C310" s="318" t="s">
        <v>102</v>
      </c>
      <c r="D310" s="319"/>
      <c r="E310" s="197" t="str">
        <f>HYPERLINK("#LAYOUT_e4!lay초YMDA1B13_T","YMDA1B13_T")</f>
        <v>YMDA1B13_T</v>
      </c>
      <c r="F310" s="78" t="s">
        <v>1</v>
      </c>
      <c r="G310" s="179"/>
      <c r="H310" s="230" t="s">
        <v>1804</v>
      </c>
      <c r="I310" s="237"/>
      <c r="J310" s="237"/>
      <c r="K310" s="237"/>
      <c r="L310" s="230" t="s">
        <v>1</v>
      </c>
      <c r="M310" s="237"/>
      <c r="N310" s="237"/>
      <c r="O310" s="237"/>
      <c r="P310" s="237"/>
    </row>
    <row r="311" spans="2:16" ht="18" customHeight="1">
      <c r="B311" s="282" t="s">
        <v>103</v>
      </c>
      <c r="C311" s="309" t="s">
        <v>104</v>
      </c>
      <c r="D311" s="310"/>
      <c r="E311" s="287" t="str">
        <f>HYPERLINK("#LAYOUT_e4!lay초YMDA1C01","YMDA1C01")</f>
        <v>YMDA1C01</v>
      </c>
      <c r="F311" s="78">
        <v>1</v>
      </c>
      <c r="G311" s="179" t="s">
        <v>105</v>
      </c>
      <c r="H311" s="230">
        <v>53.780099483612759</v>
      </c>
      <c r="I311" s="327">
        <v>1.5499853064832403</v>
      </c>
      <c r="J311" s="327">
        <v>1.3588251407921024E-2</v>
      </c>
      <c r="K311" s="327">
        <v>0.87666969171155518</v>
      </c>
      <c r="L311" s="230">
        <v>45.922834241112966</v>
      </c>
      <c r="M311" s="327">
        <v>1.6836974716905777</v>
      </c>
      <c r="N311" s="327">
        <v>0.72621865086828752</v>
      </c>
      <c r="O311" s="327">
        <v>1.5080603910935488E-2</v>
      </c>
      <c r="P311" s="327">
        <v>0.8956837059209487</v>
      </c>
    </row>
    <row r="312" spans="2:16" ht="18" customHeight="1">
      <c r="B312" s="284"/>
      <c r="C312" s="311"/>
      <c r="D312" s="312"/>
      <c r="E312" s="289"/>
      <c r="F312" s="79">
        <v>2</v>
      </c>
      <c r="G312" s="178" t="s">
        <v>106</v>
      </c>
      <c r="H312" s="231">
        <v>38.425971897074312</v>
      </c>
      <c r="I312" s="328"/>
      <c r="J312" s="328"/>
      <c r="K312" s="328"/>
      <c r="L312" s="231">
        <v>41.231064715507806</v>
      </c>
      <c r="M312" s="328">
        <v>1.6836974716905777</v>
      </c>
      <c r="N312" s="328">
        <v>0.72621865086828752</v>
      </c>
      <c r="O312" s="328">
        <v>1.5080603910935488E-2</v>
      </c>
      <c r="P312" s="328">
        <v>0.8956837059209487</v>
      </c>
    </row>
    <row r="313" spans="2:16" ht="18" customHeight="1">
      <c r="B313" s="284"/>
      <c r="C313" s="311"/>
      <c r="D313" s="312"/>
      <c r="E313" s="289"/>
      <c r="F313" s="79">
        <v>3</v>
      </c>
      <c r="G313" s="178" t="s">
        <v>107</v>
      </c>
      <c r="H313" s="231">
        <v>6.8092271066878887</v>
      </c>
      <c r="I313" s="328"/>
      <c r="J313" s="328"/>
      <c r="K313" s="328"/>
      <c r="L313" s="231">
        <v>11.399620676587357</v>
      </c>
      <c r="M313" s="328">
        <v>1.6836974716905777</v>
      </c>
      <c r="N313" s="328">
        <v>0.72621865086828752</v>
      </c>
      <c r="O313" s="328">
        <v>1.5080603910935488E-2</v>
      </c>
      <c r="P313" s="328">
        <v>0.8956837059209487</v>
      </c>
    </row>
    <row r="314" spans="2:16" ht="18" customHeight="1">
      <c r="B314" s="284"/>
      <c r="C314" s="313"/>
      <c r="D314" s="314"/>
      <c r="E314" s="288"/>
      <c r="F314" s="82">
        <v>4</v>
      </c>
      <c r="G314" s="180" t="s">
        <v>108</v>
      </c>
      <c r="H314" s="232">
        <v>0.9847015126250207</v>
      </c>
      <c r="I314" s="329"/>
      <c r="J314" s="329"/>
      <c r="K314" s="329"/>
      <c r="L314" s="232">
        <v>1.4464803667918851</v>
      </c>
      <c r="M314" s="329">
        <v>1.6836974716905777</v>
      </c>
      <c r="N314" s="329">
        <v>0.72621865086828752</v>
      </c>
      <c r="O314" s="329">
        <v>1.5080603910935488E-2</v>
      </c>
      <c r="P314" s="329">
        <v>0.8956837059209487</v>
      </c>
    </row>
    <row r="315" spans="2:16" ht="18" customHeight="1">
      <c r="B315" s="284"/>
      <c r="C315" s="309" t="s">
        <v>109</v>
      </c>
      <c r="D315" s="310"/>
      <c r="E315" s="287" t="str">
        <f>HYPERLINK("#LAYOUT_e4!lay초YMDA1C02","YMDA1C02")</f>
        <v>YMDA1C02</v>
      </c>
      <c r="F315" s="78">
        <v>1</v>
      </c>
      <c r="G315" s="179" t="s">
        <v>105</v>
      </c>
      <c r="H315" s="230">
        <v>25.696229162801991</v>
      </c>
      <c r="I315" s="327">
        <v>2.2143424547964825</v>
      </c>
      <c r="J315" s="327">
        <v>1.828222885361511E-2</v>
      </c>
      <c r="K315" s="327">
        <v>0.82562788849637991</v>
      </c>
      <c r="L315" s="230">
        <v>19.977294189505812</v>
      </c>
      <c r="M315" s="327">
        <v>2.3105519970725075</v>
      </c>
      <c r="N315" s="327">
        <v>0.85538117881588405</v>
      </c>
      <c r="O315" s="327">
        <v>1.7762783612302182E-2</v>
      </c>
      <c r="P315" s="327">
        <v>0.76876796691040994</v>
      </c>
    </row>
    <row r="316" spans="2:16" ht="18" customHeight="1">
      <c r="B316" s="284"/>
      <c r="C316" s="311"/>
      <c r="D316" s="312"/>
      <c r="E316" s="289"/>
      <c r="F316" s="79">
        <v>2</v>
      </c>
      <c r="G316" s="178" t="s">
        <v>106</v>
      </c>
      <c r="H316" s="231">
        <v>33.132441722058225</v>
      </c>
      <c r="I316" s="328"/>
      <c r="J316" s="328"/>
      <c r="K316" s="328"/>
      <c r="L316" s="231">
        <v>35.143994248402628</v>
      </c>
      <c r="M316" s="328">
        <v>2.3105519970725075</v>
      </c>
      <c r="N316" s="328">
        <v>0.85538117881588405</v>
      </c>
      <c r="O316" s="328">
        <v>1.7762783612302182E-2</v>
      </c>
      <c r="P316" s="328">
        <v>0.76876796691040994</v>
      </c>
    </row>
    <row r="317" spans="2:16" ht="18" customHeight="1">
      <c r="B317" s="284"/>
      <c r="C317" s="311"/>
      <c r="D317" s="312"/>
      <c r="E317" s="289"/>
      <c r="F317" s="79">
        <v>3</v>
      </c>
      <c r="G317" s="178" t="s">
        <v>107</v>
      </c>
      <c r="H317" s="231">
        <v>35.212183587828058</v>
      </c>
      <c r="I317" s="328"/>
      <c r="J317" s="328"/>
      <c r="K317" s="328"/>
      <c r="L317" s="231">
        <v>38.724929227426749</v>
      </c>
      <c r="M317" s="328">
        <v>2.3105519970725075</v>
      </c>
      <c r="N317" s="328">
        <v>0.85538117881588405</v>
      </c>
      <c r="O317" s="328">
        <v>1.7762783612302182E-2</v>
      </c>
      <c r="P317" s="328">
        <v>0.76876796691040994</v>
      </c>
    </row>
    <row r="318" spans="2:16" ht="18" customHeight="1">
      <c r="B318" s="284"/>
      <c r="C318" s="313"/>
      <c r="D318" s="314"/>
      <c r="E318" s="288"/>
      <c r="F318" s="82">
        <v>4</v>
      </c>
      <c r="G318" s="180" t="s">
        <v>108</v>
      </c>
      <c r="H318" s="232">
        <v>5.9591455273117298</v>
      </c>
      <c r="I318" s="329"/>
      <c r="J318" s="329"/>
      <c r="K318" s="329"/>
      <c r="L318" s="232">
        <v>6.1537823346648421</v>
      </c>
      <c r="M318" s="329">
        <v>2.3105519970725075</v>
      </c>
      <c r="N318" s="329">
        <v>0.85538117881588405</v>
      </c>
      <c r="O318" s="329">
        <v>1.7762783612302182E-2</v>
      </c>
      <c r="P318" s="329">
        <v>0.76876796691040994</v>
      </c>
    </row>
    <row r="319" spans="2:16" ht="18" customHeight="1">
      <c r="B319" s="284"/>
      <c r="C319" s="309" t="s">
        <v>110</v>
      </c>
      <c r="D319" s="310"/>
      <c r="E319" s="287" t="str">
        <f>HYPERLINK("#LAYOUT_e4!lay초YMDA1C03","YMDA1C03")</f>
        <v>YMDA1C03</v>
      </c>
      <c r="F319" s="78">
        <v>1</v>
      </c>
      <c r="G319" s="179" t="s">
        <v>105</v>
      </c>
      <c r="H319" s="230">
        <v>30.655811056549101</v>
      </c>
      <c r="I319" s="327">
        <v>2.0985854555207046</v>
      </c>
      <c r="J319" s="327">
        <v>1.8540079859857821E-2</v>
      </c>
      <c r="K319" s="327">
        <v>0.88345603516334448</v>
      </c>
      <c r="L319" s="230">
        <v>23.593903979455444</v>
      </c>
      <c r="M319" s="327">
        <v>2.2161415155235522</v>
      </c>
      <c r="N319" s="327">
        <v>0.86979990105079608</v>
      </c>
      <c r="O319" s="327">
        <v>1.8062201754023739E-2</v>
      </c>
      <c r="P319" s="327">
        <v>0.81502925817246996</v>
      </c>
    </row>
    <row r="320" spans="2:16" ht="18" customHeight="1">
      <c r="B320" s="284"/>
      <c r="C320" s="311"/>
      <c r="D320" s="312"/>
      <c r="E320" s="289"/>
      <c r="F320" s="79">
        <v>2</v>
      </c>
      <c r="G320" s="178" t="s">
        <v>106</v>
      </c>
      <c r="H320" s="231">
        <v>34.944476993324535</v>
      </c>
      <c r="I320" s="328"/>
      <c r="J320" s="328"/>
      <c r="K320" s="328"/>
      <c r="L320" s="231">
        <v>37.221804154449032</v>
      </c>
      <c r="M320" s="328">
        <v>2.2161415155235522</v>
      </c>
      <c r="N320" s="328">
        <v>0.86979990105079608</v>
      </c>
      <c r="O320" s="328">
        <v>1.8062201754023739E-2</v>
      </c>
      <c r="P320" s="328">
        <v>0.81502925817246996</v>
      </c>
    </row>
    <row r="321" spans="2:16" ht="18" customHeight="1">
      <c r="B321" s="284"/>
      <c r="C321" s="311"/>
      <c r="D321" s="312"/>
      <c r="E321" s="289"/>
      <c r="F321" s="79">
        <v>3</v>
      </c>
      <c r="G321" s="178" t="s">
        <v>107</v>
      </c>
      <c r="H321" s="231">
        <v>28.285067291631922</v>
      </c>
      <c r="I321" s="328"/>
      <c r="J321" s="328"/>
      <c r="K321" s="328"/>
      <c r="L321" s="231">
        <v>33.160528200380476</v>
      </c>
      <c r="M321" s="328">
        <v>2.2161415155235522</v>
      </c>
      <c r="N321" s="328">
        <v>0.86979990105079608</v>
      </c>
      <c r="O321" s="328">
        <v>1.8062201754023739E-2</v>
      </c>
      <c r="P321" s="328">
        <v>0.81502925817246996</v>
      </c>
    </row>
    <row r="322" spans="2:16" ht="18" customHeight="1">
      <c r="B322" s="284"/>
      <c r="C322" s="313"/>
      <c r="D322" s="314"/>
      <c r="E322" s="288"/>
      <c r="F322" s="82">
        <v>4</v>
      </c>
      <c r="G322" s="180" t="s">
        <v>108</v>
      </c>
      <c r="H322" s="232">
        <v>6.1146446584944449</v>
      </c>
      <c r="I322" s="329"/>
      <c r="J322" s="329"/>
      <c r="K322" s="329"/>
      <c r="L322" s="232">
        <v>6.0237636657150473</v>
      </c>
      <c r="M322" s="329">
        <v>2.2161415155235522</v>
      </c>
      <c r="N322" s="329">
        <v>0.86979990105079608</v>
      </c>
      <c r="O322" s="329">
        <v>1.8062201754023739E-2</v>
      </c>
      <c r="P322" s="329">
        <v>0.81502925817246996</v>
      </c>
    </row>
    <row r="323" spans="2:16" ht="18" customHeight="1">
      <c r="B323" s="284"/>
      <c r="C323" s="309" t="s">
        <v>111</v>
      </c>
      <c r="D323" s="310"/>
      <c r="E323" s="287" t="str">
        <f>HYPERLINK("#LAYOUT_e4!lay초YMDA1C04","YMDA1C04")</f>
        <v>YMDA1C04</v>
      </c>
      <c r="F323" s="78">
        <v>1</v>
      </c>
      <c r="G323" s="179" t="s">
        <v>105</v>
      </c>
      <c r="H323" s="230">
        <v>45.686712472217955</v>
      </c>
      <c r="I323" s="327">
        <v>1.755636204886087</v>
      </c>
      <c r="J323" s="327">
        <v>1.6652633168573891E-2</v>
      </c>
      <c r="K323" s="327">
        <v>0.94852413741686203</v>
      </c>
      <c r="L323" s="230">
        <v>34.866490051981877</v>
      </c>
      <c r="M323" s="327">
        <v>1.91239883414168</v>
      </c>
      <c r="N323" s="327">
        <v>0.80651592095385061</v>
      </c>
      <c r="O323" s="327">
        <v>1.674805120637737E-2</v>
      </c>
      <c r="P323" s="327">
        <v>0.87576142106854016</v>
      </c>
    </row>
    <row r="324" spans="2:16" ht="18" customHeight="1">
      <c r="B324" s="284"/>
      <c r="C324" s="311"/>
      <c r="D324" s="312"/>
      <c r="E324" s="289"/>
      <c r="F324" s="79">
        <v>2</v>
      </c>
      <c r="G324" s="178" t="s">
        <v>106</v>
      </c>
      <c r="H324" s="231">
        <v>35.829607023059303</v>
      </c>
      <c r="I324" s="328"/>
      <c r="J324" s="328"/>
      <c r="K324" s="328"/>
      <c r="L324" s="231">
        <v>41.672453278724866</v>
      </c>
      <c r="M324" s="328">
        <v>1.91239883414168</v>
      </c>
      <c r="N324" s="328">
        <v>0.80651592095385061</v>
      </c>
      <c r="O324" s="328">
        <v>1.674805120637737E-2</v>
      </c>
      <c r="P324" s="328">
        <v>0.87576142106854016</v>
      </c>
    </row>
    <row r="325" spans="2:16" ht="18" customHeight="1">
      <c r="B325" s="284"/>
      <c r="C325" s="311"/>
      <c r="D325" s="312"/>
      <c r="E325" s="289"/>
      <c r="F325" s="79">
        <v>3</v>
      </c>
      <c r="G325" s="178" t="s">
        <v>107</v>
      </c>
      <c r="H325" s="231">
        <v>15.717028048617101</v>
      </c>
      <c r="I325" s="328"/>
      <c r="J325" s="328"/>
      <c r="K325" s="328"/>
      <c r="L325" s="231">
        <v>20.815739872436765</v>
      </c>
      <c r="M325" s="328">
        <v>1.91239883414168</v>
      </c>
      <c r="N325" s="328">
        <v>0.80651592095385061</v>
      </c>
      <c r="O325" s="328">
        <v>1.674805120637737E-2</v>
      </c>
      <c r="P325" s="328">
        <v>0.87576142106854016</v>
      </c>
    </row>
    <row r="326" spans="2:16" ht="18" customHeight="1">
      <c r="B326" s="284"/>
      <c r="C326" s="313"/>
      <c r="D326" s="314"/>
      <c r="E326" s="288"/>
      <c r="F326" s="82">
        <v>4</v>
      </c>
      <c r="G326" s="180" t="s">
        <v>108</v>
      </c>
      <c r="H326" s="232">
        <v>2.7666524561056542</v>
      </c>
      <c r="I326" s="329"/>
      <c r="J326" s="329"/>
      <c r="K326" s="329"/>
      <c r="L326" s="232">
        <v>2.6453167968564744</v>
      </c>
      <c r="M326" s="329">
        <v>1.91239883414168</v>
      </c>
      <c r="N326" s="329">
        <v>0.80651592095385061</v>
      </c>
      <c r="O326" s="329">
        <v>1.674805120637737E-2</v>
      </c>
      <c r="P326" s="329">
        <v>0.87576142106854016</v>
      </c>
    </row>
    <row r="327" spans="2:16" ht="18" customHeight="1">
      <c r="B327" s="284"/>
      <c r="C327" s="309" t="s">
        <v>112</v>
      </c>
      <c r="D327" s="310"/>
      <c r="E327" s="287" t="str">
        <f>HYPERLINK("#LAYOUT_e4!lay초YMDA1C05","YMDA1C05")</f>
        <v>YMDA1C05</v>
      </c>
      <c r="F327" s="78">
        <v>1</v>
      </c>
      <c r="G327" s="179" t="s">
        <v>105</v>
      </c>
      <c r="H327" s="230">
        <v>16.409533149597063</v>
      </c>
      <c r="I327" s="327">
        <v>2.720795656349988</v>
      </c>
      <c r="J327" s="327">
        <v>2.1438705210199058E-2</v>
      </c>
      <c r="K327" s="327">
        <v>0.78795719774705852</v>
      </c>
      <c r="L327" s="230">
        <v>13.464976746915791</v>
      </c>
      <c r="M327" s="327">
        <v>2.6719873437740556</v>
      </c>
      <c r="N327" s="327">
        <v>0.95180725233547225</v>
      </c>
      <c r="O327" s="327">
        <v>1.9765160471801765E-2</v>
      </c>
      <c r="P327" s="327">
        <v>0.73971759326840214</v>
      </c>
    </row>
    <row r="328" spans="2:16" ht="18" customHeight="1">
      <c r="B328" s="284"/>
      <c r="C328" s="311"/>
      <c r="D328" s="312"/>
      <c r="E328" s="289"/>
      <c r="F328" s="79">
        <v>2</v>
      </c>
      <c r="G328" s="178" t="s">
        <v>106</v>
      </c>
      <c r="H328" s="231">
        <v>23.737578932027535</v>
      </c>
      <c r="I328" s="328"/>
      <c r="J328" s="328"/>
      <c r="K328" s="328"/>
      <c r="L328" s="231">
        <v>26.995055822351954</v>
      </c>
      <c r="M328" s="328">
        <v>2.6719873437740556</v>
      </c>
      <c r="N328" s="328">
        <v>0.95180725233547225</v>
      </c>
      <c r="O328" s="328">
        <v>1.9765160471801765E-2</v>
      </c>
      <c r="P328" s="328">
        <v>0.73971759326840214</v>
      </c>
    </row>
    <row r="329" spans="2:16" ht="18" customHeight="1">
      <c r="B329" s="284"/>
      <c r="C329" s="311"/>
      <c r="D329" s="312"/>
      <c r="E329" s="289"/>
      <c r="F329" s="79">
        <v>3</v>
      </c>
      <c r="G329" s="178" t="s">
        <v>107</v>
      </c>
      <c r="H329" s="231">
        <v>31.216677052152409</v>
      </c>
      <c r="I329" s="328"/>
      <c r="J329" s="328"/>
      <c r="K329" s="328"/>
      <c r="L329" s="231">
        <v>38.416223737143476</v>
      </c>
      <c r="M329" s="328">
        <v>2.6719873437740556</v>
      </c>
      <c r="N329" s="328">
        <v>0.95180725233547225</v>
      </c>
      <c r="O329" s="328">
        <v>1.9765160471801765E-2</v>
      </c>
      <c r="P329" s="328">
        <v>0.73971759326840214</v>
      </c>
    </row>
    <row r="330" spans="2:16" ht="18" customHeight="1">
      <c r="B330" s="284"/>
      <c r="C330" s="313"/>
      <c r="D330" s="314"/>
      <c r="E330" s="288"/>
      <c r="F330" s="82">
        <v>4</v>
      </c>
      <c r="G330" s="180" t="s">
        <v>108</v>
      </c>
      <c r="H330" s="232">
        <v>28.636210866223003</v>
      </c>
      <c r="I330" s="329"/>
      <c r="J330" s="329"/>
      <c r="K330" s="329"/>
      <c r="L330" s="232">
        <v>21.123743693588768</v>
      </c>
      <c r="M330" s="329">
        <v>2.6719873437740556</v>
      </c>
      <c r="N330" s="329">
        <v>0.95180725233547225</v>
      </c>
      <c r="O330" s="329">
        <v>1.9765160471801765E-2</v>
      </c>
      <c r="P330" s="329">
        <v>0.73971759326840214</v>
      </c>
    </row>
    <row r="331" spans="2:16" ht="18" customHeight="1">
      <c r="B331" s="284"/>
      <c r="C331" s="309" t="s">
        <v>113</v>
      </c>
      <c r="D331" s="310"/>
      <c r="E331" s="287" t="str">
        <f>HYPERLINK("#LAYOUT_e4!lay초YMDA1C06","YMDA1C06")</f>
        <v>YMDA1C06</v>
      </c>
      <c r="F331" s="78">
        <v>1</v>
      </c>
      <c r="G331" s="179" t="s">
        <v>105</v>
      </c>
      <c r="H331" s="230">
        <v>69.182371548203889</v>
      </c>
      <c r="I331" s="327">
        <v>1.3877743173871313</v>
      </c>
      <c r="J331" s="327">
        <v>1.3348389735380906E-2</v>
      </c>
      <c r="K331" s="327">
        <v>0.96185594214720282</v>
      </c>
      <c r="L331" s="230">
        <v>53.049733342158355</v>
      </c>
      <c r="M331" s="327">
        <v>1.6190964493012034</v>
      </c>
      <c r="N331" s="327">
        <v>0.764581938074677</v>
      </c>
      <c r="O331" s="327">
        <v>1.5877253154781397E-2</v>
      </c>
      <c r="P331" s="327">
        <v>0.98062429583079913</v>
      </c>
    </row>
    <row r="332" spans="2:16" ht="18" customHeight="1">
      <c r="B332" s="284"/>
      <c r="C332" s="311"/>
      <c r="D332" s="312"/>
      <c r="E332" s="289"/>
      <c r="F332" s="79">
        <v>2</v>
      </c>
      <c r="G332" s="178" t="s">
        <v>106</v>
      </c>
      <c r="H332" s="231">
        <v>24.391475142318207</v>
      </c>
      <c r="I332" s="328"/>
      <c r="J332" s="328"/>
      <c r="K332" s="328"/>
      <c r="L332" s="231">
        <v>34.67188515885482</v>
      </c>
      <c r="M332" s="328">
        <v>1.6190964493012034</v>
      </c>
      <c r="N332" s="328">
        <v>0.764581938074677</v>
      </c>
      <c r="O332" s="328">
        <v>1.5877253154781397E-2</v>
      </c>
      <c r="P332" s="328">
        <v>0.98062429583079913</v>
      </c>
    </row>
    <row r="333" spans="2:16" ht="18" customHeight="1">
      <c r="B333" s="284"/>
      <c r="C333" s="311"/>
      <c r="D333" s="312"/>
      <c r="E333" s="289"/>
      <c r="F333" s="79">
        <v>3</v>
      </c>
      <c r="G333" s="178" t="s">
        <v>107</v>
      </c>
      <c r="H333" s="231">
        <v>4.8925033320377587</v>
      </c>
      <c r="I333" s="328"/>
      <c r="J333" s="328"/>
      <c r="K333" s="328"/>
      <c r="L333" s="231">
        <v>9.5973847256945692</v>
      </c>
      <c r="M333" s="328">
        <v>1.6190964493012034</v>
      </c>
      <c r="N333" s="328">
        <v>0.764581938074677</v>
      </c>
      <c r="O333" s="328">
        <v>1.5877253154781397E-2</v>
      </c>
      <c r="P333" s="328">
        <v>0.98062429583079913</v>
      </c>
    </row>
    <row r="334" spans="2:16" ht="18" customHeight="1">
      <c r="B334" s="284"/>
      <c r="C334" s="313"/>
      <c r="D334" s="314"/>
      <c r="E334" s="288"/>
      <c r="F334" s="82">
        <v>4</v>
      </c>
      <c r="G334" s="180" t="s">
        <v>108</v>
      </c>
      <c r="H334" s="232">
        <v>1.5336499774401524</v>
      </c>
      <c r="I334" s="329"/>
      <c r="J334" s="329"/>
      <c r="K334" s="329"/>
      <c r="L334" s="232">
        <v>2.6809967732922266</v>
      </c>
      <c r="M334" s="329">
        <v>1.6190964493012034</v>
      </c>
      <c r="N334" s="329">
        <v>0.764581938074677</v>
      </c>
      <c r="O334" s="329">
        <v>1.5877253154781397E-2</v>
      </c>
      <c r="P334" s="329">
        <v>0.98062429583079913</v>
      </c>
    </row>
    <row r="335" spans="2:16" ht="18" customHeight="1">
      <c r="B335" s="284"/>
      <c r="C335" s="309" t="s">
        <v>114</v>
      </c>
      <c r="D335" s="310"/>
      <c r="E335" s="287" t="str">
        <f>HYPERLINK("#LAYOUT_e4!lay초YMDA1C07","YMDA1C07")</f>
        <v>YMDA1C07</v>
      </c>
      <c r="F335" s="78">
        <v>1</v>
      </c>
      <c r="G335" s="179" t="s">
        <v>105</v>
      </c>
      <c r="H335" s="230">
        <v>63.412784463363352</v>
      </c>
      <c r="I335" s="327">
        <v>1.4564963999829799</v>
      </c>
      <c r="J335" s="327">
        <v>1.3834549610947107E-2</v>
      </c>
      <c r="K335" s="327">
        <v>0.94985127399619862</v>
      </c>
      <c r="L335" s="230">
        <v>46.991094137174848</v>
      </c>
      <c r="M335" s="327">
        <v>1.685407708531742</v>
      </c>
      <c r="N335" s="327">
        <v>0.75110668179416118</v>
      </c>
      <c r="O335" s="327">
        <v>1.5597426958742736E-2</v>
      </c>
      <c r="P335" s="327">
        <v>0.92543939841894807</v>
      </c>
    </row>
    <row r="336" spans="2:16" ht="18" customHeight="1">
      <c r="B336" s="284"/>
      <c r="C336" s="311"/>
      <c r="D336" s="312"/>
      <c r="E336" s="289"/>
      <c r="F336" s="79">
        <v>2</v>
      </c>
      <c r="G336" s="178" t="s">
        <v>106</v>
      </c>
      <c r="H336" s="231">
        <v>29.005226850270489</v>
      </c>
      <c r="I336" s="328"/>
      <c r="J336" s="328"/>
      <c r="K336" s="328"/>
      <c r="L336" s="231">
        <v>39.566885014141</v>
      </c>
      <c r="M336" s="328">
        <v>1.685407708531742</v>
      </c>
      <c r="N336" s="328">
        <v>0.75110668179416118</v>
      </c>
      <c r="O336" s="328">
        <v>1.5597426958742736E-2</v>
      </c>
      <c r="P336" s="328">
        <v>0.92543939841894807</v>
      </c>
    </row>
    <row r="337" spans="2:16" ht="18" customHeight="1">
      <c r="B337" s="284"/>
      <c r="C337" s="311"/>
      <c r="D337" s="312"/>
      <c r="E337" s="289"/>
      <c r="F337" s="79">
        <v>3</v>
      </c>
      <c r="G337" s="178" t="s">
        <v>107</v>
      </c>
      <c r="H337" s="231">
        <v>6.10155291106964</v>
      </c>
      <c r="I337" s="328"/>
      <c r="J337" s="328"/>
      <c r="K337" s="328"/>
      <c r="L337" s="231">
        <v>11.352176707019209</v>
      </c>
      <c r="M337" s="328">
        <v>1.685407708531742</v>
      </c>
      <c r="N337" s="328">
        <v>0.75110668179416118</v>
      </c>
      <c r="O337" s="328">
        <v>1.5597426958742736E-2</v>
      </c>
      <c r="P337" s="328">
        <v>0.92543939841894807</v>
      </c>
    </row>
    <row r="338" spans="2:16" ht="18" customHeight="1">
      <c r="B338" s="284"/>
      <c r="C338" s="313"/>
      <c r="D338" s="314"/>
      <c r="E338" s="288"/>
      <c r="F338" s="82">
        <v>4</v>
      </c>
      <c r="G338" s="180" t="s">
        <v>108</v>
      </c>
      <c r="H338" s="232">
        <v>1.4804357752965105</v>
      </c>
      <c r="I338" s="329"/>
      <c r="J338" s="329"/>
      <c r="K338" s="329"/>
      <c r="L338" s="232">
        <v>2.0898441416649627</v>
      </c>
      <c r="M338" s="329">
        <v>1.685407708531742</v>
      </c>
      <c r="N338" s="329">
        <v>0.75110668179416118</v>
      </c>
      <c r="O338" s="329">
        <v>1.5597426958742736E-2</v>
      </c>
      <c r="P338" s="329">
        <v>0.92543939841894807</v>
      </c>
    </row>
    <row r="339" spans="2:16" ht="18" customHeight="1">
      <c r="B339" s="284"/>
      <c r="C339" s="309" t="s">
        <v>115</v>
      </c>
      <c r="D339" s="310"/>
      <c r="E339" s="287" t="str">
        <f>HYPERLINK("#LAYOUT_e4!lay초YMDA1C08","YMDA1C08")</f>
        <v>YMDA1C08</v>
      </c>
      <c r="F339" s="78">
        <v>1</v>
      </c>
      <c r="G339" s="179" t="s">
        <v>105</v>
      </c>
      <c r="H339" s="230">
        <v>57.506416578785533</v>
      </c>
      <c r="I339" s="327">
        <v>1.5557762727887732</v>
      </c>
      <c r="J339" s="327">
        <v>1.4959234084886483E-2</v>
      </c>
      <c r="K339" s="327">
        <v>0.96152861735522099</v>
      </c>
      <c r="L339" s="230">
        <v>44.586187970925963</v>
      </c>
      <c r="M339" s="327">
        <v>1.7692991756592238</v>
      </c>
      <c r="N339" s="327">
        <v>0.80194600931179016</v>
      </c>
      <c r="O339" s="327">
        <v>1.6653152752172853E-2</v>
      </c>
      <c r="P339" s="327">
        <v>0.94122876341521278</v>
      </c>
    </row>
    <row r="340" spans="2:16" ht="18" customHeight="1">
      <c r="B340" s="284"/>
      <c r="C340" s="311"/>
      <c r="D340" s="312"/>
      <c r="E340" s="289"/>
      <c r="F340" s="79">
        <v>2</v>
      </c>
      <c r="G340" s="178" t="s">
        <v>106</v>
      </c>
      <c r="H340" s="231">
        <v>30.812109596528249</v>
      </c>
      <c r="I340" s="328"/>
      <c r="J340" s="328"/>
      <c r="K340" s="328"/>
      <c r="L340" s="231">
        <v>35.885688482470059</v>
      </c>
      <c r="M340" s="328">
        <v>1.7692991756592238</v>
      </c>
      <c r="N340" s="328">
        <v>0.80194600931179016</v>
      </c>
      <c r="O340" s="328">
        <v>1.6653152752172853E-2</v>
      </c>
      <c r="P340" s="328">
        <v>0.94122876341521278</v>
      </c>
    </row>
    <row r="341" spans="2:16" ht="18" customHeight="1">
      <c r="B341" s="284"/>
      <c r="C341" s="311"/>
      <c r="D341" s="312"/>
      <c r="E341" s="289"/>
      <c r="F341" s="79">
        <v>3</v>
      </c>
      <c r="G341" s="178" t="s">
        <v>107</v>
      </c>
      <c r="H341" s="231">
        <v>10.278903791708544</v>
      </c>
      <c r="I341" s="328"/>
      <c r="J341" s="328"/>
      <c r="K341" s="328"/>
      <c r="L341" s="231">
        <v>17.540141556359483</v>
      </c>
      <c r="M341" s="328">
        <v>1.7692991756592238</v>
      </c>
      <c r="N341" s="328">
        <v>0.80194600931179016</v>
      </c>
      <c r="O341" s="328">
        <v>1.6653152752172853E-2</v>
      </c>
      <c r="P341" s="328">
        <v>0.94122876341521278</v>
      </c>
    </row>
    <row r="342" spans="2:16" ht="18" customHeight="1">
      <c r="B342" s="284"/>
      <c r="C342" s="313"/>
      <c r="D342" s="314"/>
      <c r="E342" s="288"/>
      <c r="F342" s="82">
        <v>4</v>
      </c>
      <c r="G342" s="180" t="s">
        <v>108</v>
      </c>
      <c r="H342" s="232">
        <v>1.4025700329776554</v>
      </c>
      <c r="I342" s="329"/>
      <c r="J342" s="329"/>
      <c r="K342" s="329"/>
      <c r="L342" s="232">
        <v>1.9879819902445104</v>
      </c>
      <c r="M342" s="329">
        <v>1.7692991756592238</v>
      </c>
      <c r="N342" s="329">
        <v>0.80194600931179016</v>
      </c>
      <c r="O342" s="329">
        <v>1.6653152752172853E-2</v>
      </c>
      <c r="P342" s="329">
        <v>0.94122876341521278</v>
      </c>
    </row>
    <row r="343" spans="2:16" ht="18" customHeight="1">
      <c r="B343" s="284"/>
      <c r="C343" s="309" t="s">
        <v>116</v>
      </c>
      <c r="D343" s="310"/>
      <c r="E343" s="287" t="str">
        <f>HYPERLINK("#LAYOUT_e4!lay초YMDA1C09","YMDA1C09")</f>
        <v>YMDA1C09</v>
      </c>
      <c r="F343" s="78">
        <v>1</v>
      </c>
      <c r="G343" s="179" t="s">
        <v>105</v>
      </c>
      <c r="H343" s="230">
        <v>67.408227700463058</v>
      </c>
      <c r="I343" s="327">
        <v>1.3988136734115602</v>
      </c>
      <c r="J343" s="327">
        <v>1.3056762663907441E-2</v>
      </c>
      <c r="K343" s="327">
        <v>0.93341685973538979</v>
      </c>
      <c r="L343" s="230">
        <v>50.262515710409382</v>
      </c>
      <c r="M343" s="327">
        <v>1.6567247044632418</v>
      </c>
      <c r="N343" s="327">
        <v>0.7564964157722025</v>
      </c>
      <c r="O343" s="327">
        <v>1.5709349784204411E-2</v>
      </c>
      <c r="P343" s="327">
        <v>0.94821727121489641</v>
      </c>
    </row>
    <row r="344" spans="2:16" ht="18" customHeight="1">
      <c r="B344" s="284"/>
      <c r="C344" s="311"/>
      <c r="D344" s="312"/>
      <c r="E344" s="289"/>
      <c r="F344" s="79">
        <v>2</v>
      </c>
      <c r="G344" s="178" t="s">
        <v>106</v>
      </c>
      <c r="H344" s="231">
        <v>26.464954096986673</v>
      </c>
      <c r="I344" s="328"/>
      <c r="J344" s="328"/>
      <c r="K344" s="328"/>
      <c r="L344" s="231">
        <v>35.407637173087245</v>
      </c>
      <c r="M344" s="328">
        <v>1.6567247044632418</v>
      </c>
      <c r="N344" s="328">
        <v>0.7564964157722025</v>
      </c>
      <c r="O344" s="328">
        <v>1.5709349784204411E-2</v>
      </c>
      <c r="P344" s="328">
        <v>0.94821727121489641</v>
      </c>
    </row>
    <row r="345" spans="2:16" ht="18" customHeight="1">
      <c r="B345" s="284"/>
      <c r="C345" s="311"/>
      <c r="D345" s="312"/>
      <c r="E345" s="289"/>
      <c r="F345" s="79">
        <v>3</v>
      </c>
      <c r="G345" s="178" t="s">
        <v>107</v>
      </c>
      <c r="H345" s="231">
        <v>4.9640413634804439</v>
      </c>
      <c r="I345" s="328"/>
      <c r="J345" s="328"/>
      <c r="K345" s="328"/>
      <c r="L345" s="231">
        <v>12.72470807627283</v>
      </c>
      <c r="M345" s="328">
        <v>1.6567247044632418</v>
      </c>
      <c r="N345" s="328">
        <v>0.7564964157722025</v>
      </c>
      <c r="O345" s="328">
        <v>1.5709349784204411E-2</v>
      </c>
      <c r="P345" s="328">
        <v>0.94821727121489641</v>
      </c>
    </row>
    <row r="346" spans="2:16" ht="18" customHeight="1">
      <c r="B346" s="284"/>
      <c r="C346" s="313"/>
      <c r="D346" s="314"/>
      <c r="E346" s="288"/>
      <c r="F346" s="82">
        <v>4</v>
      </c>
      <c r="G346" s="180" t="s">
        <v>108</v>
      </c>
      <c r="H346" s="232">
        <v>1.1627768390698228</v>
      </c>
      <c r="I346" s="329"/>
      <c r="J346" s="329"/>
      <c r="K346" s="329"/>
      <c r="L346" s="232">
        <v>1.605139040230553</v>
      </c>
      <c r="M346" s="329">
        <v>1.6567247044632418</v>
      </c>
      <c r="N346" s="329">
        <v>0.7564964157722025</v>
      </c>
      <c r="O346" s="329">
        <v>1.5709349784204411E-2</v>
      </c>
      <c r="P346" s="329">
        <v>0.94821727121489641</v>
      </c>
    </row>
    <row r="347" spans="2:16" ht="18" customHeight="1">
      <c r="B347" s="284"/>
      <c r="C347" s="309" t="s">
        <v>117</v>
      </c>
      <c r="D347" s="310"/>
      <c r="E347" s="287" t="str">
        <f>HYPERLINK("#LAYOUT_e4!lay초YMDA1C10","YMDA1C10")</f>
        <v>YMDA1C10</v>
      </c>
      <c r="F347" s="78">
        <v>1</v>
      </c>
      <c r="G347" s="179" t="s">
        <v>105</v>
      </c>
      <c r="H347" s="230">
        <v>10.020849151231948</v>
      </c>
      <c r="I347" s="327">
        <v>3.1198261248592645</v>
      </c>
      <c r="J347" s="327">
        <v>1.9890837843674802E-2</v>
      </c>
      <c r="K347" s="327">
        <v>0.63756238481309879</v>
      </c>
      <c r="L347" s="230">
        <v>9.9406024196431826</v>
      </c>
      <c r="M347" s="327">
        <v>2.9389056343671291</v>
      </c>
      <c r="N347" s="327">
        <v>0.93932396194455015</v>
      </c>
      <c r="O347" s="327">
        <v>1.9505933367587897E-2</v>
      </c>
      <c r="P347" s="327">
        <v>0.66371417780443132</v>
      </c>
    </row>
    <row r="348" spans="2:16" ht="18" customHeight="1">
      <c r="B348" s="284"/>
      <c r="C348" s="311"/>
      <c r="D348" s="312"/>
      <c r="E348" s="289"/>
      <c r="F348" s="79">
        <v>2</v>
      </c>
      <c r="G348" s="178" t="s">
        <v>106</v>
      </c>
      <c r="H348" s="231">
        <v>12.101948385070896</v>
      </c>
      <c r="I348" s="328"/>
      <c r="J348" s="328"/>
      <c r="K348" s="328"/>
      <c r="L348" s="231">
        <v>17.840744814454311</v>
      </c>
      <c r="M348" s="328">
        <v>2.9389056343671291</v>
      </c>
      <c r="N348" s="328">
        <v>0.93932396194455015</v>
      </c>
      <c r="O348" s="328">
        <v>1.9505933367587897E-2</v>
      </c>
      <c r="P348" s="328">
        <v>0.66371417780443132</v>
      </c>
    </row>
    <row r="349" spans="2:16" ht="18" customHeight="1">
      <c r="B349" s="284"/>
      <c r="C349" s="311"/>
      <c r="D349" s="312"/>
      <c r="E349" s="289"/>
      <c r="F349" s="79">
        <v>3</v>
      </c>
      <c r="G349" s="178" t="s">
        <v>107</v>
      </c>
      <c r="H349" s="231">
        <v>33.750943290233636</v>
      </c>
      <c r="I349" s="328"/>
      <c r="J349" s="328"/>
      <c r="K349" s="328"/>
      <c r="L349" s="231">
        <v>40.606139675449015</v>
      </c>
      <c r="M349" s="328">
        <v>2.9389056343671291</v>
      </c>
      <c r="N349" s="328">
        <v>0.93932396194455015</v>
      </c>
      <c r="O349" s="328">
        <v>1.9505933367587897E-2</v>
      </c>
      <c r="P349" s="328">
        <v>0.66371417780443132</v>
      </c>
    </row>
    <row r="350" spans="2:16" ht="18" customHeight="1">
      <c r="B350" s="284"/>
      <c r="C350" s="313"/>
      <c r="D350" s="314"/>
      <c r="E350" s="288"/>
      <c r="F350" s="82">
        <v>4</v>
      </c>
      <c r="G350" s="180" t="s">
        <v>108</v>
      </c>
      <c r="H350" s="232">
        <v>44.126259173463517</v>
      </c>
      <c r="I350" s="329"/>
      <c r="J350" s="329"/>
      <c r="K350" s="329"/>
      <c r="L350" s="232">
        <v>31.612513090453497</v>
      </c>
      <c r="M350" s="329">
        <v>2.9389056343671291</v>
      </c>
      <c r="N350" s="329">
        <v>0.93932396194455015</v>
      </c>
      <c r="O350" s="329">
        <v>1.9505933367587897E-2</v>
      </c>
      <c r="P350" s="329">
        <v>0.66371417780443132</v>
      </c>
    </row>
    <row r="351" spans="2:16" ht="18" customHeight="1">
      <c r="B351" s="284"/>
      <c r="C351" s="309" t="s">
        <v>118</v>
      </c>
      <c r="D351" s="310"/>
      <c r="E351" s="287" t="str">
        <f>HYPERLINK("#LAYOUT_e4!lay초YMDA1C11","YMDA1C11")</f>
        <v>YMDA1C11</v>
      </c>
      <c r="F351" s="78">
        <v>1</v>
      </c>
      <c r="G351" s="179" t="s">
        <v>105</v>
      </c>
      <c r="H351" s="230">
        <v>63.941139665052916</v>
      </c>
      <c r="I351" s="327">
        <v>1.43103839996055</v>
      </c>
      <c r="J351" s="327">
        <v>1.3039571942133616E-2</v>
      </c>
      <c r="K351" s="327">
        <v>0.91119650894714488</v>
      </c>
      <c r="L351" s="230">
        <v>50.779984773002866</v>
      </c>
      <c r="M351" s="327">
        <v>1.6315410998109938</v>
      </c>
      <c r="N351" s="327">
        <v>0.73849839921848004</v>
      </c>
      <c r="O351" s="327">
        <v>1.5335604275872132E-2</v>
      </c>
      <c r="P351" s="327">
        <v>0.93994593685986128</v>
      </c>
    </row>
    <row r="352" spans="2:16" ht="18" customHeight="1">
      <c r="B352" s="284"/>
      <c r="C352" s="311"/>
      <c r="D352" s="312"/>
      <c r="E352" s="289"/>
      <c r="F352" s="79">
        <v>2</v>
      </c>
      <c r="G352" s="178" t="s">
        <v>106</v>
      </c>
      <c r="H352" s="231">
        <v>30.093335455174962</v>
      </c>
      <c r="I352" s="328"/>
      <c r="J352" s="328"/>
      <c r="K352" s="328"/>
      <c r="L352" s="231">
        <v>37.174332321359373</v>
      </c>
      <c r="M352" s="328">
        <v>1.6315410998109938</v>
      </c>
      <c r="N352" s="328">
        <v>0.73849839921848004</v>
      </c>
      <c r="O352" s="328">
        <v>1.5335604275872132E-2</v>
      </c>
      <c r="P352" s="328">
        <v>0.93994593685986128</v>
      </c>
    </row>
    <row r="353" spans="2:16" ht="18" customHeight="1">
      <c r="B353" s="284"/>
      <c r="C353" s="311"/>
      <c r="D353" s="312"/>
      <c r="E353" s="289"/>
      <c r="F353" s="79">
        <v>3</v>
      </c>
      <c r="G353" s="178" t="s">
        <v>107</v>
      </c>
      <c r="H353" s="231">
        <v>4.8860700984351197</v>
      </c>
      <c r="I353" s="328"/>
      <c r="J353" s="328"/>
      <c r="K353" s="328"/>
      <c r="L353" s="231">
        <v>10.157271057173118</v>
      </c>
      <c r="M353" s="328">
        <v>1.6315410998109938</v>
      </c>
      <c r="N353" s="328">
        <v>0.73849839921848004</v>
      </c>
      <c r="O353" s="328">
        <v>1.5335604275872132E-2</v>
      </c>
      <c r="P353" s="328">
        <v>0.93994593685986128</v>
      </c>
    </row>
    <row r="354" spans="2:16" ht="18" customHeight="1">
      <c r="B354" s="284"/>
      <c r="C354" s="313"/>
      <c r="D354" s="314"/>
      <c r="E354" s="288"/>
      <c r="F354" s="82">
        <v>4</v>
      </c>
      <c r="G354" s="180" t="s">
        <v>108</v>
      </c>
      <c r="H354" s="232">
        <v>1.0794547813369977</v>
      </c>
      <c r="I354" s="329"/>
      <c r="J354" s="329"/>
      <c r="K354" s="329"/>
      <c r="L354" s="232">
        <v>1.8884118484646335</v>
      </c>
      <c r="M354" s="329">
        <v>1.6315410998109938</v>
      </c>
      <c r="N354" s="329">
        <v>0.73849839921848004</v>
      </c>
      <c r="O354" s="329">
        <v>1.5335604275872132E-2</v>
      </c>
      <c r="P354" s="329">
        <v>0.93994593685986128</v>
      </c>
    </row>
    <row r="355" spans="2:16" ht="18" customHeight="1">
      <c r="B355" s="284"/>
      <c r="C355" s="309" t="s">
        <v>119</v>
      </c>
      <c r="D355" s="310"/>
      <c r="E355" s="287" t="str">
        <f>HYPERLINK("#LAYOUT_e4!lay초YMDA1C12","YMDA1C12")</f>
        <v>YMDA1C12</v>
      </c>
      <c r="F355" s="78">
        <v>1</v>
      </c>
      <c r="G355" s="179" t="s">
        <v>105</v>
      </c>
      <c r="H355" s="230">
        <v>42.599525815716746</v>
      </c>
      <c r="I355" s="327">
        <v>1.8496075736262969</v>
      </c>
      <c r="J355" s="327">
        <v>1.7635369312228932E-2</v>
      </c>
      <c r="K355" s="327">
        <v>0.95346545741340394</v>
      </c>
      <c r="L355" s="230">
        <v>33.985886301217718</v>
      </c>
      <c r="M355" s="327">
        <v>1.9686083520094035</v>
      </c>
      <c r="N355" s="327">
        <v>0.84241217218384279</v>
      </c>
      <c r="O355" s="327">
        <v>1.7493470159800979E-2</v>
      </c>
      <c r="P355" s="327">
        <v>0.88862114914553703</v>
      </c>
    </row>
    <row r="356" spans="2:16" ht="18" customHeight="1">
      <c r="B356" s="284"/>
      <c r="C356" s="311"/>
      <c r="D356" s="312"/>
      <c r="E356" s="289"/>
      <c r="F356" s="79">
        <v>2</v>
      </c>
      <c r="G356" s="178" t="s">
        <v>106</v>
      </c>
      <c r="H356" s="231">
        <v>33.180830072798202</v>
      </c>
      <c r="I356" s="328"/>
      <c r="J356" s="328"/>
      <c r="K356" s="328"/>
      <c r="L356" s="231">
        <v>38.528369991682908</v>
      </c>
      <c r="M356" s="328">
        <v>1.9686083520094035</v>
      </c>
      <c r="N356" s="328">
        <v>0.84241217218384279</v>
      </c>
      <c r="O356" s="328">
        <v>1.7493470159800979E-2</v>
      </c>
      <c r="P356" s="328">
        <v>0.88862114914553703</v>
      </c>
    </row>
    <row r="357" spans="2:16" ht="18" customHeight="1">
      <c r="B357" s="284"/>
      <c r="C357" s="311"/>
      <c r="D357" s="312"/>
      <c r="E357" s="289"/>
      <c r="F357" s="79">
        <v>3</v>
      </c>
      <c r="G357" s="178" t="s">
        <v>107</v>
      </c>
      <c r="H357" s="231">
        <v>20.879005044622073</v>
      </c>
      <c r="I357" s="328"/>
      <c r="J357" s="328"/>
      <c r="K357" s="328"/>
      <c r="L357" s="231">
        <v>24.124765912040619</v>
      </c>
      <c r="M357" s="328">
        <v>1.9686083520094035</v>
      </c>
      <c r="N357" s="328">
        <v>0.84241217218384279</v>
      </c>
      <c r="O357" s="328">
        <v>1.7493470159800979E-2</v>
      </c>
      <c r="P357" s="328">
        <v>0.88862114914553703</v>
      </c>
    </row>
    <row r="358" spans="2:16" ht="18" customHeight="1">
      <c r="B358" s="284"/>
      <c r="C358" s="313"/>
      <c r="D358" s="314"/>
      <c r="E358" s="288"/>
      <c r="F358" s="82">
        <v>4</v>
      </c>
      <c r="G358" s="180" t="s">
        <v>108</v>
      </c>
      <c r="H358" s="232">
        <v>3.3406390668630004</v>
      </c>
      <c r="I358" s="329"/>
      <c r="J358" s="329"/>
      <c r="K358" s="329"/>
      <c r="L358" s="232">
        <v>3.3609777950587301</v>
      </c>
      <c r="M358" s="329">
        <v>1.9686083520094035</v>
      </c>
      <c r="N358" s="329">
        <v>0.84241217218384279</v>
      </c>
      <c r="O358" s="329">
        <v>1.7493470159800979E-2</v>
      </c>
      <c r="P358" s="329">
        <v>0.88862114914553703</v>
      </c>
    </row>
    <row r="359" spans="2:16" ht="18" customHeight="1">
      <c r="B359" s="284"/>
      <c r="C359" s="309" t="s">
        <v>120</v>
      </c>
      <c r="D359" s="310"/>
      <c r="E359" s="287" t="str">
        <f>HYPERLINK("#LAYOUT_e4!lay초YMDA1C13","YMDA1C13")</f>
        <v>YMDA1C13</v>
      </c>
      <c r="F359" s="78">
        <v>1</v>
      </c>
      <c r="G359" s="179" t="s">
        <v>105</v>
      </c>
      <c r="H359" s="230">
        <v>32.958462784052728</v>
      </c>
      <c r="I359" s="327">
        <v>2.037347477018379</v>
      </c>
      <c r="J359" s="327">
        <v>1.8263886833564325E-2</v>
      </c>
      <c r="K359" s="327">
        <v>0.8964541905386314</v>
      </c>
      <c r="L359" s="230">
        <v>27.867620768504402</v>
      </c>
      <c r="M359" s="327">
        <v>2.1195318619033658</v>
      </c>
      <c r="N359" s="327">
        <v>0.86808810102121203</v>
      </c>
      <c r="O359" s="327">
        <v>1.8026654638578523E-2</v>
      </c>
      <c r="P359" s="327">
        <v>0.85050170571110784</v>
      </c>
    </row>
    <row r="360" spans="2:16" ht="18" customHeight="1">
      <c r="B360" s="284"/>
      <c r="C360" s="311"/>
      <c r="D360" s="312"/>
      <c r="E360" s="289"/>
      <c r="F360" s="79">
        <v>2</v>
      </c>
      <c r="G360" s="178" t="s">
        <v>106</v>
      </c>
      <c r="H360" s="231">
        <v>35.5872223131475</v>
      </c>
      <c r="I360" s="328"/>
      <c r="J360" s="328"/>
      <c r="K360" s="328"/>
      <c r="L360" s="231">
        <v>37.120864102775158</v>
      </c>
      <c r="M360" s="328">
        <v>2.1195318619033658</v>
      </c>
      <c r="N360" s="328">
        <v>0.86808810102121203</v>
      </c>
      <c r="O360" s="328">
        <v>1.8026654638578523E-2</v>
      </c>
      <c r="P360" s="328">
        <v>0.85050170571110784</v>
      </c>
    </row>
    <row r="361" spans="2:16" ht="18" customHeight="1">
      <c r="B361" s="284"/>
      <c r="C361" s="311"/>
      <c r="D361" s="312"/>
      <c r="E361" s="289"/>
      <c r="F361" s="79">
        <v>3</v>
      </c>
      <c r="G361" s="178" t="s">
        <v>107</v>
      </c>
      <c r="H361" s="231">
        <v>26.215419319707486</v>
      </c>
      <c r="I361" s="328"/>
      <c r="J361" s="328"/>
      <c r="K361" s="328"/>
      <c r="L361" s="231">
        <v>30.202223298599296</v>
      </c>
      <c r="M361" s="328">
        <v>2.1195318619033658</v>
      </c>
      <c r="N361" s="328">
        <v>0.86808810102121203</v>
      </c>
      <c r="O361" s="328">
        <v>1.8026654638578523E-2</v>
      </c>
      <c r="P361" s="328">
        <v>0.85050170571110784</v>
      </c>
    </row>
    <row r="362" spans="2:16" ht="18" customHeight="1">
      <c r="B362" s="284"/>
      <c r="C362" s="313"/>
      <c r="D362" s="314"/>
      <c r="E362" s="288"/>
      <c r="F362" s="82">
        <v>4</v>
      </c>
      <c r="G362" s="180" t="s">
        <v>108</v>
      </c>
      <c r="H362" s="232">
        <v>5.2388955830922921</v>
      </c>
      <c r="I362" s="329"/>
      <c r="J362" s="329"/>
      <c r="K362" s="329"/>
      <c r="L362" s="232">
        <v>4.8092918301211274</v>
      </c>
      <c r="M362" s="329">
        <v>2.1195318619033658</v>
      </c>
      <c r="N362" s="329">
        <v>0.86808810102121203</v>
      </c>
      <c r="O362" s="329">
        <v>1.8026654638578523E-2</v>
      </c>
      <c r="P362" s="329">
        <v>0.85050170571110784</v>
      </c>
    </row>
    <row r="363" spans="2:16" ht="18" customHeight="1">
      <c r="B363" s="284"/>
      <c r="C363" s="309" t="s">
        <v>121</v>
      </c>
      <c r="D363" s="310"/>
      <c r="E363" s="287" t="str">
        <f>HYPERLINK("#LAYOUT_e4!lay초YMDA1C14","YMDA1C14")</f>
        <v>YMDA1C14</v>
      </c>
      <c r="F363" s="78">
        <v>1</v>
      </c>
      <c r="G363" s="179" t="s">
        <v>105</v>
      </c>
      <c r="H363" s="230">
        <v>34.815401968670074</v>
      </c>
      <c r="I363" s="327">
        <v>1.9825111028241849</v>
      </c>
      <c r="J363" s="327">
        <v>1.7693710477787002E-2</v>
      </c>
      <c r="K363" s="327">
        <v>0.89248985554640503</v>
      </c>
      <c r="L363" s="230">
        <v>24.878487731268436</v>
      </c>
      <c r="M363" s="327">
        <v>2.1538573346365624</v>
      </c>
      <c r="N363" s="327">
        <v>0.83722767422249877</v>
      </c>
      <c r="O363" s="327">
        <v>1.7385809250598776E-2</v>
      </c>
      <c r="P363" s="327">
        <v>0.80719409642479556</v>
      </c>
    </row>
    <row r="364" spans="2:16" ht="18" customHeight="1">
      <c r="B364" s="284"/>
      <c r="C364" s="311"/>
      <c r="D364" s="312"/>
      <c r="E364" s="289"/>
      <c r="F364" s="79">
        <v>2</v>
      </c>
      <c r="G364" s="178" t="s">
        <v>106</v>
      </c>
      <c r="H364" s="231">
        <v>35.729201864144656</v>
      </c>
      <c r="I364" s="328"/>
      <c r="J364" s="328"/>
      <c r="K364" s="328"/>
      <c r="L364" s="231">
        <v>38.759138496848649</v>
      </c>
      <c r="M364" s="328">
        <v>2.1538573346365624</v>
      </c>
      <c r="N364" s="328">
        <v>0.83722767422249877</v>
      </c>
      <c r="O364" s="328">
        <v>1.7385809250598776E-2</v>
      </c>
      <c r="P364" s="328">
        <v>0.80719409642479556</v>
      </c>
    </row>
    <row r="365" spans="2:16" ht="18" customHeight="1">
      <c r="B365" s="284"/>
      <c r="C365" s="311"/>
      <c r="D365" s="312"/>
      <c r="E365" s="289"/>
      <c r="F365" s="79">
        <v>3</v>
      </c>
      <c r="G365" s="178" t="s">
        <v>107</v>
      </c>
      <c r="H365" s="231">
        <v>25.844280083280903</v>
      </c>
      <c r="I365" s="328"/>
      <c r="J365" s="328"/>
      <c r="K365" s="328"/>
      <c r="L365" s="231">
        <v>32.460526348840602</v>
      </c>
      <c r="M365" s="328">
        <v>2.1538573346365624</v>
      </c>
      <c r="N365" s="328">
        <v>0.83722767422249877</v>
      </c>
      <c r="O365" s="328">
        <v>1.7385809250598776E-2</v>
      </c>
      <c r="P365" s="328">
        <v>0.80719409642479556</v>
      </c>
    </row>
    <row r="366" spans="2:16" ht="18" customHeight="1">
      <c r="B366" s="284"/>
      <c r="C366" s="313"/>
      <c r="D366" s="314"/>
      <c r="E366" s="288"/>
      <c r="F366" s="82">
        <v>4</v>
      </c>
      <c r="G366" s="180" t="s">
        <v>108</v>
      </c>
      <c r="H366" s="232">
        <v>3.6111160839043723</v>
      </c>
      <c r="I366" s="329"/>
      <c r="J366" s="329"/>
      <c r="K366" s="329"/>
      <c r="L366" s="232">
        <v>3.901847423042311</v>
      </c>
      <c r="M366" s="329">
        <v>2.1538573346365624</v>
      </c>
      <c r="N366" s="329">
        <v>0.83722767422249877</v>
      </c>
      <c r="O366" s="329">
        <v>1.7385809250598776E-2</v>
      </c>
      <c r="P366" s="329">
        <v>0.80719409642479556</v>
      </c>
    </row>
    <row r="367" spans="2:16" ht="18" customHeight="1">
      <c r="B367" s="284"/>
      <c r="C367" s="309" t="s">
        <v>122</v>
      </c>
      <c r="D367" s="310"/>
      <c r="E367" s="287" t="str">
        <f>HYPERLINK("#LAYOUT_e4!lay초YMDA1C15","YMDA1C15")</f>
        <v>YMDA1C15</v>
      </c>
      <c r="F367" s="78">
        <v>1</v>
      </c>
      <c r="G367" s="179" t="s">
        <v>105</v>
      </c>
      <c r="H367" s="230">
        <v>11.314954183027112</v>
      </c>
      <c r="I367" s="327">
        <v>2.610014912039317</v>
      </c>
      <c r="J367" s="327">
        <v>1.851325875615378E-2</v>
      </c>
      <c r="K367" s="327">
        <v>0.70931620623150327</v>
      </c>
      <c r="L367" s="230">
        <v>9.6957208730069375</v>
      </c>
      <c r="M367" s="327">
        <v>2.5168331232199077</v>
      </c>
      <c r="N367" s="327">
        <v>0.82017871965077227</v>
      </c>
      <c r="O367" s="327">
        <v>1.7031771894653248E-2</v>
      </c>
      <c r="P367" s="327">
        <v>0.67671438910751713</v>
      </c>
    </row>
    <row r="368" spans="2:16" ht="18" customHeight="1">
      <c r="B368" s="284"/>
      <c r="C368" s="311"/>
      <c r="D368" s="312"/>
      <c r="E368" s="289"/>
      <c r="F368" s="79">
        <v>2</v>
      </c>
      <c r="G368" s="178" t="s">
        <v>106</v>
      </c>
      <c r="H368" s="231">
        <v>34.253426188235274</v>
      </c>
      <c r="I368" s="328"/>
      <c r="J368" s="328"/>
      <c r="K368" s="328"/>
      <c r="L368" s="231">
        <v>40.610679150352773</v>
      </c>
      <c r="M368" s="328">
        <v>2.5168331232199077</v>
      </c>
      <c r="N368" s="328">
        <v>0.82017871965077227</v>
      </c>
      <c r="O368" s="328">
        <v>1.7031771894653248E-2</v>
      </c>
      <c r="P368" s="328">
        <v>0.67671438910751713</v>
      </c>
    </row>
    <row r="369" spans="2:16" ht="18" customHeight="1">
      <c r="B369" s="284"/>
      <c r="C369" s="311"/>
      <c r="D369" s="312"/>
      <c r="E369" s="289"/>
      <c r="F369" s="79">
        <v>3</v>
      </c>
      <c r="G369" s="178" t="s">
        <v>107</v>
      </c>
      <c r="H369" s="231">
        <v>36.546793870514371</v>
      </c>
      <c r="I369" s="328"/>
      <c r="J369" s="328"/>
      <c r="K369" s="328"/>
      <c r="L369" s="231">
        <v>38.008166758282712</v>
      </c>
      <c r="M369" s="328">
        <v>2.5168331232199077</v>
      </c>
      <c r="N369" s="328">
        <v>0.82017871965077227</v>
      </c>
      <c r="O369" s="328">
        <v>1.7031771894653248E-2</v>
      </c>
      <c r="P369" s="328">
        <v>0.67671438910751713</v>
      </c>
    </row>
    <row r="370" spans="2:16" ht="18" customHeight="1">
      <c r="B370" s="286"/>
      <c r="C370" s="313"/>
      <c r="D370" s="314"/>
      <c r="E370" s="288"/>
      <c r="F370" s="82">
        <v>4</v>
      </c>
      <c r="G370" s="180" t="s">
        <v>108</v>
      </c>
      <c r="H370" s="232">
        <v>17.88482575822324</v>
      </c>
      <c r="I370" s="329"/>
      <c r="J370" s="329"/>
      <c r="K370" s="329"/>
      <c r="L370" s="232">
        <v>11.685433218357575</v>
      </c>
      <c r="M370" s="329">
        <v>2.5168331232199077</v>
      </c>
      <c r="N370" s="329">
        <v>0.82017871965077227</v>
      </c>
      <c r="O370" s="329">
        <v>1.7031771894653248E-2</v>
      </c>
      <c r="P370" s="329">
        <v>0.67671438910751713</v>
      </c>
    </row>
    <row r="371" spans="2:16" ht="18" customHeight="1">
      <c r="B371" s="315" t="s">
        <v>123</v>
      </c>
      <c r="C371" s="315"/>
      <c r="D371" s="310"/>
      <c r="E371" s="287" t="str">
        <f>HYPERLINK("#LAYOUT_e4!lay초YINT1A00","YINT1A00")</f>
        <v>YINT1A00</v>
      </c>
      <c r="F371" s="78">
        <v>1</v>
      </c>
      <c r="G371" s="179" t="s">
        <v>124</v>
      </c>
      <c r="H371" s="230">
        <v>0.33041913949004365</v>
      </c>
      <c r="I371" s="327">
        <v>3.8848679826740065</v>
      </c>
      <c r="J371" s="331">
        <v>1.5891113349217237E-2</v>
      </c>
      <c r="K371" s="327">
        <v>0.40905156674794302</v>
      </c>
      <c r="L371" s="230">
        <v>0.29412902313378048</v>
      </c>
      <c r="M371" s="327">
        <v>3.9741702726578279</v>
      </c>
      <c r="N371" s="331">
        <v>0.85493065892668441</v>
      </c>
      <c r="O371" s="331">
        <v>1.7318215006714738E-2</v>
      </c>
      <c r="P371" s="327">
        <v>0.43576932588579642</v>
      </c>
    </row>
    <row r="372" spans="2:16" ht="18" customHeight="1">
      <c r="B372" s="316"/>
      <c r="C372" s="316"/>
      <c r="D372" s="312"/>
      <c r="E372" s="289"/>
      <c r="F372" s="79">
        <v>2</v>
      </c>
      <c r="G372" s="178" t="s">
        <v>125</v>
      </c>
      <c r="H372" s="231">
        <v>2.0537276535375928</v>
      </c>
      <c r="I372" s="328"/>
      <c r="J372" s="332"/>
      <c r="K372" s="328"/>
      <c r="L372" s="231">
        <v>2.0483478899374425</v>
      </c>
      <c r="M372" s="328">
        <v>3.9741702726578279</v>
      </c>
      <c r="N372" s="332">
        <v>0.85493065892668441</v>
      </c>
      <c r="O372" s="332">
        <v>1.7318215006714738E-2</v>
      </c>
      <c r="P372" s="328">
        <v>0.43576932588579642</v>
      </c>
    </row>
    <row r="373" spans="2:16" ht="18" customHeight="1">
      <c r="B373" s="316"/>
      <c r="C373" s="316"/>
      <c r="D373" s="312"/>
      <c r="E373" s="289"/>
      <c r="F373" s="79">
        <v>3</v>
      </c>
      <c r="G373" s="178" t="s">
        <v>126</v>
      </c>
      <c r="H373" s="231">
        <v>27.825447735141715</v>
      </c>
      <c r="I373" s="328"/>
      <c r="J373" s="332"/>
      <c r="K373" s="328"/>
      <c r="L373" s="231">
        <v>26.211667824966426</v>
      </c>
      <c r="M373" s="328">
        <v>3.9741702726578279</v>
      </c>
      <c r="N373" s="332">
        <v>0.85493065892668441</v>
      </c>
      <c r="O373" s="332">
        <v>1.7318215006714738E-2</v>
      </c>
      <c r="P373" s="328">
        <v>0.43576932588579642</v>
      </c>
    </row>
    <row r="374" spans="2:16" ht="18" customHeight="1">
      <c r="B374" s="316"/>
      <c r="C374" s="316"/>
      <c r="D374" s="312"/>
      <c r="E374" s="289"/>
      <c r="F374" s="79">
        <v>4</v>
      </c>
      <c r="G374" s="178" t="s">
        <v>127</v>
      </c>
      <c r="H374" s="231">
        <v>43.309788018916997</v>
      </c>
      <c r="I374" s="328"/>
      <c r="J374" s="332"/>
      <c r="K374" s="328"/>
      <c r="L374" s="231">
        <v>46.571762346282</v>
      </c>
      <c r="M374" s="328">
        <v>3.9741702726578279</v>
      </c>
      <c r="N374" s="332">
        <v>0.85493065892668441</v>
      </c>
      <c r="O374" s="332">
        <v>1.7318215006714738E-2</v>
      </c>
      <c r="P374" s="328">
        <v>0.43576932588579642</v>
      </c>
    </row>
    <row r="375" spans="2:16" ht="18" customHeight="1">
      <c r="B375" s="316"/>
      <c r="C375" s="316"/>
      <c r="D375" s="312"/>
      <c r="E375" s="289"/>
      <c r="F375" s="79">
        <v>5</v>
      </c>
      <c r="G375" s="178" t="s">
        <v>128</v>
      </c>
      <c r="H375" s="231">
        <v>21.934376607833695</v>
      </c>
      <c r="I375" s="328"/>
      <c r="J375" s="332"/>
      <c r="K375" s="328"/>
      <c r="L375" s="231">
        <v>21.140407891334924</v>
      </c>
      <c r="M375" s="328">
        <v>3.9741702726578279</v>
      </c>
      <c r="N375" s="332">
        <v>0.85493065892668441</v>
      </c>
      <c r="O375" s="332">
        <v>1.7318215006714738E-2</v>
      </c>
      <c r="P375" s="328">
        <v>0.43576932588579642</v>
      </c>
    </row>
    <row r="376" spans="2:16" ht="18" customHeight="1">
      <c r="B376" s="317"/>
      <c r="C376" s="317"/>
      <c r="D376" s="314"/>
      <c r="E376" s="288"/>
      <c r="F376" s="82">
        <v>6</v>
      </c>
      <c r="G376" s="180" t="s">
        <v>129</v>
      </c>
      <c r="H376" s="232">
        <v>4.5462408450799856</v>
      </c>
      <c r="I376" s="329"/>
      <c r="J376" s="333"/>
      <c r="K376" s="329"/>
      <c r="L376" s="232">
        <v>3.7336850243453914</v>
      </c>
      <c r="M376" s="329">
        <v>3.9741702726578279</v>
      </c>
      <c r="N376" s="333">
        <v>0.85493065892668441</v>
      </c>
      <c r="O376" s="333">
        <v>1.7318215006714738E-2</v>
      </c>
      <c r="P376" s="329">
        <v>0.43576932588579642</v>
      </c>
    </row>
    <row r="377" spans="2:16" ht="18" customHeight="1">
      <c r="B377" s="315" t="s">
        <v>130</v>
      </c>
      <c r="C377" s="315"/>
      <c r="D377" s="310"/>
      <c r="E377" s="287" t="str">
        <f>HYPERLINK("#LAYOUT_e4!lay초YINT1B00","YINT1B00")</f>
        <v>YINT1B00</v>
      </c>
      <c r="F377" s="78">
        <v>1</v>
      </c>
      <c r="G377" s="179" t="s">
        <v>131</v>
      </c>
      <c r="H377" s="230">
        <v>0.48023558783535392</v>
      </c>
      <c r="I377" s="327">
        <v>4.0964105493521057</v>
      </c>
      <c r="J377" s="327">
        <v>1.6742207641201035E-2</v>
      </c>
      <c r="K377" s="327">
        <v>0.40870433857878363</v>
      </c>
      <c r="L377" s="230">
        <v>0.41186136595742195</v>
      </c>
      <c r="M377" s="327">
        <v>4.0562020023657954</v>
      </c>
      <c r="N377" s="327">
        <v>0.87327538161392049</v>
      </c>
      <c r="O377" s="327">
        <v>1.7689821579036012E-2</v>
      </c>
      <c r="P377" s="327">
        <v>0.43611786515361806</v>
      </c>
    </row>
    <row r="378" spans="2:16" ht="18" customHeight="1">
      <c r="B378" s="316"/>
      <c r="C378" s="316"/>
      <c r="D378" s="312"/>
      <c r="E378" s="289"/>
      <c r="F378" s="79">
        <v>2</v>
      </c>
      <c r="G378" s="178" t="s">
        <v>132</v>
      </c>
      <c r="H378" s="231">
        <v>2.8842451544194811</v>
      </c>
      <c r="I378" s="328"/>
      <c r="J378" s="328"/>
      <c r="K378" s="328"/>
      <c r="L378" s="231">
        <v>3.2514283840637326</v>
      </c>
      <c r="M378" s="328">
        <v>4.0562020023657954</v>
      </c>
      <c r="N378" s="328">
        <v>0.87327538161392049</v>
      </c>
      <c r="O378" s="328">
        <v>1.7689821579036012E-2</v>
      </c>
      <c r="P378" s="328">
        <v>0.43611786515361806</v>
      </c>
    </row>
    <row r="379" spans="2:16" ht="18" customHeight="1">
      <c r="B379" s="316"/>
      <c r="C379" s="316"/>
      <c r="D379" s="312"/>
      <c r="E379" s="289"/>
      <c r="F379" s="79">
        <v>3</v>
      </c>
      <c r="G379" s="178" t="s">
        <v>126</v>
      </c>
      <c r="H379" s="231">
        <v>19.237189658650465</v>
      </c>
      <c r="I379" s="328"/>
      <c r="J379" s="328"/>
      <c r="K379" s="328"/>
      <c r="L379" s="231">
        <v>20.541465395152294</v>
      </c>
      <c r="M379" s="328">
        <v>4.0562020023657954</v>
      </c>
      <c r="N379" s="328">
        <v>0.87327538161392049</v>
      </c>
      <c r="O379" s="328">
        <v>1.7689821579036012E-2</v>
      </c>
      <c r="P379" s="328">
        <v>0.43611786515361806</v>
      </c>
    </row>
    <row r="380" spans="2:16" ht="18" customHeight="1">
      <c r="B380" s="316"/>
      <c r="C380" s="316"/>
      <c r="D380" s="312"/>
      <c r="E380" s="289"/>
      <c r="F380" s="79">
        <v>4</v>
      </c>
      <c r="G380" s="178" t="s">
        <v>133</v>
      </c>
      <c r="H380" s="231">
        <v>39.51116752293936</v>
      </c>
      <c r="I380" s="328"/>
      <c r="J380" s="328"/>
      <c r="K380" s="328"/>
      <c r="L380" s="231">
        <v>44.590900866483871</v>
      </c>
      <c r="M380" s="328">
        <v>4.0562020023657954</v>
      </c>
      <c r="N380" s="328">
        <v>0.87327538161392049</v>
      </c>
      <c r="O380" s="328">
        <v>1.7689821579036012E-2</v>
      </c>
      <c r="P380" s="328">
        <v>0.43611786515361806</v>
      </c>
    </row>
    <row r="381" spans="2:16" ht="18" customHeight="1">
      <c r="B381" s="316"/>
      <c r="C381" s="316"/>
      <c r="D381" s="312"/>
      <c r="E381" s="289"/>
      <c r="F381" s="79">
        <v>5</v>
      </c>
      <c r="G381" s="178" t="s">
        <v>134</v>
      </c>
      <c r="H381" s="231">
        <v>35.895416368348442</v>
      </c>
      <c r="I381" s="328"/>
      <c r="J381" s="328"/>
      <c r="K381" s="328"/>
      <c r="L381" s="231">
        <v>28.508581478952795</v>
      </c>
      <c r="M381" s="328">
        <v>4.0562020023657954</v>
      </c>
      <c r="N381" s="328">
        <v>0.87327538161392049</v>
      </c>
      <c r="O381" s="328">
        <v>1.7689821579036012E-2</v>
      </c>
      <c r="P381" s="328">
        <v>0.43611786515361806</v>
      </c>
    </row>
    <row r="382" spans="2:16" ht="18" customHeight="1">
      <c r="B382" s="317"/>
      <c r="C382" s="317"/>
      <c r="D382" s="314"/>
      <c r="E382" s="288"/>
      <c r="F382" s="82">
        <v>6</v>
      </c>
      <c r="G382" s="180" t="s">
        <v>129</v>
      </c>
      <c r="H382" s="232">
        <v>1.9917457078068985</v>
      </c>
      <c r="I382" s="329"/>
      <c r="J382" s="329"/>
      <c r="K382" s="329"/>
      <c r="L382" s="232">
        <v>2.6957625093898718</v>
      </c>
      <c r="M382" s="329">
        <v>4.0562020023657954</v>
      </c>
      <c r="N382" s="329">
        <v>0.87327538161392049</v>
      </c>
      <c r="O382" s="329">
        <v>1.7689821579036012E-2</v>
      </c>
      <c r="P382" s="329">
        <v>0.43611786515361806</v>
      </c>
    </row>
    <row r="383" spans="2:16" ht="18" customHeight="1">
      <c r="B383" s="315" t="s">
        <v>135</v>
      </c>
      <c r="C383" s="315"/>
      <c r="D383" s="310"/>
      <c r="E383" s="287" t="str">
        <f>HYPERLINK("#LAYOUT_e4!lay초YEDU1A00","YEDU1A00")</f>
        <v>YEDU1A00</v>
      </c>
      <c r="F383" s="78">
        <v>1</v>
      </c>
      <c r="G383" s="179" t="s">
        <v>131</v>
      </c>
      <c r="H383" s="230">
        <v>0.51485079969423753</v>
      </c>
      <c r="I383" s="327">
        <v>4.2673761880278116</v>
      </c>
      <c r="J383" s="327">
        <v>1.6351982162337228E-2</v>
      </c>
      <c r="K383" s="327">
        <v>0.3831858603938636</v>
      </c>
      <c r="L383" s="230">
        <v>0.45825279908654004</v>
      </c>
      <c r="M383" s="327">
        <v>4.1612143321784032</v>
      </c>
      <c r="N383" s="327">
        <v>0.84805775980687048</v>
      </c>
      <c r="O383" s="327">
        <v>1.7178991616567732E-2</v>
      </c>
      <c r="P383" s="327">
        <v>0.41283601961388283</v>
      </c>
    </row>
    <row r="384" spans="2:16" ht="18" customHeight="1">
      <c r="B384" s="316"/>
      <c r="C384" s="316"/>
      <c r="D384" s="312"/>
      <c r="E384" s="289"/>
      <c r="F384" s="79">
        <v>2</v>
      </c>
      <c r="G384" s="178" t="s">
        <v>132</v>
      </c>
      <c r="H384" s="231">
        <v>2.1094770283135102</v>
      </c>
      <c r="I384" s="328"/>
      <c r="J384" s="328"/>
      <c r="K384" s="328"/>
      <c r="L384" s="231">
        <v>1.8541008608598304</v>
      </c>
      <c r="M384" s="328">
        <v>4.1612143321784032</v>
      </c>
      <c r="N384" s="328">
        <v>0.84805775980687048</v>
      </c>
      <c r="O384" s="328">
        <v>1.7178991616567732E-2</v>
      </c>
      <c r="P384" s="328">
        <v>0.41283601961388283</v>
      </c>
    </row>
    <row r="385" spans="2:16" ht="18" customHeight="1">
      <c r="B385" s="316"/>
      <c r="C385" s="316"/>
      <c r="D385" s="312"/>
      <c r="E385" s="289"/>
      <c r="F385" s="79">
        <v>3</v>
      </c>
      <c r="G385" s="178" t="s">
        <v>126</v>
      </c>
      <c r="H385" s="231">
        <v>14.735942896542014</v>
      </c>
      <c r="I385" s="328"/>
      <c r="J385" s="328"/>
      <c r="K385" s="328"/>
      <c r="L385" s="231">
        <v>19.193121916986819</v>
      </c>
      <c r="M385" s="328">
        <v>4.1612143321784032</v>
      </c>
      <c r="N385" s="328">
        <v>0.84805775980687048</v>
      </c>
      <c r="O385" s="328">
        <v>1.7178991616567732E-2</v>
      </c>
      <c r="P385" s="328">
        <v>0.41283601961388283</v>
      </c>
    </row>
    <row r="386" spans="2:16" ht="18" customHeight="1">
      <c r="B386" s="316"/>
      <c r="C386" s="316"/>
      <c r="D386" s="312"/>
      <c r="E386" s="289"/>
      <c r="F386" s="79">
        <v>4</v>
      </c>
      <c r="G386" s="178" t="s">
        <v>133</v>
      </c>
      <c r="H386" s="231">
        <v>34.411454010368281</v>
      </c>
      <c r="I386" s="328"/>
      <c r="J386" s="328"/>
      <c r="K386" s="328"/>
      <c r="L386" s="231">
        <v>39.776196622025935</v>
      </c>
      <c r="M386" s="328">
        <v>4.1612143321784032</v>
      </c>
      <c r="N386" s="328">
        <v>0.84805775980687048</v>
      </c>
      <c r="O386" s="328">
        <v>1.7178991616567732E-2</v>
      </c>
      <c r="P386" s="328">
        <v>0.41283601961388283</v>
      </c>
    </row>
    <row r="387" spans="2:16" ht="18" customHeight="1">
      <c r="B387" s="316"/>
      <c r="C387" s="316"/>
      <c r="D387" s="312"/>
      <c r="E387" s="289"/>
      <c r="F387" s="79">
        <v>5</v>
      </c>
      <c r="G387" s="178" t="s">
        <v>134</v>
      </c>
      <c r="H387" s="231">
        <v>46.875320182474688</v>
      </c>
      <c r="I387" s="328"/>
      <c r="J387" s="328"/>
      <c r="K387" s="328"/>
      <c r="L387" s="231">
        <v>37.039140348275829</v>
      </c>
      <c r="M387" s="328">
        <v>4.1612143321784032</v>
      </c>
      <c r="N387" s="328">
        <v>0.84805775980687048</v>
      </c>
      <c r="O387" s="328">
        <v>1.7178991616567732E-2</v>
      </c>
      <c r="P387" s="328">
        <v>0.41283601961388283</v>
      </c>
    </row>
    <row r="388" spans="2:16" ht="18" customHeight="1">
      <c r="B388" s="317"/>
      <c r="C388" s="317"/>
      <c r="D388" s="314"/>
      <c r="E388" s="288"/>
      <c r="F388" s="82">
        <v>6</v>
      </c>
      <c r="G388" s="180" t="s">
        <v>129</v>
      </c>
      <c r="H388" s="232">
        <v>1.3529550826072776</v>
      </c>
      <c r="I388" s="329"/>
      <c r="J388" s="329"/>
      <c r="K388" s="329"/>
      <c r="L388" s="232">
        <v>1.679187452765055</v>
      </c>
      <c r="M388" s="329">
        <v>4.1612143321784032</v>
      </c>
      <c r="N388" s="329">
        <v>0.84805775980687048</v>
      </c>
      <c r="O388" s="329">
        <v>1.7178991616567732E-2</v>
      </c>
      <c r="P388" s="329">
        <v>0.41283601961388283</v>
      </c>
    </row>
    <row r="389" spans="2:16" ht="18" customHeight="1">
      <c r="B389" s="282" t="s">
        <v>136</v>
      </c>
      <c r="C389" s="309" t="s">
        <v>137</v>
      </c>
      <c r="D389" s="310"/>
      <c r="E389" s="287" t="str">
        <f>HYPERLINK("#LAYOUT_e4!lay초YINT2A01","YINT2A01")</f>
        <v>YINT2A01</v>
      </c>
      <c r="F389" s="78">
        <v>1</v>
      </c>
      <c r="G389" s="179" t="s">
        <v>105</v>
      </c>
      <c r="H389" s="230">
        <v>1.9320317105749216</v>
      </c>
      <c r="I389" s="327">
        <v>3.1861126891285325</v>
      </c>
      <c r="J389" s="327">
        <v>1.3686609271267568E-2</v>
      </c>
      <c r="K389" s="327">
        <v>0.42957078442229008</v>
      </c>
      <c r="L389" s="230">
        <v>1.4978909983516524</v>
      </c>
      <c r="M389" s="327">
        <v>3.0846056145583538</v>
      </c>
      <c r="N389" s="327">
        <v>0.68297307457907375</v>
      </c>
      <c r="O389" s="327">
        <v>1.3834893421890654E-2</v>
      </c>
      <c r="P389" s="327">
        <v>0.44851417492707557</v>
      </c>
    </row>
    <row r="390" spans="2:16" ht="18" customHeight="1">
      <c r="B390" s="284"/>
      <c r="C390" s="311"/>
      <c r="D390" s="312"/>
      <c r="E390" s="289"/>
      <c r="F390" s="79">
        <v>2</v>
      </c>
      <c r="G390" s="178" t="s">
        <v>106</v>
      </c>
      <c r="H390" s="231">
        <v>11.038389581349319</v>
      </c>
      <c r="I390" s="328"/>
      <c r="J390" s="328"/>
      <c r="K390" s="328"/>
      <c r="L390" s="231">
        <v>14.946992593967501</v>
      </c>
      <c r="M390" s="328">
        <v>3.0846056145583538</v>
      </c>
      <c r="N390" s="328">
        <v>0.68297307457907375</v>
      </c>
      <c r="O390" s="328">
        <v>1.3834893421890654E-2</v>
      </c>
      <c r="P390" s="328">
        <v>0.44851417492707557</v>
      </c>
    </row>
    <row r="391" spans="2:16" ht="18" customHeight="1">
      <c r="B391" s="284"/>
      <c r="C391" s="311"/>
      <c r="D391" s="312"/>
      <c r="E391" s="289"/>
      <c r="F391" s="79">
        <v>3</v>
      </c>
      <c r="G391" s="178" t="s">
        <v>107</v>
      </c>
      <c r="H391" s="231">
        <v>53.515856792720982</v>
      </c>
      <c r="I391" s="328"/>
      <c r="J391" s="328"/>
      <c r="K391" s="328"/>
      <c r="L391" s="231">
        <v>57.151780361175675</v>
      </c>
      <c r="M391" s="328">
        <v>3.0846056145583538</v>
      </c>
      <c r="N391" s="328">
        <v>0.68297307457907375</v>
      </c>
      <c r="O391" s="328">
        <v>1.3834893421890654E-2</v>
      </c>
      <c r="P391" s="328">
        <v>0.44851417492707557</v>
      </c>
    </row>
    <row r="392" spans="2:16" ht="18" customHeight="1">
      <c r="B392" s="284"/>
      <c r="C392" s="313"/>
      <c r="D392" s="314"/>
      <c r="E392" s="288"/>
      <c r="F392" s="82">
        <v>4</v>
      </c>
      <c r="G392" s="180" t="s">
        <v>108</v>
      </c>
      <c r="H392" s="232">
        <v>33.513721915354793</v>
      </c>
      <c r="I392" s="329"/>
      <c r="J392" s="329"/>
      <c r="K392" s="329"/>
      <c r="L392" s="232">
        <v>26.403336046505171</v>
      </c>
      <c r="M392" s="329">
        <v>3.0846056145583538</v>
      </c>
      <c r="N392" s="329">
        <v>0.68297307457907375</v>
      </c>
      <c r="O392" s="329">
        <v>1.3834893421890654E-2</v>
      </c>
      <c r="P392" s="329">
        <v>0.44851417492707557</v>
      </c>
    </row>
    <row r="393" spans="2:16" ht="18" customHeight="1">
      <c r="B393" s="284"/>
      <c r="C393" s="309" t="s">
        <v>138</v>
      </c>
      <c r="D393" s="310"/>
      <c r="E393" s="287" t="str">
        <f>HYPERLINK("#LAYOUT_e4!lay초YINT2A02","YINT2A02")</f>
        <v>YINT2A02</v>
      </c>
      <c r="F393" s="78">
        <v>1</v>
      </c>
      <c r="G393" s="179" t="s">
        <v>105</v>
      </c>
      <c r="H393" s="230">
        <v>2.9762842611053943</v>
      </c>
      <c r="I393" s="327">
        <v>3.1356080598057701</v>
      </c>
      <c r="J393" s="327">
        <v>1.4245245862069936E-2</v>
      </c>
      <c r="K393" s="327">
        <v>0.45430569096548162</v>
      </c>
      <c r="L393" s="230">
        <v>1.7963080869925356</v>
      </c>
      <c r="M393" s="327">
        <v>3.055567957531566</v>
      </c>
      <c r="N393" s="327">
        <v>0.67826763743030249</v>
      </c>
      <c r="O393" s="327">
        <v>1.3739576016447133E-2</v>
      </c>
      <c r="P393" s="327">
        <v>0.44965702636660126</v>
      </c>
    </row>
    <row r="394" spans="2:16" ht="18" customHeight="1">
      <c r="B394" s="284"/>
      <c r="C394" s="311"/>
      <c r="D394" s="312"/>
      <c r="E394" s="289"/>
      <c r="F394" s="79">
        <v>2</v>
      </c>
      <c r="G394" s="178" t="s">
        <v>106</v>
      </c>
      <c r="H394" s="231">
        <v>11.651613486716915</v>
      </c>
      <c r="I394" s="328"/>
      <c r="J394" s="328"/>
      <c r="K394" s="328"/>
      <c r="L394" s="231">
        <v>14.979978359464756</v>
      </c>
      <c r="M394" s="328">
        <v>3.055567957531566</v>
      </c>
      <c r="N394" s="328">
        <v>0.67826763743030249</v>
      </c>
      <c r="O394" s="328">
        <v>1.3739576016447133E-2</v>
      </c>
      <c r="P394" s="328">
        <v>0.44965702636660126</v>
      </c>
    </row>
    <row r="395" spans="2:16" ht="18" customHeight="1">
      <c r="B395" s="284"/>
      <c r="C395" s="311"/>
      <c r="D395" s="312"/>
      <c r="E395" s="289"/>
      <c r="F395" s="79">
        <v>3</v>
      </c>
      <c r="G395" s="178" t="s">
        <v>107</v>
      </c>
      <c r="H395" s="231">
        <v>54.207114262670324</v>
      </c>
      <c r="I395" s="328"/>
      <c r="J395" s="328"/>
      <c r="K395" s="328"/>
      <c r="L395" s="231">
        <v>59.094323266937501</v>
      </c>
      <c r="M395" s="328">
        <v>3.055567957531566</v>
      </c>
      <c r="N395" s="328">
        <v>0.67826763743030249</v>
      </c>
      <c r="O395" s="328">
        <v>1.3739576016447133E-2</v>
      </c>
      <c r="P395" s="328">
        <v>0.44965702636660126</v>
      </c>
    </row>
    <row r="396" spans="2:16" ht="18" customHeight="1">
      <c r="B396" s="284"/>
      <c r="C396" s="313"/>
      <c r="D396" s="314"/>
      <c r="E396" s="288"/>
      <c r="F396" s="82">
        <v>4</v>
      </c>
      <c r="G396" s="180" t="s">
        <v>108</v>
      </c>
      <c r="H396" s="232">
        <v>31.164987989507352</v>
      </c>
      <c r="I396" s="329"/>
      <c r="J396" s="329"/>
      <c r="K396" s="329"/>
      <c r="L396" s="232">
        <v>24.129390286605201</v>
      </c>
      <c r="M396" s="329">
        <v>3.055567957531566</v>
      </c>
      <c r="N396" s="329">
        <v>0.67826763743030249</v>
      </c>
      <c r="O396" s="329">
        <v>1.3739576016447133E-2</v>
      </c>
      <c r="P396" s="329">
        <v>0.44965702636660126</v>
      </c>
    </row>
    <row r="397" spans="2:16" ht="18" customHeight="1">
      <c r="B397" s="284"/>
      <c r="C397" s="309" t="s">
        <v>139</v>
      </c>
      <c r="D397" s="310"/>
      <c r="E397" s="287" t="str">
        <f>HYPERLINK("#LAYOUT_e4!lay초YINT2A03","YINT2A03")</f>
        <v>YINT2A03</v>
      </c>
      <c r="F397" s="78">
        <v>1</v>
      </c>
      <c r="G397" s="179" t="s">
        <v>105</v>
      </c>
      <c r="H397" s="230">
        <v>3.3827569789854133</v>
      </c>
      <c r="I397" s="327">
        <v>3.0066802435793889</v>
      </c>
      <c r="J397" s="327">
        <v>1.517276528143697E-2</v>
      </c>
      <c r="K397" s="327">
        <v>0.50463514747993665</v>
      </c>
      <c r="L397" s="230">
        <v>3.6951121194769243</v>
      </c>
      <c r="M397" s="327">
        <v>2.91860834204912</v>
      </c>
      <c r="N397" s="327">
        <v>0.76335940070536601</v>
      </c>
      <c r="O397" s="327">
        <v>1.5463268384139374E-2</v>
      </c>
      <c r="P397" s="327">
        <v>0.52981649374999029</v>
      </c>
    </row>
    <row r="398" spans="2:16" ht="18" customHeight="1">
      <c r="B398" s="284"/>
      <c r="C398" s="311"/>
      <c r="D398" s="312"/>
      <c r="E398" s="289"/>
      <c r="F398" s="79">
        <v>2</v>
      </c>
      <c r="G398" s="178" t="s">
        <v>106</v>
      </c>
      <c r="H398" s="231">
        <v>19.516676825798037</v>
      </c>
      <c r="I398" s="328"/>
      <c r="J398" s="328"/>
      <c r="K398" s="328"/>
      <c r="L398" s="231">
        <v>22.439399737119903</v>
      </c>
      <c r="M398" s="328">
        <v>2.91860834204912</v>
      </c>
      <c r="N398" s="328">
        <v>0.76335940070536601</v>
      </c>
      <c r="O398" s="328">
        <v>1.5463268384139374E-2</v>
      </c>
      <c r="P398" s="328">
        <v>0.52981649374999029</v>
      </c>
    </row>
    <row r="399" spans="2:16" ht="18" customHeight="1">
      <c r="B399" s="284"/>
      <c r="C399" s="311"/>
      <c r="D399" s="312"/>
      <c r="E399" s="289"/>
      <c r="F399" s="79">
        <v>3</v>
      </c>
      <c r="G399" s="178" t="s">
        <v>107</v>
      </c>
      <c r="H399" s="231">
        <v>50.150351053505865</v>
      </c>
      <c r="I399" s="328"/>
      <c r="J399" s="328"/>
      <c r="K399" s="328"/>
      <c r="L399" s="231">
        <v>52.175029962417852</v>
      </c>
      <c r="M399" s="328">
        <v>2.91860834204912</v>
      </c>
      <c r="N399" s="328">
        <v>0.76335940070536601</v>
      </c>
      <c r="O399" s="328">
        <v>1.5463268384139374E-2</v>
      </c>
      <c r="P399" s="328">
        <v>0.52981649374999029</v>
      </c>
    </row>
    <row r="400" spans="2:16" ht="18" customHeight="1">
      <c r="B400" s="284"/>
      <c r="C400" s="313"/>
      <c r="D400" s="314"/>
      <c r="E400" s="288"/>
      <c r="F400" s="82">
        <v>4</v>
      </c>
      <c r="G400" s="180" t="s">
        <v>108</v>
      </c>
      <c r="H400" s="232">
        <v>26.950215141710657</v>
      </c>
      <c r="I400" s="329"/>
      <c r="J400" s="329"/>
      <c r="K400" s="329"/>
      <c r="L400" s="232">
        <v>21.690458180985328</v>
      </c>
      <c r="M400" s="329">
        <v>2.91860834204912</v>
      </c>
      <c r="N400" s="329">
        <v>0.76335940070536601</v>
      </c>
      <c r="O400" s="329">
        <v>1.5463268384139374E-2</v>
      </c>
      <c r="P400" s="329">
        <v>0.52981649374999029</v>
      </c>
    </row>
    <row r="401" spans="2:16" ht="18" customHeight="1">
      <c r="B401" s="284"/>
      <c r="C401" s="309" t="s">
        <v>140</v>
      </c>
      <c r="D401" s="310"/>
      <c r="E401" s="287" t="str">
        <f>HYPERLINK("#LAYOUT_e4!lay초YINT2A04","YINT2A04")</f>
        <v>YINT2A04</v>
      </c>
      <c r="F401" s="78">
        <v>1</v>
      </c>
      <c r="G401" s="179" t="s">
        <v>105</v>
      </c>
      <c r="H401" s="230">
        <v>2.921555667728279</v>
      </c>
      <c r="I401" s="327">
        <v>3.0609389478168514</v>
      </c>
      <c r="J401" s="327">
        <v>1.4648868286438563E-2</v>
      </c>
      <c r="K401" s="327">
        <v>0.47857433735770999</v>
      </c>
      <c r="L401" s="230">
        <v>3.3411737391906828</v>
      </c>
      <c r="M401" s="327">
        <v>2.8934743559104965</v>
      </c>
      <c r="N401" s="327">
        <v>0.73372857716429618</v>
      </c>
      <c r="O401" s="327">
        <v>1.4863040789594457E-2</v>
      </c>
      <c r="P401" s="327">
        <v>0.51367452969589111</v>
      </c>
    </row>
    <row r="402" spans="2:16" ht="18" customHeight="1">
      <c r="B402" s="284"/>
      <c r="C402" s="311"/>
      <c r="D402" s="312"/>
      <c r="E402" s="289"/>
      <c r="F402" s="79">
        <v>2</v>
      </c>
      <c r="G402" s="178" t="s">
        <v>106</v>
      </c>
      <c r="H402" s="231">
        <v>16.335054646190489</v>
      </c>
      <c r="I402" s="328"/>
      <c r="J402" s="328"/>
      <c r="K402" s="328"/>
      <c r="L402" s="231">
        <v>22.776982377639236</v>
      </c>
      <c r="M402" s="328">
        <v>2.8934743559104965</v>
      </c>
      <c r="N402" s="328">
        <v>0.73372857716429618</v>
      </c>
      <c r="O402" s="328">
        <v>1.4863040789594457E-2</v>
      </c>
      <c r="P402" s="328">
        <v>0.51367452969589111</v>
      </c>
    </row>
    <row r="403" spans="2:16" ht="18" customHeight="1">
      <c r="B403" s="284"/>
      <c r="C403" s="311"/>
      <c r="D403" s="312"/>
      <c r="E403" s="289"/>
      <c r="F403" s="79">
        <v>3</v>
      </c>
      <c r="G403" s="178" t="s">
        <v>107</v>
      </c>
      <c r="H403" s="231">
        <v>52.471328922746487</v>
      </c>
      <c r="I403" s="328"/>
      <c r="J403" s="328"/>
      <c r="K403" s="328"/>
      <c r="L403" s="231">
        <v>55.075078436100576</v>
      </c>
      <c r="M403" s="328">
        <v>2.8934743559104965</v>
      </c>
      <c r="N403" s="328">
        <v>0.73372857716429618</v>
      </c>
      <c r="O403" s="328">
        <v>1.4863040789594457E-2</v>
      </c>
      <c r="P403" s="328">
        <v>0.51367452969589111</v>
      </c>
    </row>
    <row r="404" spans="2:16" ht="18" customHeight="1">
      <c r="B404" s="284"/>
      <c r="C404" s="313"/>
      <c r="D404" s="314"/>
      <c r="E404" s="288"/>
      <c r="F404" s="82">
        <v>4</v>
      </c>
      <c r="G404" s="180" t="s">
        <v>108</v>
      </c>
      <c r="H404" s="232">
        <v>28.272060763334725</v>
      </c>
      <c r="I404" s="329"/>
      <c r="J404" s="329"/>
      <c r="K404" s="329"/>
      <c r="L404" s="232">
        <v>18.806765447069509</v>
      </c>
      <c r="M404" s="329">
        <v>2.8934743559104965</v>
      </c>
      <c r="N404" s="329">
        <v>0.73372857716429618</v>
      </c>
      <c r="O404" s="329">
        <v>1.4863040789594457E-2</v>
      </c>
      <c r="P404" s="329">
        <v>0.51367452969589111</v>
      </c>
    </row>
    <row r="405" spans="2:16" ht="18" customHeight="1">
      <c r="B405" s="284"/>
      <c r="C405" s="309" t="s">
        <v>141</v>
      </c>
      <c r="D405" s="310"/>
      <c r="E405" s="287" t="str">
        <f>HYPERLINK("#LAYOUT_e4!lay초YINT2A05","YINT2A05")</f>
        <v>YINT2A05</v>
      </c>
      <c r="F405" s="78">
        <v>1</v>
      </c>
      <c r="G405" s="179" t="s">
        <v>105</v>
      </c>
      <c r="H405" s="230">
        <v>7.4395106079275619</v>
      </c>
      <c r="I405" s="327">
        <v>2.5046891348841056</v>
      </c>
      <c r="J405" s="327">
        <v>1.4956570042232541E-2</v>
      </c>
      <c r="K405" s="327">
        <v>0.59714276849468595</v>
      </c>
      <c r="L405" s="230">
        <v>8.9539373804507587</v>
      </c>
      <c r="M405" s="327">
        <v>2.4085068318277529</v>
      </c>
      <c r="N405" s="327">
        <v>0.75299551373651186</v>
      </c>
      <c r="O405" s="327">
        <v>1.5253328524154439E-2</v>
      </c>
      <c r="P405" s="327">
        <v>0.6333105774327028</v>
      </c>
    </row>
    <row r="406" spans="2:16" ht="18" customHeight="1">
      <c r="B406" s="284"/>
      <c r="C406" s="311"/>
      <c r="D406" s="312"/>
      <c r="E406" s="289"/>
      <c r="F406" s="79">
        <v>2</v>
      </c>
      <c r="G406" s="178" t="s">
        <v>106</v>
      </c>
      <c r="H406" s="231">
        <v>43.861632148997707</v>
      </c>
      <c r="I406" s="328"/>
      <c r="J406" s="328"/>
      <c r="K406" s="328"/>
      <c r="L406" s="231">
        <v>48.54453365079506</v>
      </c>
      <c r="M406" s="328">
        <v>2.4085068318277529</v>
      </c>
      <c r="N406" s="328">
        <v>0.75299551373651186</v>
      </c>
      <c r="O406" s="328">
        <v>1.5253328524154439E-2</v>
      </c>
      <c r="P406" s="328">
        <v>0.6333105774327028</v>
      </c>
    </row>
    <row r="407" spans="2:16" ht="18" customHeight="1">
      <c r="B407" s="284"/>
      <c r="C407" s="311"/>
      <c r="D407" s="312"/>
      <c r="E407" s="289"/>
      <c r="F407" s="79">
        <v>3</v>
      </c>
      <c r="G407" s="178" t="s">
        <v>107</v>
      </c>
      <c r="H407" s="231">
        <v>39.489290389808588</v>
      </c>
      <c r="I407" s="328"/>
      <c r="J407" s="328"/>
      <c r="K407" s="328"/>
      <c r="L407" s="231">
        <v>35.198437374282776</v>
      </c>
      <c r="M407" s="328">
        <v>2.4085068318277529</v>
      </c>
      <c r="N407" s="328">
        <v>0.75299551373651186</v>
      </c>
      <c r="O407" s="328">
        <v>1.5253328524154439E-2</v>
      </c>
      <c r="P407" s="328">
        <v>0.6333105774327028</v>
      </c>
    </row>
    <row r="408" spans="2:16" ht="18" customHeight="1">
      <c r="B408" s="284"/>
      <c r="C408" s="313"/>
      <c r="D408" s="314"/>
      <c r="E408" s="288"/>
      <c r="F408" s="82">
        <v>4</v>
      </c>
      <c r="G408" s="180" t="s">
        <v>108</v>
      </c>
      <c r="H408" s="232">
        <v>9.2095668532661428</v>
      </c>
      <c r="I408" s="329"/>
      <c r="J408" s="329"/>
      <c r="K408" s="329"/>
      <c r="L408" s="232">
        <v>7.3030915944714216</v>
      </c>
      <c r="M408" s="329">
        <v>2.4085068318277529</v>
      </c>
      <c r="N408" s="329">
        <v>0.75299551373651186</v>
      </c>
      <c r="O408" s="329">
        <v>1.5253328524154439E-2</v>
      </c>
      <c r="P408" s="329">
        <v>0.6333105774327028</v>
      </c>
    </row>
    <row r="409" spans="2:16" ht="18" customHeight="1">
      <c r="B409" s="284"/>
      <c r="C409" s="309" t="s">
        <v>142</v>
      </c>
      <c r="D409" s="310"/>
      <c r="E409" s="287" t="str">
        <f>HYPERLINK("#LAYOUT_e4!lay초YINT2A06","YINT2A06")</f>
        <v>YINT2A06</v>
      </c>
      <c r="F409" s="78">
        <v>1</v>
      </c>
      <c r="G409" s="179" t="s">
        <v>105</v>
      </c>
      <c r="H409" s="230">
        <v>9.6246658044230173</v>
      </c>
      <c r="I409" s="327">
        <v>2.4252207990714378</v>
      </c>
      <c r="J409" s="327">
        <v>1.5251774748310137E-2</v>
      </c>
      <c r="K409" s="327">
        <v>0.62888190444967695</v>
      </c>
      <c r="L409" s="230">
        <v>11.615059209544848</v>
      </c>
      <c r="M409" s="327">
        <v>2.347815286957867</v>
      </c>
      <c r="N409" s="327">
        <v>0.77416612883957436</v>
      </c>
      <c r="O409" s="327">
        <v>1.5682178817860742E-2</v>
      </c>
      <c r="P409" s="327">
        <v>0.66794772591248397</v>
      </c>
    </row>
    <row r="410" spans="2:16" ht="18" customHeight="1">
      <c r="B410" s="284"/>
      <c r="C410" s="311"/>
      <c r="D410" s="312"/>
      <c r="E410" s="289"/>
      <c r="F410" s="79">
        <v>2</v>
      </c>
      <c r="G410" s="178" t="s">
        <v>106</v>
      </c>
      <c r="H410" s="231">
        <v>46.693466400567182</v>
      </c>
      <c r="I410" s="328"/>
      <c r="J410" s="328"/>
      <c r="K410" s="328"/>
      <c r="L410" s="231">
        <v>48.985666235264226</v>
      </c>
      <c r="M410" s="328">
        <v>2.347815286957867</v>
      </c>
      <c r="N410" s="328">
        <v>0.77416612883957436</v>
      </c>
      <c r="O410" s="328">
        <v>1.5682178817860742E-2</v>
      </c>
      <c r="P410" s="328">
        <v>0.66794772591248397</v>
      </c>
    </row>
    <row r="411" spans="2:16" ht="18" customHeight="1">
      <c r="B411" s="284"/>
      <c r="C411" s="311"/>
      <c r="D411" s="312"/>
      <c r="E411" s="289"/>
      <c r="F411" s="79">
        <v>3</v>
      </c>
      <c r="G411" s="178" t="s">
        <v>107</v>
      </c>
      <c r="H411" s="231">
        <v>35.216989878450256</v>
      </c>
      <c r="I411" s="328"/>
      <c r="J411" s="328"/>
      <c r="K411" s="328"/>
      <c r="L411" s="231">
        <v>32.401961205050966</v>
      </c>
      <c r="M411" s="328">
        <v>2.347815286957867</v>
      </c>
      <c r="N411" s="328">
        <v>0.77416612883957436</v>
      </c>
      <c r="O411" s="328">
        <v>1.5682178817860742E-2</v>
      </c>
      <c r="P411" s="328">
        <v>0.66794772591248397</v>
      </c>
    </row>
    <row r="412" spans="2:16" ht="18" customHeight="1">
      <c r="B412" s="284"/>
      <c r="C412" s="313"/>
      <c r="D412" s="314"/>
      <c r="E412" s="288"/>
      <c r="F412" s="82">
        <v>4</v>
      </c>
      <c r="G412" s="180" t="s">
        <v>108</v>
      </c>
      <c r="H412" s="232">
        <v>8.4648779165595336</v>
      </c>
      <c r="I412" s="329"/>
      <c r="J412" s="329"/>
      <c r="K412" s="329"/>
      <c r="L412" s="232">
        <v>6.9973133501399607</v>
      </c>
      <c r="M412" s="329">
        <v>2.347815286957867</v>
      </c>
      <c r="N412" s="329">
        <v>0.77416612883957436</v>
      </c>
      <c r="O412" s="329">
        <v>1.5682178817860742E-2</v>
      </c>
      <c r="P412" s="329">
        <v>0.66794772591248397</v>
      </c>
    </row>
    <row r="413" spans="2:16" ht="18" customHeight="1">
      <c r="B413" s="284"/>
      <c r="C413" s="309" t="s">
        <v>143</v>
      </c>
      <c r="D413" s="310"/>
      <c r="E413" s="287" t="str">
        <f>HYPERLINK("#LAYOUT_e4!lay초YINT2A07","YINT2A07")</f>
        <v>YINT2A07</v>
      </c>
      <c r="F413" s="78">
        <v>1</v>
      </c>
      <c r="G413" s="179" t="s">
        <v>105</v>
      </c>
      <c r="H413" s="230">
        <v>9.2982462623082522</v>
      </c>
      <c r="I413" s="327">
        <v>2.4829614969349785</v>
      </c>
      <c r="J413" s="327">
        <v>1.5543153337191716E-2</v>
      </c>
      <c r="K413" s="327">
        <v>0.62599252370117398</v>
      </c>
      <c r="L413" s="230">
        <v>10.626258850072036</v>
      </c>
      <c r="M413" s="327">
        <v>2.4175491546296506</v>
      </c>
      <c r="N413" s="327">
        <v>0.78392832337561802</v>
      </c>
      <c r="O413" s="327">
        <v>1.5879930275417356E-2</v>
      </c>
      <c r="P413" s="327">
        <v>0.65686069898545796</v>
      </c>
    </row>
    <row r="414" spans="2:16" ht="18" customHeight="1">
      <c r="B414" s="284"/>
      <c r="C414" s="311"/>
      <c r="D414" s="312"/>
      <c r="E414" s="289"/>
      <c r="F414" s="79">
        <v>2</v>
      </c>
      <c r="G414" s="178" t="s">
        <v>106</v>
      </c>
      <c r="H414" s="231">
        <v>42.802753969857399</v>
      </c>
      <c r="I414" s="328"/>
      <c r="J414" s="328"/>
      <c r="K414" s="328"/>
      <c r="L414" s="231">
        <v>44.920787282180981</v>
      </c>
      <c r="M414" s="328">
        <v>2.4175491546296506</v>
      </c>
      <c r="N414" s="328">
        <v>0.78392832337561802</v>
      </c>
      <c r="O414" s="328">
        <v>1.5879930275417356E-2</v>
      </c>
      <c r="P414" s="328">
        <v>0.65686069898545796</v>
      </c>
    </row>
    <row r="415" spans="2:16" ht="18" customHeight="1">
      <c r="B415" s="284"/>
      <c r="C415" s="311"/>
      <c r="D415" s="312"/>
      <c r="E415" s="289"/>
      <c r="F415" s="79">
        <v>3</v>
      </c>
      <c r="G415" s="178" t="s">
        <v>107</v>
      </c>
      <c r="H415" s="231">
        <v>38.203603579859688</v>
      </c>
      <c r="I415" s="328"/>
      <c r="J415" s="328"/>
      <c r="K415" s="328"/>
      <c r="L415" s="231">
        <v>36.524733422456968</v>
      </c>
      <c r="M415" s="328">
        <v>2.4175491546296506</v>
      </c>
      <c r="N415" s="328">
        <v>0.78392832337561802</v>
      </c>
      <c r="O415" s="328">
        <v>1.5879930275417356E-2</v>
      </c>
      <c r="P415" s="328">
        <v>0.65686069898545796</v>
      </c>
    </row>
    <row r="416" spans="2:16" ht="18" customHeight="1">
      <c r="B416" s="284"/>
      <c r="C416" s="313"/>
      <c r="D416" s="314"/>
      <c r="E416" s="288"/>
      <c r="F416" s="82">
        <v>4</v>
      </c>
      <c r="G416" s="180" t="s">
        <v>108</v>
      </c>
      <c r="H416" s="232">
        <v>9.6953961879746586</v>
      </c>
      <c r="I416" s="329"/>
      <c r="J416" s="329"/>
      <c r="K416" s="329"/>
      <c r="L416" s="232">
        <v>7.9282204452900018</v>
      </c>
      <c r="M416" s="329">
        <v>2.4175491546296506</v>
      </c>
      <c r="N416" s="329">
        <v>0.78392832337561802</v>
      </c>
      <c r="O416" s="329">
        <v>1.5879930275417356E-2</v>
      </c>
      <c r="P416" s="329">
        <v>0.65686069898545796</v>
      </c>
    </row>
    <row r="417" spans="2:16" ht="18" customHeight="1">
      <c r="B417" s="284"/>
      <c r="C417" s="309" t="s">
        <v>144</v>
      </c>
      <c r="D417" s="310"/>
      <c r="E417" s="287" t="str">
        <f>HYPERLINK("#LAYOUT_e4!lay초YINT2A08","YINT2A08")</f>
        <v>YINT2A08</v>
      </c>
      <c r="F417" s="78">
        <v>1</v>
      </c>
      <c r="G417" s="179" t="s">
        <v>105</v>
      </c>
      <c r="H417" s="230">
        <v>10.115231210243712</v>
      </c>
      <c r="I417" s="327">
        <v>2.5011946836169923</v>
      </c>
      <c r="J417" s="327">
        <v>1.6364853388716964E-2</v>
      </c>
      <c r="K417" s="327">
        <v>0.65428147180657104</v>
      </c>
      <c r="L417" s="230">
        <v>13.500627170137648</v>
      </c>
      <c r="M417" s="327">
        <v>2.3525384264287128</v>
      </c>
      <c r="N417" s="327">
        <v>0.80468368125575052</v>
      </c>
      <c r="O417" s="327">
        <v>1.630036875958717E-2</v>
      </c>
      <c r="P417" s="327">
        <v>0.69288427242959283</v>
      </c>
    </row>
    <row r="418" spans="2:16" ht="18" customHeight="1">
      <c r="B418" s="284"/>
      <c r="C418" s="311"/>
      <c r="D418" s="312"/>
      <c r="E418" s="289"/>
      <c r="F418" s="79">
        <v>2</v>
      </c>
      <c r="G418" s="178" t="s">
        <v>106</v>
      </c>
      <c r="H418" s="231">
        <v>41.930347335390039</v>
      </c>
      <c r="I418" s="328"/>
      <c r="J418" s="328"/>
      <c r="K418" s="328"/>
      <c r="L418" s="231">
        <v>45.194027873602444</v>
      </c>
      <c r="M418" s="328">
        <v>2.3525384264287128</v>
      </c>
      <c r="N418" s="328">
        <v>0.80468368125575052</v>
      </c>
      <c r="O418" s="328">
        <v>1.630036875958717E-2</v>
      </c>
      <c r="P418" s="328">
        <v>0.69288427242959283</v>
      </c>
    </row>
    <row r="419" spans="2:16" ht="18" customHeight="1">
      <c r="B419" s="284"/>
      <c r="C419" s="311"/>
      <c r="D419" s="312"/>
      <c r="E419" s="289"/>
      <c r="F419" s="79">
        <v>3</v>
      </c>
      <c r="G419" s="178" t="s">
        <v>107</v>
      </c>
      <c r="H419" s="231">
        <v>35.674143336786493</v>
      </c>
      <c r="I419" s="328"/>
      <c r="J419" s="328"/>
      <c r="K419" s="328"/>
      <c r="L419" s="231">
        <v>33.856220099511141</v>
      </c>
      <c r="M419" s="328">
        <v>2.3525384264287128</v>
      </c>
      <c r="N419" s="328">
        <v>0.80468368125575052</v>
      </c>
      <c r="O419" s="328">
        <v>1.630036875958717E-2</v>
      </c>
      <c r="P419" s="328">
        <v>0.69288427242959283</v>
      </c>
    </row>
    <row r="420" spans="2:16" ht="18" customHeight="1">
      <c r="B420" s="284"/>
      <c r="C420" s="313"/>
      <c r="D420" s="314"/>
      <c r="E420" s="288"/>
      <c r="F420" s="82">
        <v>4</v>
      </c>
      <c r="G420" s="180" t="s">
        <v>108</v>
      </c>
      <c r="H420" s="232">
        <v>12.280278117579781</v>
      </c>
      <c r="I420" s="329"/>
      <c r="J420" s="329"/>
      <c r="K420" s="329"/>
      <c r="L420" s="232">
        <v>7.4491248567487505</v>
      </c>
      <c r="M420" s="329">
        <v>2.3525384264287128</v>
      </c>
      <c r="N420" s="329">
        <v>0.80468368125575052</v>
      </c>
      <c r="O420" s="329">
        <v>1.630036875958717E-2</v>
      </c>
      <c r="P420" s="329">
        <v>0.69288427242959283</v>
      </c>
    </row>
    <row r="421" spans="2:16" ht="18" customHeight="1">
      <c r="B421" s="284"/>
      <c r="C421" s="309" t="s">
        <v>145</v>
      </c>
      <c r="D421" s="310"/>
      <c r="E421" s="287" t="str">
        <f>HYPERLINK("#LAYOUT_e4!lay초YINT2A09","YINT2A09")</f>
        <v>YINT2A09</v>
      </c>
      <c r="F421" s="78">
        <v>1</v>
      </c>
      <c r="G421" s="179" t="s">
        <v>105</v>
      </c>
      <c r="H421" s="230">
        <v>4.1722471588603138</v>
      </c>
      <c r="I421" s="327">
        <v>2.8656240166540776</v>
      </c>
      <c r="J421" s="327">
        <v>1.4137542157940254E-2</v>
      </c>
      <c r="K421" s="327">
        <v>0.49334951395498661</v>
      </c>
      <c r="L421" s="230">
        <v>3.543639173614574</v>
      </c>
      <c r="M421" s="327">
        <v>2.8127958282608323</v>
      </c>
      <c r="N421" s="327">
        <v>0.69184291039298063</v>
      </c>
      <c r="O421" s="327">
        <v>1.401456848921406E-2</v>
      </c>
      <c r="P421" s="327">
        <v>0.49824336158374316</v>
      </c>
    </row>
    <row r="422" spans="2:16" ht="18" customHeight="1">
      <c r="B422" s="284"/>
      <c r="C422" s="311"/>
      <c r="D422" s="312"/>
      <c r="E422" s="289"/>
      <c r="F422" s="79">
        <v>2</v>
      </c>
      <c r="G422" s="178" t="s">
        <v>106</v>
      </c>
      <c r="H422" s="231">
        <v>21.147976739982703</v>
      </c>
      <c r="I422" s="328"/>
      <c r="J422" s="328"/>
      <c r="K422" s="328"/>
      <c r="L422" s="231">
        <v>24.404071388497467</v>
      </c>
      <c r="M422" s="328">
        <v>2.8127958282608323</v>
      </c>
      <c r="N422" s="328">
        <v>0.69184291039298063</v>
      </c>
      <c r="O422" s="328">
        <v>1.401456848921406E-2</v>
      </c>
      <c r="P422" s="328">
        <v>0.49824336158374316</v>
      </c>
    </row>
    <row r="423" spans="2:16" ht="18" customHeight="1">
      <c r="B423" s="284"/>
      <c r="C423" s="311"/>
      <c r="D423" s="312"/>
      <c r="E423" s="289"/>
      <c r="F423" s="79">
        <v>3</v>
      </c>
      <c r="G423" s="178" t="s">
        <v>107</v>
      </c>
      <c r="H423" s="231">
        <v>58.624903378043214</v>
      </c>
      <c r="I423" s="328"/>
      <c r="J423" s="328"/>
      <c r="K423" s="328"/>
      <c r="L423" s="231">
        <v>59.281356876078988</v>
      </c>
      <c r="M423" s="328">
        <v>2.8127958282608323</v>
      </c>
      <c r="N423" s="328">
        <v>0.69184291039298063</v>
      </c>
      <c r="O423" s="328">
        <v>1.401456848921406E-2</v>
      </c>
      <c r="P423" s="328">
        <v>0.49824336158374316</v>
      </c>
    </row>
    <row r="424" spans="2:16" ht="18" customHeight="1">
      <c r="B424" s="284"/>
      <c r="C424" s="313"/>
      <c r="D424" s="314"/>
      <c r="E424" s="288"/>
      <c r="F424" s="82">
        <v>4</v>
      </c>
      <c r="G424" s="180" t="s">
        <v>108</v>
      </c>
      <c r="H424" s="232">
        <v>16.054872723113746</v>
      </c>
      <c r="I424" s="329"/>
      <c r="J424" s="329"/>
      <c r="K424" s="329"/>
      <c r="L424" s="232">
        <v>12.770932561808978</v>
      </c>
      <c r="M424" s="329">
        <v>2.8127958282608323</v>
      </c>
      <c r="N424" s="329">
        <v>0.69184291039298063</v>
      </c>
      <c r="O424" s="329">
        <v>1.401456848921406E-2</v>
      </c>
      <c r="P424" s="329">
        <v>0.49824336158374316</v>
      </c>
    </row>
    <row r="425" spans="2:16" ht="18" customHeight="1">
      <c r="B425" s="284"/>
      <c r="C425" s="309" t="s">
        <v>146</v>
      </c>
      <c r="D425" s="310"/>
      <c r="E425" s="287" t="str">
        <f>HYPERLINK("#LAYOUT_e4!lay초YINT2A10","YINT2A10")</f>
        <v>YINT2A10</v>
      </c>
      <c r="F425" s="78">
        <v>1</v>
      </c>
      <c r="G425" s="179" t="s">
        <v>105</v>
      </c>
      <c r="H425" s="230">
        <v>7.0353901896226319</v>
      </c>
      <c r="I425" s="327">
        <v>2.6278348257156998</v>
      </c>
      <c r="J425" s="327">
        <v>1.5400477565541424E-2</v>
      </c>
      <c r="K425" s="327">
        <v>0.58605196243059354</v>
      </c>
      <c r="L425" s="230">
        <v>7.7056444115215692</v>
      </c>
      <c r="M425" s="327">
        <v>2.5539950151087623</v>
      </c>
      <c r="N425" s="327">
        <v>0.78186617227077004</v>
      </c>
      <c r="O425" s="327">
        <v>1.5838157558721325E-2</v>
      </c>
      <c r="P425" s="327">
        <v>0.6201326731268838</v>
      </c>
    </row>
    <row r="426" spans="2:16" ht="18" customHeight="1">
      <c r="B426" s="284"/>
      <c r="C426" s="311"/>
      <c r="D426" s="312"/>
      <c r="E426" s="289"/>
      <c r="F426" s="79">
        <v>2</v>
      </c>
      <c r="G426" s="178" t="s">
        <v>106</v>
      </c>
      <c r="H426" s="231">
        <v>35.331298607699097</v>
      </c>
      <c r="I426" s="328"/>
      <c r="J426" s="328"/>
      <c r="K426" s="328"/>
      <c r="L426" s="231">
        <v>39.68253154271401</v>
      </c>
      <c r="M426" s="328">
        <v>2.5539950151087623</v>
      </c>
      <c r="N426" s="328">
        <v>0.78186617227077004</v>
      </c>
      <c r="O426" s="328">
        <v>1.5838157558721325E-2</v>
      </c>
      <c r="P426" s="328">
        <v>0.6201326731268838</v>
      </c>
    </row>
    <row r="427" spans="2:16" ht="18" customHeight="1">
      <c r="B427" s="284"/>
      <c r="C427" s="311"/>
      <c r="D427" s="312"/>
      <c r="E427" s="289"/>
      <c r="F427" s="79">
        <v>3</v>
      </c>
      <c r="G427" s="178" t="s">
        <v>107</v>
      </c>
      <c r="H427" s="231">
        <v>45.44774964416164</v>
      </c>
      <c r="I427" s="328"/>
      <c r="J427" s="328"/>
      <c r="K427" s="328"/>
      <c r="L427" s="231">
        <v>42.118502169131773</v>
      </c>
      <c r="M427" s="328">
        <v>2.5539950151087623</v>
      </c>
      <c r="N427" s="328">
        <v>0.78186617227077004</v>
      </c>
      <c r="O427" s="328">
        <v>1.5838157558721325E-2</v>
      </c>
      <c r="P427" s="328">
        <v>0.6201326731268838</v>
      </c>
    </row>
    <row r="428" spans="2:16" ht="18" customHeight="1">
      <c r="B428" s="284"/>
      <c r="C428" s="313"/>
      <c r="D428" s="314"/>
      <c r="E428" s="288"/>
      <c r="F428" s="82">
        <v>4</v>
      </c>
      <c r="G428" s="180" t="s">
        <v>108</v>
      </c>
      <c r="H428" s="232">
        <v>12.185561558516611</v>
      </c>
      <c r="I428" s="329"/>
      <c r="J428" s="329"/>
      <c r="K428" s="329"/>
      <c r="L428" s="232">
        <v>10.493321876632628</v>
      </c>
      <c r="M428" s="329">
        <v>2.5539950151087623</v>
      </c>
      <c r="N428" s="329">
        <v>0.78186617227077004</v>
      </c>
      <c r="O428" s="329">
        <v>1.5838157558721325E-2</v>
      </c>
      <c r="P428" s="329">
        <v>0.6201326731268838</v>
      </c>
    </row>
    <row r="429" spans="2:16" ht="18" customHeight="1">
      <c r="B429" s="284"/>
      <c r="C429" s="309" t="s">
        <v>147</v>
      </c>
      <c r="D429" s="310"/>
      <c r="E429" s="287" t="str">
        <f>HYPERLINK("#LAYOUT_e4!lay초YINT2A11","YINT2A11")</f>
        <v>YINT2A11</v>
      </c>
      <c r="F429" s="78">
        <v>1</v>
      </c>
      <c r="G429" s="179" t="s">
        <v>105</v>
      </c>
      <c r="H429" s="230">
        <v>6.1474765206039281</v>
      </c>
      <c r="I429" s="327">
        <v>2.8280662158890029</v>
      </c>
      <c r="J429" s="327">
        <v>1.5808803624457732E-2</v>
      </c>
      <c r="K429" s="327">
        <v>0.55899694058217897</v>
      </c>
      <c r="L429" s="230">
        <v>5.8002520023279152</v>
      </c>
      <c r="M429" s="327">
        <v>2.7347814607394771</v>
      </c>
      <c r="N429" s="327">
        <v>0.79285748487664076</v>
      </c>
      <c r="O429" s="327">
        <v>1.6060807095180173E-2</v>
      </c>
      <c r="P429" s="327">
        <v>0.5872793612853211</v>
      </c>
    </row>
    <row r="430" spans="2:16" ht="18" customHeight="1">
      <c r="B430" s="284"/>
      <c r="C430" s="311"/>
      <c r="D430" s="312"/>
      <c r="E430" s="289"/>
      <c r="F430" s="79">
        <v>2</v>
      </c>
      <c r="G430" s="178" t="s">
        <v>106</v>
      </c>
      <c r="H430" s="231">
        <v>24.196671796051412</v>
      </c>
      <c r="I430" s="328"/>
      <c r="J430" s="328"/>
      <c r="K430" s="328"/>
      <c r="L430" s="231">
        <v>30.795466724435659</v>
      </c>
      <c r="M430" s="328">
        <v>2.7347814607394771</v>
      </c>
      <c r="N430" s="328">
        <v>0.79285748487664076</v>
      </c>
      <c r="O430" s="328">
        <v>1.6060807095180173E-2</v>
      </c>
      <c r="P430" s="328">
        <v>0.5872793612853211</v>
      </c>
    </row>
    <row r="431" spans="2:16" ht="18" customHeight="1">
      <c r="B431" s="284"/>
      <c r="C431" s="311"/>
      <c r="D431" s="312"/>
      <c r="E431" s="289"/>
      <c r="F431" s="79">
        <v>3</v>
      </c>
      <c r="G431" s="178" t="s">
        <v>107</v>
      </c>
      <c r="H431" s="231">
        <v>50.357605257183216</v>
      </c>
      <c r="I431" s="328"/>
      <c r="J431" s="328"/>
      <c r="K431" s="328"/>
      <c r="L431" s="231">
        <v>47.530164470198002</v>
      </c>
      <c r="M431" s="328">
        <v>2.7347814607394771</v>
      </c>
      <c r="N431" s="328">
        <v>0.79285748487664076</v>
      </c>
      <c r="O431" s="328">
        <v>1.6060807095180173E-2</v>
      </c>
      <c r="P431" s="328">
        <v>0.5872793612853211</v>
      </c>
    </row>
    <row r="432" spans="2:16" ht="18" customHeight="1">
      <c r="B432" s="284"/>
      <c r="C432" s="313"/>
      <c r="D432" s="314"/>
      <c r="E432" s="288"/>
      <c r="F432" s="82">
        <v>4</v>
      </c>
      <c r="G432" s="180" t="s">
        <v>108</v>
      </c>
      <c r="H432" s="232">
        <v>19.298246426161423</v>
      </c>
      <c r="I432" s="329"/>
      <c r="J432" s="329"/>
      <c r="K432" s="329"/>
      <c r="L432" s="232">
        <v>15.874116803038399</v>
      </c>
      <c r="M432" s="329">
        <v>2.7347814607394771</v>
      </c>
      <c r="N432" s="329">
        <v>0.79285748487664076</v>
      </c>
      <c r="O432" s="329">
        <v>1.6060807095180173E-2</v>
      </c>
      <c r="P432" s="329">
        <v>0.5872793612853211</v>
      </c>
    </row>
    <row r="433" spans="2:16" ht="18" customHeight="1">
      <c r="B433" s="284"/>
      <c r="C433" s="309" t="s">
        <v>148</v>
      </c>
      <c r="D433" s="310"/>
      <c r="E433" s="287" t="str">
        <f>HYPERLINK("#LAYOUT_e4!lay초YINT2A12","YINT2A12")</f>
        <v>YINT2A12</v>
      </c>
      <c r="F433" s="78">
        <v>1</v>
      </c>
      <c r="G433" s="179" t="s">
        <v>105</v>
      </c>
      <c r="H433" s="230">
        <v>5.1457019556398507</v>
      </c>
      <c r="I433" s="327">
        <v>2.7684853227554056</v>
      </c>
      <c r="J433" s="327">
        <v>1.5150790561607504E-2</v>
      </c>
      <c r="K433" s="327">
        <v>0.54725919755024388</v>
      </c>
      <c r="L433" s="230">
        <v>5.5185306444523841</v>
      </c>
      <c r="M433" s="327">
        <v>2.7271619913856475</v>
      </c>
      <c r="N433" s="327">
        <v>0.76276292872008977</v>
      </c>
      <c r="O433" s="327">
        <v>1.5451185731612371E-2</v>
      </c>
      <c r="P433" s="327">
        <v>0.5665664812144785</v>
      </c>
    </row>
    <row r="434" spans="2:16" ht="18" customHeight="1">
      <c r="B434" s="284"/>
      <c r="C434" s="311"/>
      <c r="D434" s="312"/>
      <c r="E434" s="289"/>
      <c r="F434" s="79">
        <v>2</v>
      </c>
      <c r="G434" s="178" t="s">
        <v>106</v>
      </c>
      <c r="H434" s="231">
        <v>28.728483324104847</v>
      </c>
      <c r="I434" s="328"/>
      <c r="J434" s="328"/>
      <c r="K434" s="328"/>
      <c r="L434" s="231">
        <v>29.88676475905033</v>
      </c>
      <c r="M434" s="328">
        <v>2.7271619913856475</v>
      </c>
      <c r="N434" s="328">
        <v>0.76276292872008977</v>
      </c>
      <c r="O434" s="328">
        <v>1.5451185731612371E-2</v>
      </c>
      <c r="P434" s="328">
        <v>0.5665664812144785</v>
      </c>
    </row>
    <row r="435" spans="2:16" ht="18" customHeight="1">
      <c r="B435" s="284"/>
      <c r="C435" s="311"/>
      <c r="D435" s="312"/>
      <c r="E435" s="289"/>
      <c r="F435" s="79">
        <v>3</v>
      </c>
      <c r="G435" s="178" t="s">
        <v>107</v>
      </c>
      <c r="H435" s="231">
        <v>50.257395209328045</v>
      </c>
      <c r="I435" s="328"/>
      <c r="J435" s="328"/>
      <c r="K435" s="328"/>
      <c r="L435" s="231">
        <v>50.954679409978247</v>
      </c>
      <c r="M435" s="328">
        <v>2.7271619913856475</v>
      </c>
      <c r="N435" s="328">
        <v>0.76276292872008977</v>
      </c>
      <c r="O435" s="328">
        <v>1.5451185731612371E-2</v>
      </c>
      <c r="P435" s="328">
        <v>0.5665664812144785</v>
      </c>
    </row>
    <row r="436" spans="2:16" ht="18" customHeight="1">
      <c r="B436" s="284"/>
      <c r="C436" s="313"/>
      <c r="D436" s="314"/>
      <c r="E436" s="288"/>
      <c r="F436" s="82">
        <v>4</v>
      </c>
      <c r="G436" s="180" t="s">
        <v>108</v>
      </c>
      <c r="H436" s="232">
        <v>15.868419510927252</v>
      </c>
      <c r="I436" s="329"/>
      <c r="J436" s="329"/>
      <c r="K436" s="329"/>
      <c r="L436" s="232">
        <v>13.640025186519022</v>
      </c>
      <c r="M436" s="329">
        <v>2.7271619913856475</v>
      </c>
      <c r="N436" s="329">
        <v>0.76276292872008977</v>
      </c>
      <c r="O436" s="329">
        <v>1.5451185731612371E-2</v>
      </c>
      <c r="P436" s="329">
        <v>0.5665664812144785</v>
      </c>
    </row>
    <row r="437" spans="2:16" ht="18" customHeight="1">
      <c r="B437" s="284"/>
      <c r="C437" s="309" t="s">
        <v>149</v>
      </c>
      <c r="D437" s="310"/>
      <c r="E437" s="287" t="str">
        <f>HYPERLINK("#LAYOUT_e4!lay초YINT2A13","YINT2A13")</f>
        <v>YINT2A13</v>
      </c>
      <c r="F437" s="78">
        <v>1</v>
      </c>
      <c r="G437" s="179" t="s">
        <v>105</v>
      </c>
      <c r="H437" s="230">
        <v>13.591075243248657</v>
      </c>
      <c r="I437" s="327">
        <v>2.2749823107326037</v>
      </c>
      <c r="J437" s="327">
        <v>1.5056971016411588E-2</v>
      </c>
      <c r="K437" s="327">
        <v>0.66185002605856946</v>
      </c>
      <c r="L437" s="230">
        <v>10.864632195979677</v>
      </c>
      <c r="M437" s="327">
        <v>2.3025290498461075</v>
      </c>
      <c r="N437" s="327">
        <v>0.73029099370237693</v>
      </c>
      <c r="O437" s="327">
        <v>1.479340612522087E-2</v>
      </c>
      <c r="P437" s="327">
        <v>0.64248510246633395</v>
      </c>
    </row>
    <row r="438" spans="2:16" ht="18" customHeight="1">
      <c r="B438" s="284"/>
      <c r="C438" s="311"/>
      <c r="D438" s="312"/>
      <c r="E438" s="289"/>
      <c r="F438" s="79">
        <v>2</v>
      </c>
      <c r="G438" s="178" t="s">
        <v>106</v>
      </c>
      <c r="H438" s="231">
        <v>51.300813838587885</v>
      </c>
      <c r="I438" s="328"/>
      <c r="J438" s="328"/>
      <c r="K438" s="328"/>
      <c r="L438" s="231">
        <v>53.258241766085774</v>
      </c>
      <c r="M438" s="328">
        <v>2.3025290498461075</v>
      </c>
      <c r="N438" s="328">
        <v>0.73029099370237693</v>
      </c>
      <c r="O438" s="328">
        <v>1.479340612522087E-2</v>
      </c>
      <c r="P438" s="328">
        <v>0.64248510246633395</v>
      </c>
    </row>
    <row r="439" spans="2:16" ht="18" customHeight="1">
      <c r="B439" s="284"/>
      <c r="C439" s="311"/>
      <c r="D439" s="312"/>
      <c r="E439" s="289"/>
      <c r="F439" s="79">
        <v>3</v>
      </c>
      <c r="G439" s="178" t="s">
        <v>107</v>
      </c>
      <c r="H439" s="231">
        <v>29.126915519815924</v>
      </c>
      <c r="I439" s="328"/>
      <c r="J439" s="328"/>
      <c r="K439" s="328"/>
      <c r="L439" s="231">
        <v>30.636714895279116</v>
      </c>
      <c r="M439" s="328">
        <v>2.3025290498461075</v>
      </c>
      <c r="N439" s="328">
        <v>0.73029099370237693</v>
      </c>
      <c r="O439" s="328">
        <v>1.479340612522087E-2</v>
      </c>
      <c r="P439" s="328">
        <v>0.64248510246633395</v>
      </c>
    </row>
    <row r="440" spans="2:16" ht="18" customHeight="1">
      <c r="B440" s="284"/>
      <c r="C440" s="313"/>
      <c r="D440" s="314"/>
      <c r="E440" s="288"/>
      <c r="F440" s="82">
        <v>4</v>
      </c>
      <c r="G440" s="180" t="s">
        <v>108</v>
      </c>
      <c r="H440" s="232">
        <v>5.9811953983475634</v>
      </c>
      <c r="I440" s="329"/>
      <c r="J440" s="329"/>
      <c r="K440" s="329"/>
      <c r="L440" s="232">
        <v>5.2404111426554154</v>
      </c>
      <c r="M440" s="329">
        <v>2.3025290498461075</v>
      </c>
      <c r="N440" s="329">
        <v>0.73029099370237693</v>
      </c>
      <c r="O440" s="329">
        <v>1.479340612522087E-2</v>
      </c>
      <c r="P440" s="329">
        <v>0.64248510246633395</v>
      </c>
    </row>
    <row r="441" spans="2:16" ht="18" customHeight="1">
      <c r="B441" s="284"/>
      <c r="C441" s="309" t="s">
        <v>150</v>
      </c>
      <c r="D441" s="310"/>
      <c r="E441" s="287" t="str">
        <f>HYPERLINK("#LAYOUT_e4!lay초YINT2A14","YINT2A14")</f>
        <v>YINT2A14</v>
      </c>
      <c r="F441" s="78">
        <v>1</v>
      </c>
      <c r="G441" s="179" t="s">
        <v>105</v>
      </c>
      <c r="H441" s="230">
        <v>12.26574387411619</v>
      </c>
      <c r="I441" s="327">
        <v>2.317788502384579</v>
      </c>
      <c r="J441" s="327">
        <v>1.5213169372480004E-2</v>
      </c>
      <c r="K441" s="327">
        <v>0.65636572779735691</v>
      </c>
      <c r="L441" s="230">
        <v>12.33937136609245</v>
      </c>
      <c r="M441" s="327">
        <v>2.3021365211337796</v>
      </c>
      <c r="N441" s="327">
        <v>0.75021892027150583</v>
      </c>
      <c r="O441" s="327">
        <v>1.5197083444964525E-2</v>
      </c>
      <c r="P441" s="327">
        <v>0.66012954946217117</v>
      </c>
    </row>
    <row r="442" spans="2:16" ht="18" customHeight="1">
      <c r="B442" s="284"/>
      <c r="C442" s="311"/>
      <c r="D442" s="312"/>
      <c r="E442" s="289"/>
      <c r="F442" s="79">
        <v>2</v>
      </c>
      <c r="G442" s="178" t="s">
        <v>106</v>
      </c>
      <c r="H442" s="231">
        <v>50.740669695310032</v>
      </c>
      <c r="I442" s="328"/>
      <c r="J442" s="328"/>
      <c r="K442" s="328"/>
      <c r="L442" s="231">
        <v>50.355605451202685</v>
      </c>
      <c r="M442" s="328">
        <v>2.3021365211337796</v>
      </c>
      <c r="N442" s="328">
        <v>0.75021892027150583</v>
      </c>
      <c r="O442" s="328">
        <v>1.5197083444964525E-2</v>
      </c>
      <c r="P442" s="328">
        <v>0.66012954946217117</v>
      </c>
    </row>
    <row r="443" spans="2:16" ht="18" customHeight="1">
      <c r="B443" s="284"/>
      <c r="C443" s="311"/>
      <c r="D443" s="312"/>
      <c r="E443" s="289"/>
      <c r="F443" s="79">
        <v>3</v>
      </c>
      <c r="G443" s="178" t="s">
        <v>107</v>
      </c>
      <c r="H443" s="231">
        <v>29.942578748571243</v>
      </c>
      <c r="I443" s="328"/>
      <c r="J443" s="328"/>
      <c r="K443" s="328"/>
      <c r="L443" s="231">
        <v>32.057022885939475</v>
      </c>
      <c r="M443" s="328">
        <v>2.3021365211337796</v>
      </c>
      <c r="N443" s="328">
        <v>0.75021892027150583</v>
      </c>
      <c r="O443" s="328">
        <v>1.5197083444964525E-2</v>
      </c>
      <c r="P443" s="328">
        <v>0.66012954946217117</v>
      </c>
    </row>
    <row r="444" spans="2:16" ht="18" customHeight="1">
      <c r="B444" s="284"/>
      <c r="C444" s="313"/>
      <c r="D444" s="314"/>
      <c r="E444" s="288"/>
      <c r="F444" s="82">
        <v>4</v>
      </c>
      <c r="G444" s="180" t="s">
        <v>108</v>
      </c>
      <c r="H444" s="232">
        <v>7.0510076820025205</v>
      </c>
      <c r="I444" s="329"/>
      <c r="J444" s="329"/>
      <c r="K444" s="329"/>
      <c r="L444" s="232">
        <v>5.2480002967654213</v>
      </c>
      <c r="M444" s="329">
        <v>2.3021365211337796</v>
      </c>
      <c r="N444" s="329">
        <v>0.75021892027150583</v>
      </c>
      <c r="O444" s="329">
        <v>1.5197083444964525E-2</v>
      </c>
      <c r="P444" s="329">
        <v>0.66012954946217117</v>
      </c>
    </row>
    <row r="445" spans="2:16" ht="18" customHeight="1">
      <c r="B445" s="284"/>
      <c r="C445" s="309" t="s">
        <v>151</v>
      </c>
      <c r="D445" s="310"/>
      <c r="E445" s="287" t="str">
        <f>HYPERLINK("#LAYOUT_e4!lay초YINT2A15","YINT2A15")</f>
        <v>YINT2A15</v>
      </c>
      <c r="F445" s="78">
        <v>1</v>
      </c>
      <c r="G445" s="179" t="s">
        <v>105</v>
      </c>
      <c r="H445" s="230">
        <v>3.1235274996050024</v>
      </c>
      <c r="I445" s="327">
        <v>3.0605403721458591</v>
      </c>
      <c r="J445" s="327">
        <v>1.4057453573108459E-2</v>
      </c>
      <c r="K445" s="327">
        <v>0.4593127965586109</v>
      </c>
      <c r="L445" s="230">
        <v>4.733659663109969</v>
      </c>
      <c r="M445" s="327">
        <v>2.8934815986541409</v>
      </c>
      <c r="N445" s="327">
        <v>0.71725900727882397</v>
      </c>
      <c r="O445" s="327">
        <v>1.4529418934574297E-2</v>
      </c>
      <c r="P445" s="327">
        <v>0.5021431254766725</v>
      </c>
    </row>
    <row r="446" spans="2:16" ht="18" customHeight="1">
      <c r="B446" s="284"/>
      <c r="C446" s="311"/>
      <c r="D446" s="312"/>
      <c r="E446" s="289"/>
      <c r="F446" s="79">
        <v>2</v>
      </c>
      <c r="G446" s="178" t="s">
        <v>106</v>
      </c>
      <c r="H446" s="231">
        <v>13.534499451970078</v>
      </c>
      <c r="I446" s="328"/>
      <c r="J446" s="328"/>
      <c r="K446" s="328"/>
      <c r="L446" s="231">
        <v>17.404718544629102</v>
      </c>
      <c r="M446" s="328">
        <v>2.8934815986541409</v>
      </c>
      <c r="N446" s="328">
        <v>0.71725900727882397</v>
      </c>
      <c r="O446" s="328">
        <v>1.4529418934574297E-2</v>
      </c>
      <c r="P446" s="328">
        <v>0.5021431254766725</v>
      </c>
    </row>
    <row r="447" spans="2:16" ht="18" customHeight="1">
      <c r="B447" s="284"/>
      <c r="C447" s="311"/>
      <c r="D447" s="312"/>
      <c r="E447" s="289"/>
      <c r="F447" s="79">
        <v>3</v>
      </c>
      <c r="G447" s="178" t="s">
        <v>107</v>
      </c>
      <c r="H447" s="231">
        <v>57.506381382655945</v>
      </c>
      <c r="I447" s="328"/>
      <c r="J447" s="328"/>
      <c r="K447" s="328"/>
      <c r="L447" s="231">
        <v>61.641424055999103</v>
      </c>
      <c r="M447" s="328">
        <v>2.8934815986541409</v>
      </c>
      <c r="N447" s="328">
        <v>0.71725900727882397</v>
      </c>
      <c r="O447" s="328">
        <v>1.4529418934574297E-2</v>
      </c>
      <c r="P447" s="328">
        <v>0.5021431254766725</v>
      </c>
    </row>
    <row r="448" spans="2:16" ht="18" customHeight="1">
      <c r="B448" s="284"/>
      <c r="C448" s="313"/>
      <c r="D448" s="314"/>
      <c r="E448" s="288"/>
      <c r="F448" s="82">
        <v>4</v>
      </c>
      <c r="G448" s="180" t="s">
        <v>108</v>
      </c>
      <c r="H448" s="232">
        <v>25.835591665768977</v>
      </c>
      <c r="I448" s="329"/>
      <c r="J448" s="329"/>
      <c r="K448" s="329"/>
      <c r="L448" s="232">
        <v>16.220197736261806</v>
      </c>
      <c r="M448" s="329">
        <v>2.8934815986541409</v>
      </c>
      <c r="N448" s="329">
        <v>0.71725900727882397</v>
      </c>
      <c r="O448" s="329">
        <v>1.4529418934574297E-2</v>
      </c>
      <c r="P448" s="329">
        <v>0.5021431254766725</v>
      </c>
    </row>
    <row r="449" spans="2:16" ht="18" customHeight="1">
      <c r="B449" s="284"/>
      <c r="C449" s="309" t="s">
        <v>152</v>
      </c>
      <c r="D449" s="310"/>
      <c r="E449" s="287" t="str">
        <f>HYPERLINK("#LAYOUT_e4!lay초YINT2A16","YINT2A16")</f>
        <v>YINT2A16</v>
      </c>
      <c r="F449" s="78">
        <v>1</v>
      </c>
      <c r="G449" s="179" t="s">
        <v>105</v>
      </c>
      <c r="H449" s="230">
        <v>10.160519419889159</v>
      </c>
      <c r="I449" s="327">
        <v>2.6382663209556112</v>
      </c>
      <c r="J449" s="327">
        <v>1.7240584384029239E-2</v>
      </c>
      <c r="K449" s="327">
        <v>0.65348157792441852</v>
      </c>
      <c r="L449" s="230">
        <v>9.8470457186333569</v>
      </c>
      <c r="M449" s="327">
        <v>2.5473339961147077</v>
      </c>
      <c r="N449" s="327">
        <v>0.81838635965984996</v>
      </c>
      <c r="O449" s="327">
        <v>1.6577942067190841E-2</v>
      </c>
      <c r="P449" s="327">
        <v>0.65079577677980815</v>
      </c>
    </row>
    <row r="450" spans="2:16" ht="18" customHeight="1">
      <c r="B450" s="284"/>
      <c r="C450" s="311"/>
      <c r="D450" s="312"/>
      <c r="E450" s="289"/>
      <c r="F450" s="79">
        <v>2</v>
      </c>
      <c r="G450" s="178" t="s">
        <v>106</v>
      </c>
      <c r="H450" s="231">
        <v>32.877767232637936</v>
      </c>
      <c r="I450" s="328"/>
      <c r="J450" s="328"/>
      <c r="K450" s="328"/>
      <c r="L450" s="231">
        <v>36.811558867744736</v>
      </c>
      <c r="M450" s="328">
        <v>2.5473339961147077</v>
      </c>
      <c r="N450" s="328">
        <v>0.81838635965984996</v>
      </c>
      <c r="O450" s="328">
        <v>1.6577942067190841E-2</v>
      </c>
      <c r="P450" s="328">
        <v>0.65079577677980815</v>
      </c>
    </row>
    <row r="451" spans="2:16" ht="18" customHeight="1">
      <c r="B451" s="284"/>
      <c r="C451" s="311"/>
      <c r="D451" s="312"/>
      <c r="E451" s="289"/>
      <c r="F451" s="79">
        <v>3</v>
      </c>
      <c r="G451" s="178" t="s">
        <v>107</v>
      </c>
      <c r="H451" s="231">
        <v>39.936275179492604</v>
      </c>
      <c r="I451" s="328"/>
      <c r="J451" s="328"/>
      <c r="K451" s="328"/>
      <c r="L451" s="231">
        <v>42.102345497139929</v>
      </c>
      <c r="M451" s="328">
        <v>2.5473339961147077</v>
      </c>
      <c r="N451" s="328">
        <v>0.81838635965984996</v>
      </c>
      <c r="O451" s="328">
        <v>1.6577942067190841E-2</v>
      </c>
      <c r="P451" s="328">
        <v>0.65079577677980815</v>
      </c>
    </row>
    <row r="452" spans="2:16" ht="18" customHeight="1">
      <c r="B452" s="286"/>
      <c r="C452" s="313"/>
      <c r="D452" s="314"/>
      <c r="E452" s="288"/>
      <c r="F452" s="82">
        <v>4</v>
      </c>
      <c r="G452" s="180" t="s">
        <v>108</v>
      </c>
      <c r="H452" s="232">
        <v>17.025438167980287</v>
      </c>
      <c r="I452" s="329"/>
      <c r="J452" s="329"/>
      <c r="K452" s="329"/>
      <c r="L452" s="232">
        <v>11.239049916481962</v>
      </c>
      <c r="M452" s="329">
        <v>2.5473339961147077</v>
      </c>
      <c r="N452" s="329">
        <v>0.81838635965984996</v>
      </c>
      <c r="O452" s="329">
        <v>1.6577942067190841E-2</v>
      </c>
      <c r="P452" s="329">
        <v>0.65079577677980815</v>
      </c>
    </row>
    <row r="453" spans="2:16" ht="18" customHeight="1">
      <c r="B453" s="282" t="s">
        <v>153</v>
      </c>
      <c r="C453" s="309" t="s">
        <v>154</v>
      </c>
      <c r="D453" s="310"/>
      <c r="E453" s="287" t="str">
        <f>HYPERLINK("#LAYOUT_e4!lay초YFUR2A01","YFUR2A01")</f>
        <v>YFUR2A01</v>
      </c>
      <c r="F453" s="80">
        <v>1</v>
      </c>
      <c r="G453" s="179" t="s">
        <v>155</v>
      </c>
      <c r="H453" s="230">
        <v>2.9817006018599601</v>
      </c>
      <c r="I453" s="327">
        <v>3.2620033708606924</v>
      </c>
      <c r="J453" s="327">
        <v>1.5843865835066029E-2</v>
      </c>
      <c r="K453" s="327">
        <v>0.48570967082984845</v>
      </c>
      <c r="L453" s="230">
        <v>3.0387680281810279</v>
      </c>
      <c r="M453" s="327">
        <v>3.4071885214407929</v>
      </c>
      <c r="N453" s="327">
        <v>1.1502435729670368</v>
      </c>
      <c r="O453" s="327">
        <v>2.3300328861458219E-2</v>
      </c>
      <c r="P453" s="327">
        <v>0.68385792904717979</v>
      </c>
    </row>
    <row r="454" spans="2:16" ht="18" customHeight="1">
      <c r="B454" s="284"/>
      <c r="C454" s="311"/>
      <c r="D454" s="312"/>
      <c r="E454" s="289"/>
      <c r="F454" s="83">
        <v>2</v>
      </c>
      <c r="G454" s="178" t="s">
        <v>156</v>
      </c>
      <c r="H454" s="231">
        <v>12.910641687543869</v>
      </c>
      <c r="I454" s="328"/>
      <c r="J454" s="328"/>
      <c r="K454" s="328"/>
      <c r="L454" s="231">
        <v>11.219952657794249</v>
      </c>
      <c r="M454" s="328">
        <v>3.4071885214407929</v>
      </c>
      <c r="N454" s="328">
        <v>1.1502435729670368</v>
      </c>
      <c r="O454" s="328">
        <v>2.3300328861458219E-2</v>
      </c>
      <c r="P454" s="328">
        <v>0.68385792904717979</v>
      </c>
    </row>
    <row r="455" spans="2:16" ht="18" customHeight="1">
      <c r="B455" s="284"/>
      <c r="C455" s="311"/>
      <c r="D455" s="312"/>
      <c r="E455" s="289"/>
      <c r="F455" s="83">
        <v>3</v>
      </c>
      <c r="G455" s="178" t="s">
        <v>157</v>
      </c>
      <c r="H455" s="231">
        <v>37.398815572713431</v>
      </c>
      <c r="I455" s="328"/>
      <c r="J455" s="328"/>
      <c r="K455" s="328"/>
      <c r="L455" s="231">
        <v>41.213062606440332</v>
      </c>
      <c r="M455" s="328">
        <v>3.4071885214407929</v>
      </c>
      <c r="N455" s="328">
        <v>1.1502435729670368</v>
      </c>
      <c r="O455" s="328">
        <v>2.3300328861458219E-2</v>
      </c>
      <c r="P455" s="328">
        <v>0.68385792904717979</v>
      </c>
    </row>
    <row r="456" spans="2:16" ht="18" customHeight="1">
      <c r="B456" s="284"/>
      <c r="C456" s="311"/>
      <c r="D456" s="312"/>
      <c r="E456" s="289"/>
      <c r="F456" s="83">
        <v>4</v>
      </c>
      <c r="G456" s="178" t="s">
        <v>158</v>
      </c>
      <c r="H456" s="231">
        <v>44.494113647248625</v>
      </c>
      <c r="I456" s="328"/>
      <c r="J456" s="328"/>
      <c r="K456" s="328"/>
      <c r="L456" s="231">
        <v>41.156185669921754</v>
      </c>
      <c r="M456" s="328">
        <v>3.4071885214407929</v>
      </c>
      <c r="N456" s="328">
        <v>1.1502435729670368</v>
      </c>
      <c r="O456" s="328">
        <v>2.3300328861458219E-2</v>
      </c>
      <c r="P456" s="328">
        <v>0.68385792904717979</v>
      </c>
    </row>
    <row r="457" spans="2:16" ht="18" customHeight="1">
      <c r="B457" s="284"/>
      <c r="C457" s="313"/>
      <c r="D457" s="314"/>
      <c r="E457" s="288"/>
      <c r="F457" s="81">
        <v>8</v>
      </c>
      <c r="G457" s="180" t="s">
        <v>90</v>
      </c>
      <c r="H457" s="232">
        <v>2.2147284906341218</v>
      </c>
      <c r="I457" s="329"/>
      <c r="J457" s="329"/>
      <c r="K457" s="329"/>
      <c r="L457" s="232">
        <v>3.3720310376626252</v>
      </c>
      <c r="M457" s="329">
        <v>3.4071885214407929</v>
      </c>
      <c r="N457" s="329">
        <v>1.1502435729670368</v>
      </c>
      <c r="O457" s="329">
        <v>2.3300328861458219E-2</v>
      </c>
      <c r="P457" s="329">
        <v>0.68385792904717979</v>
      </c>
    </row>
    <row r="458" spans="2:16" ht="18" customHeight="1">
      <c r="B458" s="284"/>
      <c r="C458" s="309" t="s">
        <v>159</v>
      </c>
      <c r="D458" s="310"/>
      <c r="E458" s="287" t="str">
        <f>HYPERLINK("#LAYOUT_e4!lay초YFUR2A02","YFUR2A02")</f>
        <v>YFUR2A02</v>
      </c>
      <c r="F458" s="78">
        <v>1</v>
      </c>
      <c r="G458" s="179" t="s">
        <v>155</v>
      </c>
      <c r="H458" s="230">
        <v>1.0984335109615955</v>
      </c>
      <c r="I458" s="327">
        <v>3.648553130546738</v>
      </c>
      <c r="J458" s="327">
        <v>1.212805406906348E-2</v>
      </c>
      <c r="K458" s="327">
        <v>0.3324072210302742</v>
      </c>
      <c r="L458" s="230">
        <v>1.0802713593746591</v>
      </c>
      <c r="M458" s="327">
        <v>3.6829238496678012</v>
      </c>
      <c r="N458" s="327">
        <v>0.84094907642571026</v>
      </c>
      <c r="O458" s="327">
        <v>1.703499197645171E-2</v>
      </c>
      <c r="P458" s="327">
        <v>0.4625398914503282</v>
      </c>
    </row>
    <row r="459" spans="2:16" ht="18" customHeight="1">
      <c r="B459" s="284"/>
      <c r="C459" s="311"/>
      <c r="D459" s="312"/>
      <c r="E459" s="289"/>
      <c r="F459" s="79">
        <v>2</v>
      </c>
      <c r="G459" s="178" t="s">
        <v>156</v>
      </c>
      <c r="H459" s="231">
        <v>4.1355755292908993</v>
      </c>
      <c r="I459" s="328"/>
      <c r="J459" s="328"/>
      <c r="K459" s="328"/>
      <c r="L459" s="231">
        <v>4.5397478393271049</v>
      </c>
      <c r="M459" s="328">
        <v>3.6829238496678012</v>
      </c>
      <c r="N459" s="328">
        <v>0.84094907642571026</v>
      </c>
      <c r="O459" s="328">
        <v>1.703499197645171E-2</v>
      </c>
      <c r="P459" s="328">
        <v>0.4625398914503282</v>
      </c>
    </row>
    <row r="460" spans="2:16" ht="18" customHeight="1">
      <c r="B460" s="284"/>
      <c r="C460" s="311"/>
      <c r="D460" s="312"/>
      <c r="E460" s="289"/>
      <c r="F460" s="79">
        <v>3</v>
      </c>
      <c r="G460" s="178" t="s">
        <v>157</v>
      </c>
      <c r="H460" s="231">
        <v>23.165703348166399</v>
      </c>
      <c r="I460" s="328"/>
      <c r="J460" s="328"/>
      <c r="K460" s="328"/>
      <c r="L460" s="231">
        <v>26.082406368800122</v>
      </c>
      <c r="M460" s="328">
        <v>3.6829238496678012</v>
      </c>
      <c r="N460" s="328">
        <v>0.84094907642571026</v>
      </c>
      <c r="O460" s="328">
        <v>1.703499197645171E-2</v>
      </c>
      <c r="P460" s="328">
        <v>0.4625398914503282</v>
      </c>
    </row>
    <row r="461" spans="2:16" ht="18" customHeight="1">
      <c r="B461" s="284"/>
      <c r="C461" s="311"/>
      <c r="D461" s="312"/>
      <c r="E461" s="289"/>
      <c r="F461" s="79">
        <v>4</v>
      </c>
      <c r="G461" s="178" t="s">
        <v>158</v>
      </c>
      <c r="H461" s="231">
        <v>70.426477168101769</v>
      </c>
      <c r="I461" s="328"/>
      <c r="J461" s="328"/>
      <c r="K461" s="328"/>
      <c r="L461" s="231">
        <v>66.623799159408676</v>
      </c>
      <c r="M461" s="328">
        <v>3.6829238496678012</v>
      </c>
      <c r="N461" s="328">
        <v>0.84094907642571026</v>
      </c>
      <c r="O461" s="328">
        <v>1.703499197645171E-2</v>
      </c>
      <c r="P461" s="328">
        <v>0.4625398914503282</v>
      </c>
    </row>
    <row r="462" spans="2:16" ht="18" customHeight="1">
      <c r="B462" s="284"/>
      <c r="C462" s="313"/>
      <c r="D462" s="314"/>
      <c r="E462" s="288"/>
      <c r="F462" s="82">
        <v>8</v>
      </c>
      <c r="G462" s="180" t="s">
        <v>90</v>
      </c>
      <c r="H462" s="232">
        <v>1.173810443479365</v>
      </c>
      <c r="I462" s="329"/>
      <c r="J462" s="329"/>
      <c r="K462" s="329"/>
      <c r="L462" s="232">
        <v>1.673775273089406</v>
      </c>
      <c r="M462" s="329">
        <v>3.6829238496678012</v>
      </c>
      <c r="N462" s="329">
        <v>0.84094907642571026</v>
      </c>
      <c r="O462" s="329">
        <v>1.703499197645171E-2</v>
      </c>
      <c r="P462" s="329">
        <v>0.4625398914503282</v>
      </c>
    </row>
    <row r="463" spans="2:16" ht="18" customHeight="1">
      <c r="B463" s="284"/>
      <c r="C463" s="309" t="s">
        <v>1604</v>
      </c>
      <c r="D463" s="310"/>
      <c r="E463" s="287" t="str">
        <f>HYPERLINK("#LAYOUT_e4!lay초YFUR2A03","YFUR2A03")</f>
        <v>YFUR2A03</v>
      </c>
      <c r="F463" s="78">
        <v>1</v>
      </c>
      <c r="G463" s="179" t="s">
        <v>155</v>
      </c>
      <c r="H463" s="230">
        <v>10.208045355284035</v>
      </c>
      <c r="I463" s="327">
        <v>3.1053771919697093</v>
      </c>
      <c r="J463" s="327">
        <v>2.2252689627725433E-2</v>
      </c>
      <c r="K463" s="327">
        <v>0.71658572379771956</v>
      </c>
      <c r="L463" s="230">
        <v>10.886032621156799</v>
      </c>
      <c r="M463" s="327">
        <v>3.822837877877459</v>
      </c>
      <c r="N463" s="327">
        <v>2.0853259543376641</v>
      </c>
      <c r="O463" s="327">
        <v>4.2242166495282174E-2</v>
      </c>
      <c r="P463" s="327">
        <v>1.1049949761075439</v>
      </c>
    </row>
    <row r="464" spans="2:16" ht="18" customHeight="1">
      <c r="B464" s="284"/>
      <c r="C464" s="311"/>
      <c r="D464" s="312"/>
      <c r="E464" s="289"/>
      <c r="F464" s="79">
        <v>2</v>
      </c>
      <c r="G464" s="178" t="s">
        <v>156</v>
      </c>
      <c r="H464" s="231">
        <v>12.313116259960387</v>
      </c>
      <c r="I464" s="328"/>
      <c r="J464" s="328"/>
      <c r="K464" s="328"/>
      <c r="L464" s="231">
        <v>14.296357703477389</v>
      </c>
      <c r="M464" s="328">
        <v>3.822837877877459</v>
      </c>
      <c r="N464" s="328">
        <v>2.0853259543376641</v>
      </c>
      <c r="O464" s="328">
        <v>4.2242166495282174E-2</v>
      </c>
      <c r="P464" s="328">
        <v>1.1049949761075439</v>
      </c>
    </row>
    <row r="465" spans="2:16" ht="18" customHeight="1">
      <c r="B465" s="284"/>
      <c r="C465" s="311"/>
      <c r="D465" s="312"/>
      <c r="E465" s="289"/>
      <c r="F465" s="79">
        <v>3</v>
      </c>
      <c r="G465" s="178" t="s">
        <v>157</v>
      </c>
      <c r="H465" s="231">
        <v>20.815521365641658</v>
      </c>
      <c r="I465" s="328"/>
      <c r="J465" s="328"/>
      <c r="K465" s="328"/>
      <c r="L465" s="231">
        <v>21.704101326979035</v>
      </c>
      <c r="M465" s="328">
        <v>3.822837877877459</v>
      </c>
      <c r="N465" s="328">
        <v>2.0853259543376641</v>
      </c>
      <c r="O465" s="328">
        <v>4.2242166495282174E-2</v>
      </c>
      <c r="P465" s="328">
        <v>1.1049949761075439</v>
      </c>
    </row>
    <row r="466" spans="2:16" ht="18" customHeight="1">
      <c r="B466" s="284"/>
      <c r="C466" s="311"/>
      <c r="D466" s="312"/>
      <c r="E466" s="289"/>
      <c r="F466" s="79">
        <v>4</v>
      </c>
      <c r="G466" s="178" t="s">
        <v>158</v>
      </c>
      <c r="H466" s="231">
        <v>41.688971706916412</v>
      </c>
      <c r="I466" s="328"/>
      <c r="J466" s="328"/>
      <c r="K466" s="328"/>
      <c r="L466" s="231">
        <v>36.803832752099133</v>
      </c>
      <c r="M466" s="328">
        <v>3.822837877877459</v>
      </c>
      <c r="N466" s="328">
        <v>2.0853259543376641</v>
      </c>
      <c r="O466" s="328">
        <v>4.2242166495282174E-2</v>
      </c>
      <c r="P466" s="328">
        <v>1.1049949761075439</v>
      </c>
    </row>
    <row r="467" spans="2:16" ht="18" customHeight="1">
      <c r="B467" s="284"/>
      <c r="C467" s="313"/>
      <c r="D467" s="314"/>
      <c r="E467" s="288"/>
      <c r="F467" s="82">
        <v>8</v>
      </c>
      <c r="G467" s="180" t="s">
        <v>90</v>
      </c>
      <c r="H467" s="232">
        <v>14.97434531219751</v>
      </c>
      <c r="I467" s="329"/>
      <c r="J467" s="329"/>
      <c r="K467" s="329"/>
      <c r="L467" s="232">
        <v>16.309675596287654</v>
      </c>
      <c r="M467" s="329">
        <v>3.822837877877459</v>
      </c>
      <c r="N467" s="329">
        <v>2.0853259543376641</v>
      </c>
      <c r="O467" s="329">
        <v>4.2242166495282174E-2</v>
      </c>
      <c r="P467" s="329">
        <v>1.1049949761075439</v>
      </c>
    </row>
    <row r="468" spans="2:16" ht="18" customHeight="1">
      <c r="B468" s="284"/>
      <c r="C468" s="309" t="s">
        <v>1605</v>
      </c>
      <c r="D468" s="310"/>
      <c r="E468" s="287" t="str">
        <f>HYPERLINK("#LAYOUT_e4!lay초YFUR2A04","YFUR2A04")</f>
        <v>YFUR2A04</v>
      </c>
      <c r="F468" s="78">
        <v>1</v>
      </c>
      <c r="G468" s="179" t="s">
        <v>155</v>
      </c>
      <c r="H468" s="230">
        <v>15.903684621782224</v>
      </c>
      <c r="I468" s="327">
        <v>2.5256649398326818</v>
      </c>
      <c r="J468" s="327">
        <v>1.9646538853832756E-2</v>
      </c>
      <c r="K468" s="327">
        <v>0.77787589889632325</v>
      </c>
      <c r="L468" s="230">
        <v>18.244052014454926</v>
      </c>
      <c r="M468" s="327">
        <v>2.8600953833595808</v>
      </c>
      <c r="N468" s="327">
        <v>1.7876893885181229</v>
      </c>
      <c r="O468" s="327">
        <v>3.6212982739965399E-2</v>
      </c>
      <c r="P468" s="327">
        <v>1.2661459806780355</v>
      </c>
    </row>
    <row r="469" spans="2:16" ht="18" customHeight="1">
      <c r="B469" s="284"/>
      <c r="C469" s="311"/>
      <c r="D469" s="312"/>
      <c r="E469" s="289"/>
      <c r="F469" s="79">
        <v>2</v>
      </c>
      <c r="G469" s="178" t="s">
        <v>156</v>
      </c>
      <c r="H469" s="231">
        <v>28.221346090012887</v>
      </c>
      <c r="I469" s="328"/>
      <c r="J469" s="328"/>
      <c r="K469" s="328"/>
      <c r="L469" s="231">
        <v>30.541573670418003</v>
      </c>
      <c r="M469" s="328">
        <v>2.8600953833595808</v>
      </c>
      <c r="N469" s="328">
        <v>1.7876893885181229</v>
      </c>
      <c r="O469" s="328">
        <v>3.6212982739965399E-2</v>
      </c>
      <c r="P469" s="328">
        <v>1.2661459806780355</v>
      </c>
    </row>
    <row r="470" spans="2:16" ht="18" customHeight="1">
      <c r="B470" s="284"/>
      <c r="C470" s="311"/>
      <c r="D470" s="312"/>
      <c r="E470" s="289"/>
      <c r="F470" s="79">
        <v>3</v>
      </c>
      <c r="G470" s="178" t="s">
        <v>157</v>
      </c>
      <c r="H470" s="231">
        <v>32.920693941842394</v>
      </c>
      <c r="I470" s="328"/>
      <c r="J470" s="328"/>
      <c r="K470" s="328"/>
      <c r="L470" s="231">
        <v>31.145664156310445</v>
      </c>
      <c r="M470" s="328">
        <v>2.8600953833595808</v>
      </c>
      <c r="N470" s="328">
        <v>1.7876893885181229</v>
      </c>
      <c r="O470" s="328">
        <v>3.6212982739965399E-2</v>
      </c>
      <c r="P470" s="328">
        <v>1.2661459806780355</v>
      </c>
    </row>
    <row r="471" spans="2:16" ht="18" customHeight="1">
      <c r="B471" s="284"/>
      <c r="C471" s="311"/>
      <c r="D471" s="312"/>
      <c r="E471" s="289"/>
      <c r="F471" s="79">
        <v>4</v>
      </c>
      <c r="G471" s="178" t="s">
        <v>158</v>
      </c>
      <c r="H471" s="231">
        <v>15.928012246888077</v>
      </c>
      <c r="I471" s="328"/>
      <c r="J471" s="328"/>
      <c r="K471" s="328"/>
      <c r="L471" s="231">
        <v>11.826083689699415</v>
      </c>
      <c r="M471" s="328">
        <v>2.8600953833595808</v>
      </c>
      <c r="N471" s="328">
        <v>1.7876893885181229</v>
      </c>
      <c r="O471" s="328">
        <v>3.6212982739965399E-2</v>
      </c>
      <c r="P471" s="328">
        <v>1.2661459806780355</v>
      </c>
    </row>
    <row r="472" spans="2:16" ht="18" customHeight="1">
      <c r="B472" s="284"/>
      <c r="C472" s="313"/>
      <c r="D472" s="314"/>
      <c r="E472" s="288"/>
      <c r="F472" s="82">
        <v>8</v>
      </c>
      <c r="G472" s="180" t="s">
        <v>90</v>
      </c>
      <c r="H472" s="232">
        <v>7.0262630994744306</v>
      </c>
      <c r="I472" s="329"/>
      <c r="J472" s="329"/>
      <c r="K472" s="329"/>
      <c r="L472" s="232">
        <v>8.2426264691171998</v>
      </c>
      <c r="M472" s="329">
        <v>2.8600953833595808</v>
      </c>
      <c r="N472" s="329">
        <v>1.7876893885181229</v>
      </c>
      <c r="O472" s="329">
        <v>3.6212982739965399E-2</v>
      </c>
      <c r="P472" s="329">
        <v>1.2661459806780355</v>
      </c>
    </row>
    <row r="473" spans="2:16" ht="18" customHeight="1">
      <c r="B473" s="284"/>
      <c r="C473" s="309" t="s">
        <v>160</v>
      </c>
      <c r="D473" s="310"/>
      <c r="E473" s="287" t="str">
        <f>HYPERLINK("#LAYOUT_e4!lay초YFUR2A05","YFUR2A05")</f>
        <v>YFUR2A05</v>
      </c>
      <c r="F473" s="78">
        <v>1</v>
      </c>
      <c r="G473" s="179" t="s">
        <v>155</v>
      </c>
      <c r="H473" s="230">
        <v>9.5295368161669938</v>
      </c>
      <c r="I473" s="327">
        <v>2.8547911274977298</v>
      </c>
      <c r="J473" s="327">
        <v>1.8637359402451249E-2</v>
      </c>
      <c r="K473" s="327">
        <v>0.65284493926486287</v>
      </c>
      <c r="L473" s="230">
        <v>12.146959582163049</v>
      </c>
      <c r="M473" s="327">
        <v>2.7265822886834603</v>
      </c>
      <c r="N473" s="327">
        <v>0.93656818814121023</v>
      </c>
      <c r="O473" s="327">
        <v>1.8971935421103758E-2</v>
      </c>
      <c r="P473" s="327">
        <v>0.69581378489274992</v>
      </c>
    </row>
    <row r="474" spans="2:16" ht="18" customHeight="1">
      <c r="B474" s="284"/>
      <c r="C474" s="311"/>
      <c r="D474" s="312"/>
      <c r="E474" s="289"/>
      <c r="F474" s="79">
        <v>2</v>
      </c>
      <c r="G474" s="178" t="s">
        <v>156</v>
      </c>
      <c r="H474" s="231">
        <v>22.239220592982065</v>
      </c>
      <c r="I474" s="328"/>
      <c r="J474" s="328"/>
      <c r="K474" s="328"/>
      <c r="L474" s="231">
        <v>24.807870897641521</v>
      </c>
      <c r="M474" s="328">
        <v>2.7265822886834603</v>
      </c>
      <c r="N474" s="328">
        <v>0.93656818814121023</v>
      </c>
      <c r="O474" s="328">
        <v>1.8971935421103758E-2</v>
      </c>
      <c r="P474" s="328">
        <v>0.69581378489274992</v>
      </c>
    </row>
    <row r="475" spans="2:16" ht="18" customHeight="1">
      <c r="B475" s="284"/>
      <c r="C475" s="311"/>
      <c r="D475" s="312"/>
      <c r="E475" s="289"/>
      <c r="F475" s="79">
        <v>3</v>
      </c>
      <c r="G475" s="178" t="s">
        <v>157</v>
      </c>
      <c r="H475" s="231">
        <v>38.142027415754306</v>
      </c>
      <c r="I475" s="328"/>
      <c r="J475" s="328"/>
      <c r="K475" s="328"/>
      <c r="L475" s="231">
        <v>41.285150589882704</v>
      </c>
      <c r="M475" s="328">
        <v>2.7265822886834603</v>
      </c>
      <c r="N475" s="328">
        <v>0.93656818814121023</v>
      </c>
      <c r="O475" s="328">
        <v>1.8971935421103758E-2</v>
      </c>
      <c r="P475" s="328">
        <v>0.69581378489274992</v>
      </c>
    </row>
    <row r="476" spans="2:16" ht="18" customHeight="1">
      <c r="B476" s="284"/>
      <c r="C476" s="311"/>
      <c r="D476" s="312"/>
      <c r="E476" s="289"/>
      <c r="F476" s="79">
        <v>4</v>
      </c>
      <c r="G476" s="178" t="s">
        <v>158</v>
      </c>
      <c r="H476" s="231">
        <v>27.197333807841115</v>
      </c>
      <c r="I476" s="328"/>
      <c r="J476" s="328"/>
      <c r="K476" s="328"/>
      <c r="L476" s="231">
        <v>21.760018930312722</v>
      </c>
      <c r="M476" s="328">
        <v>2.7265822886834603</v>
      </c>
      <c r="N476" s="328">
        <v>0.93656818814121023</v>
      </c>
      <c r="O476" s="328">
        <v>1.8971935421103758E-2</v>
      </c>
      <c r="P476" s="328">
        <v>0.69581378489274992</v>
      </c>
    </row>
    <row r="477" spans="2:16" ht="18" customHeight="1">
      <c r="B477" s="284"/>
      <c r="C477" s="313"/>
      <c r="D477" s="314"/>
      <c r="E477" s="288"/>
      <c r="F477" s="82">
        <v>8</v>
      </c>
      <c r="G477" s="180" t="s">
        <v>90</v>
      </c>
      <c r="H477" s="232">
        <v>2.8918813672555426</v>
      </c>
      <c r="I477" s="329"/>
      <c r="J477" s="329"/>
      <c r="K477" s="329"/>
      <c r="L477" s="232">
        <v>0</v>
      </c>
      <c r="M477" s="329">
        <v>2.7265822886834603</v>
      </c>
      <c r="N477" s="329">
        <v>0.93656818814121023</v>
      </c>
      <c r="O477" s="329">
        <v>1.8971935421103758E-2</v>
      </c>
      <c r="P477" s="329">
        <v>0.69581378489274992</v>
      </c>
    </row>
    <row r="478" spans="2:16" ht="18" customHeight="1">
      <c r="B478" s="284"/>
      <c r="C478" s="309" t="s">
        <v>161</v>
      </c>
      <c r="D478" s="310"/>
      <c r="E478" s="287" t="str">
        <f>HYPERLINK("#LAYOUT_e4!lay초YFUR2A06","YFUR2A06")</f>
        <v>YFUR2A06</v>
      </c>
      <c r="F478" s="78">
        <v>1</v>
      </c>
      <c r="G478" s="179" t="s">
        <v>155</v>
      </c>
      <c r="H478" s="230">
        <v>32.245044336448196</v>
      </c>
      <c r="I478" s="327">
        <v>1.9024250897849713</v>
      </c>
      <c r="J478" s="327">
        <v>2.2434444731517549E-2</v>
      </c>
      <c r="K478" s="327">
        <v>1.179255091408266</v>
      </c>
      <c r="L478" s="230">
        <v>28.530007737078702</v>
      </c>
      <c r="M478" s="327">
        <v>3.3292618334548902</v>
      </c>
      <c r="N478" s="327">
        <v>2.6075687106829832</v>
      </c>
      <c r="O478" s="327">
        <v>5.2821167547182885E-2</v>
      </c>
      <c r="P478" s="327">
        <v>1.5865729458823776</v>
      </c>
    </row>
    <row r="479" spans="2:16" ht="18" customHeight="1">
      <c r="B479" s="284"/>
      <c r="C479" s="311"/>
      <c r="D479" s="312"/>
      <c r="E479" s="289"/>
      <c r="F479" s="79">
        <v>2</v>
      </c>
      <c r="G479" s="178" t="s">
        <v>156</v>
      </c>
      <c r="H479" s="231">
        <v>20.456592752017727</v>
      </c>
      <c r="I479" s="328"/>
      <c r="J479" s="328"/>
      <c r="K479" s="328"/>
      <c r="L479" s="231">
        <v>25.031775303232195</v>
      </c>
      <c r="M479" s="328">
        <v>3.3292618334548902</v>
      </c>
      <c r="N479" s="328">
        <v>2.6075687106829832</v>
      </c>
      <c r="O479" s="328">
        <v>5.2821167547182885E-2</v>
      </c>
      <c r="P479" s="328">
        <v>1.5865729458823776</v>
      </c>
    </row>
    <row r="480" spans="2:16" ht="18" customHeight="1">
      <c r="B480" s="284"/>
      <c r="C480" s="311"/>
      <c r="D480" s="312"/>
      <c r="E480" s="289"/>
      <c r="F480" s="79">
        <v>3</v>
      </c>
      <c r="G480" s="178" t="s">
        <v>157</v>
      </c>
      <c r="H480" s="231">
        <v>13.485633565662306</v>
      </c>
      <c r="I480" s="328"/>
      <c r="J480" s="328"/>
      <c r="K480" s="328"/>
      <c r="L480" s="231">
        <v>18.687043965164122</v>
      </c>
      <c r="M480" s="328">
        <v>3.3292618334548902</v>
      </c>
      <c r="N480" s="328">
        <v>2.6075687106829832</v>
      </c>
      <c r="O480" s="328">
        <v>5.2821167547182885E-2</v>
      </c>
      <c r="P480" s="328">
        <v>1.5865729458823776</v>
      </c>
    </row>
    <row r="481" spans="2:16" ht="18" customHeight="1">
      <c r="B481" s="284"/>
      <c r="C481" s="311"/>
      <c r="D481" s="312"/>
      <c r="E481" s="289"/>
      <c r="F481" s="79">
        <v>4</v>
      </c>
      <c r="G481" s="178" t="s">
        <v>158</v>
      </c>
      <c r="H481" s="231">
        <v>5.8644836565434417</v>
      </c>
      <c r="I481" s="328"/>
      <c r="J481" s="328"/>
      <c r="K481" s="328"/>
      <c r="L481" s="231">
        <v>5.9344727124366692</v>
      </c>
      <c r="M481" s="328">
        <v>3.3292618334548902</v>
      </c>
      <c r="N481" s="328">
        <v>2.6075687106829832</v>
      </c>
      <c r="O481" s="328">
        <v>5.2821167547182885E-2</v>
      </c>
      <c r="P481" s="328">
        <v>1.5865729458823776</v>
      </c>
    </row>
    <row r="482" spans="2:16" ht="18" customHeight="1">
      <c r="B482" s="284"/>
      <c r="C482" s="313"/>
      <c r="D482" s="314"/>
      <c r="E482" s="288"/>
      <c r="F482" s="82">
        <v>8</v>
      </c>
      <c r="G482" s="180" t="s">
        <v>90</v>
      </c>
      <c r="H482" s="232">
        <v>27.948245689328342</v>
      </c>
      <c r="I482" s="329"/>
      <c r="J482" s="329"/>
      <c r="K482" s="329"/>
      <c r="L482" s="232">
        <v>21.816700282088316</v>
      </c>
      <c r="M482" s="329">
        <v>3.3292618334548902</v>
      </c>
      <c r="N482" s="329">
        <v>2.6075687106829832</v>
      </c>
      <c r="O482" s="329">
        <v>5.2821167547182885E-2</v>
      </c>
      <c r="P482" s="329">
        <v>1.5865729458823776</v>
      </c>
    </row>
    <row r="483" spans="2:16" ht="18" customHeight="1">
      <c r="B483" s="284"/>
      <c r="C483" s="309" t="s">
        <v>162</v>
      </c>
      <c r="D483" s="310"/>
      <c r="E483" s="287" t="str">
        <f>HYPERLINK("#LAYOUT_e4!lay초YFUR2A07","YFUR2A07")</f>
        <v>YFUR2A07</v>
      </c>
      <c r="F483" s="78">
        <v>1</v>
      </c>
      <c r="G483" s="179" t="s">
        <v>155</v>
      </c>
      <c r="H483" s="230">
        <v>14.799346377198621</v>
      </c>
      <c r="I483" s="327">
        <v>2.8791930644020898</v>
      </c>
      <c r="J483" s="327">
        <v>2.1803208054256194E-2</v>
      </c>
      <c r="K483" s="327">
        <v>0.75726801109059916</v>
      </c>
      <c r="L483" s="230">
        <v>14.938804775625146</v>
      </c>
      <c r="M483" s="327">
        <v>3.2087459923918926</v>
      </c>
      <c r="N483" s="327">
        <v>1.746496973613191</v>
      </c>
      <c r="O483" s="327">
        <v>3.5378553549105622E-2</v>
      </c>
      <c r="P483" s="327">
        <v>1.102566349377297</v>
      </c>
    </row>
    <row r="484" spans="2:16" ht="18" customHeight="1">
      <c r="B484" s="284"/>
      <c r="C484" s="311"/>
      <c r="D484" s="312"/>
      <c r="E484" s="289"/>
      <c r="F484" s="79">
        <v>2</v>
      </c>
      <c r="G484" s="178" t="s">
        <v>156</v>
      </c>
      <c r="H484" s="231">
        <v>14.28945182817397</v>
      </c>
      <c r="I484" s="328"/>
      <c r="J484" s="328"/>
      <c r="K484" s="328"/>
      <c r="L484" s="231">
        <v>17.222848970925597</v>
      </c>
      <c r="M484" s="328">
        <v>3.2087459923918926</v>
      </c>
      <c r="N484" s="328">
        <v>1.746496973613191</v>
      </c>
      <c r="O484" s="328">
        <v>3.5378553549105622E-2</v>
      </c>
      <c r="P484" s="328">
        <v>1.102566349377297</v>
      </c>
    </row>
    <row r="485" spans="2:16" ht="18" customHeight="1">
      <c r="B485" s="284"/>
      <c r="C485" s="311"/>
      <c r="D485" s="312"/>
      <c r="E485" s="289"/>
      <c r="F485" s="79">
        <v>3</v>
      </c>
      <c r="G485" s="178" t="s">
        <v>157</v>
      </c>
      <c r="H485" s="231">
        <v>30.36650745794125</v>
      </c>
      <c r="I485" s="328"/>
      <c r="J485" s="328"/>
      <c r="K485" s="328"/>
      <c r="L485" s="231">
        <v>32.724161847696777</v>
      </c>
      <c r="M485" s="328">
        <v>3.2087459923918926</v>
      </c>
      <c r="N485" s="328">
        <v>1.746496973613191</v>
      </c>
      <c r="O485" s="328">
        <v>3.5378553549105622E-2</v>
      </c>
      <c r="P485" s="328">
        <v>1.102566349377297</v>
      </c>
    </row>
    <row r="486" spans="2:16" ht="18" customHeight="1">
      <c r="B486" s="284"/>
      <c r="C486" s="311"/>
      <c r="D486" s="312"/>
      <c r="E486" s="289"/>
      <c r="F486" s="79">
        <v>4</v>
      </c>
      <c r="G486" s="178" t="s">
        <v>158</v>
      </c>
      <c r="H486" s="231">
        <v>32.749200718294247</v>
      </c>
      <c r="I486" s="328"/>
      <c r="J486" s="328"/>
      <c r="K486" s="328"/>
      <c r="L486" s="231">
        <v>26.898966066849535</v>
      </c>
      <c r="M486" s="328">
        <v>3.2087459923918926</v>
      </c>
      <c r="N486" s="328">
        <v>1.746496973613191</v>
      </c>
      <c r="O486" s="328">
        <v>3.5378553549105622E-2</v>
      </c>
      <c r="P486" s="328">
        <v>1.102566349377297</v>
      </c>
    </row>
    <row r="487" spans="2:16" ht="18" customHeight="1">
      <c r="B487" s="284"/>
      <c r="C487" s="313"/>
      <c r="D487" s="314"/>
      <c r="E487" s="288"/>
      <c r="F487" s="82">
        <v>8</v>
      </c>
      <c r="G487" s="180" t="s">
        <v>90</v>
      </c>
      <c r="H487" s="232">
        <v>7.7954936183919052</v>
      </c>
      <c r="I487" s="329"/>
      <c r="J487" s="329"/>
      <c r="K487" s="329"/>
      <c r="L487" s="232">
        <v>8.2152183389029432</v>
      </c>
      <c r="M487" s="329">
        <v>3.2087459923918926</v>
      </c>
      <c r="N487" s="329">
        <v>1.746496973613191</v>
      </c>
      <c r="O487" s="329">
        <v>3.5378553549105622E-2</v>
      </c>
      <c r="P487" s="329">
        <v>1.102566349377297</v>
      </c>
    </row>
    <row r="488" spans="2:16" ht="18" customHeight="1">
      <c r="B488" s="284"/>
      <c r="C488" s="309" t="s">
        <v>101</v>
      </c>
      <c r="D488" s="310"/>
      <c r="E488" s="287" t="str">
        <f>HYPERLINK("#LAYOUT_e4!lay초YFUR2A08","YFUR2A08")</f>
        <v>YFUR2A08</v>
      </c>
      <c r="F488" s="78">
        <v>1</v>
      </c>
      <c r="G488" s="179" t="s">
        <v>155</v>
      </c>
      <c r="H488" s="230">
        <v>0</v>
      </c>
      <c r="I488" s="327">
        <v>3.7756511128532941</v>
      </c>
      <c r="J488" s="327">
        <v>3.815105072259798E-2</v>
      </c>
      <c r="K488" s="327">
        <v>1.0104495776297215</v>
      </c>
      <c r="L488" s="230">
        <v>0</v>
      </c>
      <c r="M488" s="327">
        <v>7.8646101497431218</v>
      </c>
      <c r="N488" s="327">
        <v>0.7615070151248321</v>
      </c>
      <c r="O488" s="327">
        <v>1.5425744859366854E-2</v>
      </c>
      <c r="P488" s="327">
        <v>0.19614125259432857</v>
      </c>
    </row>
    <row r="489" spans="2:16" ht="18" customHeight="1">
      <c r="B489" s="284"/>
      <c r="C489" s="311"/>
      <c r="D489" s="312"/>
      <c r="E489" s="289"/>
      <c r="F489" s="79">
        <v>2</v>
      </c>
      <c r="G489" s="178" t="s">
        <v>156</v>
      </c>
      <c r="H489" s="231">
        <v>9.9402086611892398E-2</v>
      </c>
      <c r="I489" s="328"/>
      <c r="J489" s="328"/>
      <c r="K489" s="328"/>
      <c r="L489" s="231">
        <v>0.12101652876982717</v>
      </c>
      <c r="M489" s="328">
        <v>7.8646101497431218</v>
      </c>
      <c r="N489" s="328">
        <v>0.7615070151248321</v>
      </c>
      <c r="O489" s="328">
        <v>1.5425744859366854E-2</v>
      </c>
      <c r="P489" s="328">
        <v>0.19614125259432857</v>
      </c>
    </row>
    <row r="490" spans="2:16" ht="18" customHeight="1">
      <c r="B490" s="284"/>
      <c r="C490" s="311"/>
      <c r="D490" s="312"/>
      <c r="E490" s="289"/>
      <c r="F490" s="79">
        <v>3</v>
      </c>
      <c r="G490" s="178" t="s">
        <v>157</v>
      </c>
      <c r="H490" s="231">
        <v>0.96006975196234379</v>
      </c>
      <c r="I490" s="328"/>
      <c r="J490" s="328"/>
      <c r="K490" s="328"/>
      <c r="L490" s="231">
        <v>0.83808015105121725</v>
      </c>
      <c r="M490" s="328">
        <v>7.8646101497431218</v>
      </c>
      <c r="N490" s="328">
        <v>0.7615070151248321</v>
      </c>
      <c r="O490" s="328">
        <v>1.5425744859366854E-2</v>
      </c>
      <c r="P490" s="328">
        <v>0.19614125259432857</v>
      </c>
    </row>
    <row r="491" spans="2:16" ht="18" customHeight="1">
      <c r="B491" s="284"/>
      <c r="C491" s="311"/>
      <c r="D491" s="312"/>
      <c r="E491" s="289"/>
      <c r="F491" s="79">
        <v>4</v>
      </c>
      <c r="G491" s="178" t="s">
        <v>158</v>
      </c>
      <c r="H491" s="231">
        <v>4.1060270409825632</v>
      </c>
      <c r="I491" s="328"/>
      <c r="J491" s="328"/>
      <c r="K491" s="328"/>
      <c r="L491" s="231">
        <v>2.1556212744531389</v>
      </c>
      <c r="M491" s="328">
        <v>7.8646101497431218</v>
      </c>
      <c r="N491" s="328">
        <v>0.7615070151248321</v>
      </c>
      <c r="O491" s="328">
        <v>1.5425744859366854E-2</v>
      </c>
      <c r="P491" s="328">
        <v>0.19614125259432857</v>
      </c>
    </row>
    <row r="492" spans="2:16" ht="18" customHeight="1">
      <c r="B492" s="284"/>
      <c r="C492" s="313"/>
      <c r="D492" s="314"/>
      <c r="E492" s="288"/>
      <c r="F492" s="82">
        <v>8</v>
      </c>
      <c r="G492" s="180" t="s">
        <v>90</v>
      </c>
      <c r="H492" s="232">
        <v>94.834501120443193</v>
      </c>
      <c r="I492" s="329"/>
      <c r="J492" s="329"/>
      <c r="K492" s="329"/>
      <c r="L492" s="232">
        <v>96.88528204572583</v>
      </c>
      <c r="M492" s="329">
        <v>7.8646101497431218</v>
      </c>
      <c r="N492" s="329">
        <v>0.7615070151248321</v>
      </c>
      <c r="O492" s="329">
        <v>1.5425744859366854E-2</v>
      </c>
      <c r="P492" s="329">
        <v>0.19614125259432857</v>
      </c>
    </row>
    <row r="493" spans="2:16" ht="18" customHeight="1">
      <c r="B493" s="286"/>
      <c r="C493" s="318" t="s">
        <v>102</v>
      </c>
      <c r="D493" s="319"/>
      <c r="E493" s="197" t="str">
        <f>HYPERLINK("#LAYOUT_e4!lay초YFUR2A08_T","YFUR2A08_T")</f>
        <v>YFUR2A08_T</v>
      </c>
      <c r="F493" s="121" t="s">
        <v>1</v>
      </c>
      <c r="G493" s="177"/>
      <c r="H493" s="229" t="s">
        <v>1808</v>
      </c>
      <c r="I493" s="237"/>
      <c r="J493" s="237"/>
      <c r="K493" s="237"/>
      <c r="L493" s="229" t="s">
        <v>1</v>
      </c>
      <c r="M493" s="237"/>
      <c r="N493" s="237"/>
      <c r="O493" s="237"/>
      <c r="P493" s="237"/>
    </row>
    <row r="494" spans="2:16" ht="18" customHeight="1">
      <c r="B494" s="282" t="s">
        <v>163</v>
      </c>
      <c r="C494" s="309" t="s">
        <v>164</v>
      </c>
      <c r="D494" s="310"/>
      <c r="E494" s="287" t="str">
        <f>HYPERLINK("#LAYOUT_e4!lay초YPSY1A01","YPSY1A01")</f>
        <v>YPSY1A01</v>
      </c>
      <c r="F494" s="78">
        <v>1</v>
      </c>
      <c r="G494" s="179" t="s">
        <v>105</v>
      </c>
      <c r="H494" s="230">
        <v>5.0166672904222409</v>
      </c>
      <c r="I494" s="327">
        <v>2.9740973643541015</v>
      </c>
      <c r="J494" s="327">
        <v>1.4901137085203204E-2</v>
      </c>
      <c r="K494" s="327">
        <v>0.5010305736389149</v>
      </c>
      <c r="L494" s="230">
        <v>2.6760238760876205</v>
      </c>
      <c r="M494" s="327">
        <v>2.8848975241080859</v>
      </c>
      <c r="N494" s="327">
        <v>0.66766924267108452</v>
      </c>
      <c r="O494" s="327">
        <v>1.3524885763793655E-2</v>
      </c>
      <c r="P494" s="327">
        <v>0.46881685227190562</v>
      </c>
    </row>
    <row r="495" spans="2:16" ht="18" customHeight="1">
      <c r="B495" s="284"/>
      <c r="C495" s="311"/>
      <c r="D495" s="312"/>
      <c r="E495" s="289"/>
      <c r="F495" s="79">
        <v>2</v>
      </c>
      <c r="G495" s="178" t="s">
        <v>106</v>
      </c>
      <c r="H495" s="231">
        <v>15.210995639789171</v>
      </c>
      <c r="I495" s="328"/>
      <c r="J495" s="328"/>
      <c r="K495" s="328"/>
      <c r="L495" s="231">
        <v>20.669445917858798</v>
      </c>
      <c r="M495" s="328">
        <v>2.8848975241080859</v>
      </c>
      <c r="N495" s="328">
        <v>0.66766924267108452</v>
      </c>
      <c r="O495" s="328">
        <v>1.3524885763793655E-2</v>
      </c>
      <c r="P495" s="328">
        <v>0.46881685227190562</v>
      </c>
    </row>
    <row r="496" spans="2:16" ht="18" customHeight="1">
      <c r="B496" s="284"/>
      <c r="C496" s="311"/>
      <c r="D496" s="312"/>
      <c r="E496" s="289"/>
      <c r="F496" s="79">
        <v>3</v>
      </c>
      <c r="G496" s="178" t="s">
        <v>107</v>
      </c>
      <c r="H496" s="231">
        <v>57.118270413742081</v>
      </c>
      <c r="I496" s="328"/>
      <c r="J496" s="328"/>
      <c r="K496" s="328"/>
      <c r="L496" s="231">
        <v>62.143284125211721</v>
      </c>
      <c r="M496" s="328">
        <v>2.8848975241080859</v>
      </c>
      <c r="N496" s="328">
        <v>0.66766924267108452</v>
      </c>
      <c r="O496" s="328">
        <v>1.3524885763793655E-2</v>
      </c>
      <c r="P496" s="328">
        <v>0.46881685227190562</v>
      </c>
    </row>
    <row r="497" spans="2:16" ht="18" customHeight="1">
      <c r="B497" s="284"/>
      <c r="C497" s="313"/>
      <c r="D497" s="314"/>
      <c r="E497" s="288"/>
      <c r="F497" s="82">
        <v>4</v>
      </c>
      <c r="G497" s="180" t="s">
        <v>108</v>
      </c>
      <c r="H497" s="232">
        <v>22.654066656046517</v>
      </c>
      <c r="I497" s="329"/>
      <c r="J497" s="329"/>
      <c r="K497" s="329"/>
      <c r="L497" s="232">
        <v>14.511246080841843</v>
      </c>
      <c r="M497" s="329">
        <v>2.8848975241080859</v>
      </c>
      <c r="N497" s="329">
        <v>0.66766924267108452</v>
      </c>
      <c r="O497" s="329">
        <v>1.3524885763793655E-2</v>
      </c>
      <c r="P497" s="329">
        <v>0.46881685227190562</v>
      </c>
    </row>
    <row r="498" spans="2:16" ht="18" customHeight="1">
      <c r="B498" s="284"/>
      <c r="C498" s="309" t="s">
        <v>165</v>
      </c>
      <c r="D498" s="310"/>
      <c r="E498" s="287" t="str">
        <f>HYPERLINK("#LAYOUT_e4!lay초YPSY1A02","YPSY1A02")</f>
        <v>YPSY1A02</v>
      </c>
      <c r="F498" s="78">
        <v>1</v>
      </c>
      <c r="G498" s="179" t="s">
        <v>105</v>
      </c>
      <c r="H498" s="230">
        <v>1.5096479593030756</v>
      </c>
      <c r="I498" s="327">
        <v>3.1745584150271302</v>
      </c>
      <c r="J498" s="327">
        <v>1.3389207292766801E-2</v>
      </c>
      <c r="K498" s="327">
        <v>0.42176597631303542</v>
      </c>
      <c r="L498" s="230">
        <v>1.4659805150419283</v>
      </c>
      <c r="M498" s="327">
        <v>3.0824112698176505</v>
      </c>
      <c r="N498" s="327">
        <v>0.65607125459341109</v>
      </c>
      <c r="O498" s="327">
        <v>1.3289946884157936E-2</v>
      </c>
      <c r="P498" s="327">
        <v>0.43115424000328628</v>
      </c>
    </row>
    <row r="499" spans="2:16" ht="18" customHeight="1">
      <c r="B499" s="284"/>
      <c r="C499" s="311"/>
      <c r="D499" s="312"/>
      <c r="E499" s="289"/>
      <c r="F499" s="79">
        <v>2</v>
      </c>
      <c r="G499" s="178" t="s">
        <v>106</v>
      </c>
      <c r="H499" s="231">
        <v>11.625661995879556</v>
      </c>
      <c r="I499" s="328"/>
      <c r="J499" s="328"/>
      <c r="K499" s="328"/>
      <c r="L499" s="231">
        <v>13.333719254419359</v>
      </c>
      <c r="M499" s="328">
        <v>3.0824112698176505</v>
      </c>
      <c r="N499" s="328">
        <v>0.65607125459341109</v>
      </c>
      <c r="O499" s="328">
        <v>1.3289946884157936E-2</v>
      </c>
      <c r="P499" s="328">
        <v>0.43115424000328628</v>
      </c>
    </row>
    <row r="500" spans="2:16" ht="18" customHeight="1">
      <c r="B500" s="284"/>
      <c r="C500" s="311"/>
      <c r="D500" s="312"/>
      <c r="E500" s="289"/>
      <c r="F500" s="79">
        <v>3</v>
      </c>
      <c r="G500" s="178" t="s">
        <v>107</v>
      </c>
      <c r="H500" s="231">
        <v>54.763890627614884</v>
      </c>
      <c r="I500" s="328"/>
      <c r="J500" s="328"/>
      <c r="K500" s="328"/>
      <c r="L500" s="231">
        <v>60.693492964271101</v>
      </c>
      <c r="M500" s="328">
        <v>3.0824112698176505</v>
      </c>
      <c r="N500" s="328">
        <v>0.65607125459341109</v>
      </c>
      <c r="O500" s="328">
        <v>1.3289946884157936E-2</v>
      </c>
      <c r="P500" s="328">
        <v>0.43115424000328628</v>
      </c>
    </row>
    <row r="501" spans="2:16" ht="18" customHeight="1">
      <c r="B501" s="284"/>
      <c r="C501" s="313"/>
      <c r="D501" s="314"/>
      <c r="E501" s="288"/>
      <c r="F501" s="82">
        <v>4</v>
      </c>
      <c r="G501" s="180" t="s">
        <v>108</v>
      </c>
      <c r="H501" s="232">
        <v>32.100799417202481</v>
      </c>
      <c r="I501" s="329"/>
      <c r="J501" s="329"/>
      <c r="K501" s="329"/>
      <c r="L501" s="232">
        <v>24.506807266267607</v>
      </c>
      <c r="M501" s="329">
        <v>3.0824112698176505</v>
      </c>
      <c r="N501" s="329">
        <v>0.65607125459341109</v>
      </c>
      <c r="O501" s="329">
        <v>1.3289946884157936E-2</v>
      </c>
      <c r="P501" s="329">
        <v>0.43115424000328628</v>
      </c>
    </row>
    <row r="502" spans="2:16" ht="18" customHeight="1">
      <c r="B502" s="284"/>
      <c r="C502" s="309" t="s">
        <v>166</v>
      </c>
      <c r="D502" s="310"/>
      <c r="E502" s="287" t="str">
        <f>HYPERLINK("#LAYOUT_e4!lay초YPSY1A03","YPSY1A03")</f>
        <v>YPSY1A03</v>
      </c>
      <c r="F502" s="78">
        <v>1</v>
      </c>
      <c r="G502" s="179" t="s">
        <v>105</v>
      </c>
      <c r="H502" s="230">
        <v>1.2274215890545463</v>
      </c>
      <c r="I502" s="327">
        <v>3.4006146842119871</v>
      </c>
      <c r="J502" s="327">
        <v>1.2851594626067251E-2</v>
      </c>
      <c r="K502" s="327">
        <v>0.3779197533238115</v>
      </c>
      <c r="L502" s="230">
        <v>1.558634612904283</v>
      </c>
      <c r="M502" s="327">
        <v>3.2106996887587784</v>
      </c>
      <c r="N502" s="327">
        <v>0.6828001876272668</v>
      </c>
      <c r="O502" s="327">
        <v>1.3831391274234595E-2</v>
      </c>
      <c r="P502" s="327">
        <v>0.43079056327381599</v>
      </c>
    </row>
    <row r="503" spans="2:16" ht="18" customHeight="1">
      <c r="B503" s="284"/>
      <c r="C503" s="311"/>
      <c r="D503" s="312"/>
      <c r="E503" s="289"/>
      <c r="F503" s="79">
        <v>2</v>
      </c>
      <c r="G503" s="178" t="s">
        <v>106</v>
      </c>
      <c r="H503" s="231">
        <v>5.8324093041392393</v>
      </c>
      <c r="I503" s="328"/>
      <c r="J503" s="328"/>
      <c r="K503" s="328"/>
      <c r="L503" s="231">
        <v>10.310069107463312</v>
      </c>
      <c r="M503" s="328">
        <v>3.2106996887587784</v>
      </c>
      <c r="N503" s="328">
        <v>0.6828001876272668</v>
      </c>
      <c r="O503" s="328">
        <v>1.3831391274234595E-2</v>
      </c>
      <c r="P503" s="328">
        <v>0.43079056327381599</v>
      </c>
    </row>
    <row r="504" spans="2:16" ht="18" customHeight="1">
      <c r="B504" s="284"/>
      <c r="C504" s="311"/>
      <c r="D504" s="312"/>
      <c r="E504" s="289"/>
      <c r="F504" s="79">
        <v>3</v>
      </c>
      <c r="G504" s="178" t="s">
        <v>107</v>
      </c>
      <c r="H504" s="231">
        <v>44.591448203356208</v>
      </c>
      <c r="I504" s="328"/>
      <c r="J504" s="328"/>
      <c r="K504" s="328"/>
      <c r="L504" s="231">
        <v>53.633989070483764</v>
      </c>
      <c r="M504" s="328">
        <v>3.2106996887587784</v>
      </c>
      <c r="N504" s="328">
        <v>0.6828001876272668</v>
      </c>
      <c r="O504" s="328">
        <v>1.3831391274234595E-2</v>
      </c>
      <c r="P504" s="328">
        <v>0.43079056327381599</v>
      </c>
    </row>
    <row r="505" spans="2:16" ht="18" customHeight="1">
      <c r="B505" s="284"/>
      <c r="C505" s="313"/>
      <c r="D505" s="314"/>
      <c r="E505" s="288"/>
      <c r="F505" s="82">
        <v>4</v>
      </c>
      <c r="G505" s="180" t="s">
        <v>108</v>
      </c>
      <c r="H505" s="232">
        <v>48.348720903450008</v>
      </c>
      <c r="I505" s="329"/>
      <c r="J505" s="329"/>
      <c r="K505" s="329"/>
      <c r="L505" s="232">
        <v>34.49730720914863</v>
      </c>
      <c r="M505" s="329">
        <v>3.2106996887587784</v>
      </c>
      <c r="N505" s="329">
        <v>0.6828001876272668</v>
      </c>
      <c r="O505" s="329">
        <v>1.3831391274234595E-2</v>
      </c>
      <c r="P505" s="329">
        <v>0.43079056327381599</v>
      </c>
    </row>
    <row r="506" spans="2:16" ht="18" customHeight="1">
      <c r="B506" s="284"/>
      <c r="C506" s="309" t="s">
        <v>167</v>
      </c>
      <c r="D506" s="310"/>
      <c r="E506" s="287" t="str">
        <f>HYPERLINK("#LAYOUT_e4!lay초YPSY1A04","YPSY1A04")</f>
        <v>YPSY1A04</v>
      </c>
      <c r="F506" s="78">
        <v>1</v>
      </c>
      <c r="G506" s="179" t="s">
        <v>105</v>
      </c>
      <c r="H506" s="230">
        <v>1.8739512628343249</v>
      </c>
      <c r="I506" s="327">
        <v>3.0276272455283046</v>
      </c>
      <c r="J506" s="327">
        <v>1.3839063786618363E-2</v>
      </c>
      <c r="K506" s="327">
        <v>0.45709272193458311</v>
      </c>
      <c r="L506" s="230">
        <v>2.6610754407050097</v>
      </c>
      <c r="M506" s="327">
        <v>2.854833084650287</v>
      </c>
      <c r="N506" s="327">
        <v>0.70576008165520099</v>
      </c>
      <c r="O506" s="327">
        <v>1.429648674970432E-2</v>
      </c>
      <c r="P506" s="327">
        <v>0.50078187851236933</v>
      </c>
    </row>
    <row r="507" spans="2:16" ht="18" customHeight="1">
      <c r="B507" s="284"/>
      <c r="C507" s="311"/>
      <c r="D507" s="312"/>
      <c r="E507" s="289"/>
      <c r="F507" s="79">
        <v>2</v>
      </c>
      <c r="G507" s="178" t="s">
        <v>106</v>
      </c>
      <c r="H507" s="231">
        <v>17.989962319513573</v>
      </c>
      <c r="I507" s="328"/>
      <c r="J507" s="328"/>
      <c r="K507" s="328"/>
      <c r="L507" s="231">
        <v>25.223436277207245</v>
      </c>
      <c r="M507" s="328">
        <v>2.854833084650287</v>
      </c>
      <c r="N507" s="328">
        <v>0.70576008165520099</v>
      </c>
      <c r="O507" s="328">
        <v>1.429648674970432E-2</v>
      </c>
      <c r="P507" s="328">
        <v>0.50078187851236933</v>
      </c>
    </row>
    <row r="508" spans="2:16" ht="18" customHeight="1">
      <c r="B508" s="284"/>
      <c r="C508" s="311"/>
      <c r="D508" s="312"/>
      <c r="E508" s="289"/>
      <c r="F508" s="79">
        <v>3</v>
      </c>
      <c r="G508" s="178" t="s">
        <v>107</v>
      </c>
      <c r="H508" s="231">
        <v>55.635497019636034</v>
      </c>
      <c r="I508" s="328"/>
      <c r="J508" s="328"/>
      <c r="K508" s="328"/>
      <c r="L508" s="231">
        <v>56.086592658442633</v>
      </c>
      <c r="M508" s="328">
        <v>2.854833084650287</v>
      </c>
      <c r="N508" s="328">
        <v>0.70576008165520099</v>
      </c>
      <c r="O508" s="328">
        <v>1.429648674970432E-2</v>
      </c>
      <c r="P508" s="328">
        <v>0.50078187851236933</v>
      </c>
    </row>
    <row r="509" spans="2:16" ht="18" customHeight="1">
      <c r="B509" s="284"/>
      <c r="C509" s="313"/>
      <c r="D509" s="314"/>
      <c r="E509" s="288"/>
      <c r="F509" s="82">
        <v>4</v>
      </c>
      <c r="G509" s="180" t="s">
        <v>108</v>
      </c>
      <c r="H509" s="232">
        <v>24.500589398016071</v>
      </c>
      <c r="I509" s="329"/>
      <c r="J509" s="329"/>
      <c r="K509" s="329"/>
      <c r="L509" s="232">
        <v>16.028895623645159</v>
      </c>
      <c r="M509" s="329">
        <v>2.854833084650287</v>
      </c>
      <c r="N509" s="329">
        <v>0.70576008165520099</v>
      </c>
      <c r="O509" s="329">
        <v>1.429648674970432E-2</v>
      </c>
      <c r="P509" s="329">
        <v>0.50078187851236933</v>
      </c>
    </row>
    <row r="510" spans="2:16" ht="18" customHeight="1">
      <c r="B510" s="284"/>
      <c r="C510" s="309" t="s">
        <v>168</v>
      </c>
      <c r="D510" s="310"/>
      <c r="E510" s="287" t="str">
        <f>HYPERLINK("#LAYOUT_e4!lay초YPSY1A05","YPSY1A05")</f>
        <v>YPSY1A05</v>
      </c>
      <c r="F510" s="78">
        <v>1</v>
      </c>
      <c r="G510" s="179" t="s">
        <v>105</v>
      </c>
      <c r="H510" s="230">
        <v>7.4843928448223389</v>
      </c>
      <c r="I510" s="327">
        <v>2.9318920013276366</v>
      </c>
      <c r="J510" s="327">
        <v>1.7455805348155513E-2</v>
      </c>
      <c r="K510" s="327">
        <v>0.59537681948213195</v>
      </c>
      <c r="L510" s="230">
        <v>7.5239630730381846</v>
      </c>
      <c r="M510" s="327">
        <v>2.8110286288607642</v>
      </c>
      <c r="N510" s="327">
        <v>0.86765536629563422</v>
      </c>
      <c r="O510" s="327">
        <v>1.7575977687011718E-2</v>
      </c>
      <c r="P510" s="327">
        <v>0.62525075364084093</v>
      </c>
    </row>
    <row r="511" spans="2:16" ht="18" customHeight="1">
      <c r="B511" s="284"/>
      <c r="C511" s="311"/>
      <c r="D511" s="312"/>
      <c r="E511" s="289"/>
      <c r="F511" s="79">
        <v>2</v>
      </c>
      <c r="G511" s="178" t="s">
        <v>106</v>
      </c>
      <c r="H511" s="231">
        <v>20.887236161263441</v>
      </c>
      <c r="I511" s="328"/>
      <c r="J511" s="328"/>
      <c r="K511" s="328"/>
      <c r="L511" s="231">
        <v>26.288034276857829</v>
      </c>
      <c r="M511" s="328">
        <v>2.8110286288607642</v>
      </c>
      <c r="N511" s="328">
        <v>0.86765536629563422</v>
      </c>
      <c r="O511" s="328">
        <v>1.7575977687011718E-2</v>
      </c>
      <c r="P511" s="328">
        <v>0.62525075364084093</v>
      </c>
    </row>
    <row r="512" spans="2:16" ht="18" customHeight="1">
      <c r="B512" s="284"/>
      <c r="C512" s="311"/>
      <c r="D512" s="312"/>
      <c r="E512" s="289"/>
      <c r="F512" s="79">
        <v>3</v>
      </c>
      <c r="G512" s="178" t="s">
        <v>107</v>
      </c>
      <c r="H512" s="231">
        <v>42.583149010238799</v>
      </c>
      <c r="I512" s="328"/>
      <c r="J512" s="328"/>
      <c r="K512" s="328"/>
      <c r="L512" s="231">
        <v>43.749179341094361</v>
      </c>
      <c r="M512" s="328">
        <v>2.8110286288607642</v>
      </c>
      <c r="N512" s="328">
        <v>0.86765536629563422</v>
      </c>
      <c r="O512" s="328">
        <v>1.7575977687011718E-2</v>
      </c>
      <c r="P512" s="328">
        <v>0.62525075364084093</v>
      </c>
    </row>
    <row r="513" spans="2:16" ht="18" customHeight="1">
      <c r="B513" s="286"/>
      <c r="C513" s="313"/>
      <c r="D513" s="314"/>
      <c r="E513" s="288"/>
      <c r="F513" s="82">
        <v>4</v>
      </c>
      <c r="G513" s="180" t="s">
        <v>108</v>
      </c>
      <c r="H513" s="232">
        <v>29.045221983675429</v>
      </c>
      <c r="I513" s="329"/>
      <c r="J513" s="329"/>
      <c r="K513" s="329"/>
      <c r="L513" s="232">
        <v>22.438823309009621</v>
      </c>
      <c r="M513" s="329">
        <v>2.8110286288607642</v>
      </c>
      <c r="N513" s="329">
        <v>0.86765536629563422</v>
      </c>
      <c r="O513" s="329">
        <v>1.7575977687011718E-2</v>
      </c>
      <c r="P513" s="329">
        <v>0.62525075364084093</v>
      </c>
    </row>
    <row r="514" spans="2:16" ht="18" customHeight="1">
      <c r="B514" s="282" t="s">
        <v>169</v>
      </c>
      <c r="C514" s="309" t="s">
        <v>170</v>
      </c>
      <c r="D514" s="310"/>
      <c r="E514" s="287" t="str">
        <f>HYPERLINK("#LAYOUT_e4!lay초YPSY2A01","YPSY2A01")</f>
        <v>YPSY2A01</v>
      </c>
      <c r="F514" s="78">
        <v>1</v>
      </c>
      <c r="G514" s="179" t="s">
        <v>171</v>
      </c>
      <c r="H514" s="230">
        <v>0.69326815929490615</v>
      </c>
      <c r="I514" s="327">
        <v>3.4637723618561052</v>
      </c>
      <c r="J514" s="327">
        <v>1.1919482321226468E-2</v>
      </c>
      <c r="K514" s="327">
        <v>0.34411852385239494</v>
      </c>
      <c r="L514" s="230">
        <v>0.30789061517776589</v>
      </c>
      <c r="M514" s="327">
        <v>3.3257652003805198</v>
      </c>
      <c r="N514" s="327">
        <v>0.57307038497415286</v>
      </c>
      <c r="O514" s="327">
        <v>1.1608609467138398E-2</v>
      </c>
      <c r="P514" s="327">
        <v>0.3490507828336824</v>
      </c>
    </row>
    <row r="515" spans="2:16" ht="18" customHeight="1">
      <c r="B515" s="284"/>
      <c r="C515" s="311"/>
      <c r="D515" s="312"/>
      <c r="E515" s="289"/>
      <c r="F515" s="79">
        <v>2</v>
      </c>
      <c r="G515" s="178" t="s">
        <v>172</v>
      </c>
      <c r="H515" s="231">
        <v>3.9980674728152312</v>
      </c>
      <c r="I515" s="328"/>
      <c r="J515" s="328"/>
      <c r="K515" s="328"/>
      <c r="L515" s="231">
        <v>4.5079617404221564</v>
      </c>
      <c r="M515" s="328">
        <v>3.3257652003805198</v>
      </c>
      <c r="N515" s="328">
        <v>0.57307038497415286</v>
      </c>
      <c r="O515" s="328">
        <v>1.1608609467138398E-2</v>
      </c>
      <c r="P515" s="328">
        <v>0.3490507828336824</v>
      </c>
    </row>
    <row r="516" spans="2:16" ht="18" customHeight="1">
      <c r="B516" s="284"/>
      <c r="C516" s="311"/>
      <c r="D516" s="312"/>
      <c r="E516" s="289"/>
      <c r="F516" s="79">
        <v>3</v>
      </c>
      <c r="G516" s="178" t="s">
        <v>173</v>
      </c>
      <c r="H516" s="231">
        <v>43.546824390871805</v>
      </c>
      <c r="I516" s="328"/>
      <c r="J516" s="328"/>
      <c r="K516" s="328"/>
      <c r="L516" s="231">
        <v>57.483884635571954</v>
      </c>
      <c r="M516" s="328">
        <v>3.3257652003805198</v>
      </c>
      <c r="N516" s="328">
        <v>0.57307038497415286</v>
      </c>
      <c r="O516" s="328">
        <v>1.1608609467138398E-2</v>
      </c>
      <c r="P516" s="328">
        <v>0.3490507828336824</v>
      </c>
    </row>
    <row r="517" spans="2:16" ht="18" customHeight="1">
      <c r="B517" s="284"/>
      <c r="C517" s="313"/>
      <c r="D517" s="314"/>
      <c r="E517" s="288"/>
      <c r="F517" s="82">
        <v>4</v>
      </c>
      <c r="G517" s="180" t="s">
        <v>174</v>
      </c>
      <c r="H517" s="232">
        <v>51.761839977018063</v>
      </c>
      <c r="I517" s="329"/>
      <c r="J517" s="329"/>
      <c r="K517" s="329"/>
      <c r="L517" s="232">
        <v>37.700263008828131</v>
      </c>
      <c r="M517" s="329">
        <v>3.3257652003805198</v>
      </c>
      <c r="N517" s="329">
        <v>0.57307038497415286</v>
      </c>
      <c r="O517" s="329">
        <v>1.1608609467138398E-2</v>
      </c>
      <c r="P517" s="329">
        <v>0.3490507828336824</v>
      </c>
    </row>
    <row r="518" spans="2:16" ht="18" customHeight="1">
      <c r="B518" s="284"/>
      <c r="C518" s="309" t="s">
        <v>175</v>
      </c>
      <c r="D518" s="310"/>
      <c r="E518" s="287" t="str">
        <f>HYPERLINK("#LAYOUT_e4!lay초YPSY2A02","YPSY2A02")</f>
        <v>YPSY2A02</v>
      </c>
      <c r="F518" s="78">
        <v>1</v>
      </c>
      <c r="G518" s="179" t="s">
        <v>171</v>
      </c>
      <c r="H518" s="230">
        <v>0.99986595522636146</v>
      </c>
      <c r="I518" s="327">
        <v>3.4413264568360939</v>
      </c>
      <c r="J518" s="327">
        <v>1.2796622886066601E-2</v>
      </c>
      <c r="K518" s="327">
        <v>0.37185146618817527</v>
      </c>
      <c r="L518" s="230">
        <v>0.62032772810660597</v>
      </c>
      <c r="M518" s="327">
        <v>3.2926739878577926</v>
      </c>
      <c r="N518" s="327">
        <v>0.62503202922030843</v>
      </c>
      <c r="O518" s="327">
        <v>1.2661189483729556E-2</v>
      </c>
      <c r="P518" s="327">
        <v>0.38452605786116412</v>
      </c>
    </row>
    <row r="519" spans="2:16" ht="18" customHeight="1">
      <c r="B519" s="284"/>
      <c r="C519" s="311"/>
      <c r="D519" s="312"/>
      <c r="E519" s="289"/>
      <c r="F519" s="79">
        <v>2</v>
      </c>
      <c r="G519" s="178" t="s">
        <v>172</v>
      </c>
      <c r="H519" s="231">
        <v>6.0096198823441895</v>
      </c>
      <c r="I519" s="328"/>
      <c r="J519" s="328"/>
      <c r="K519" s="328"/>
      <c r="L519" s="231">
        <v>7.3134571728256388</v>
      </c>
      <c r="M519" s="328">
        <v>3.2926739878577926</v>
      </c>
      <c r="N519" s="328">
        <v>0.62503202922030843</v>
      </c>
      <c r="O519" s="328">
        <v>1.2661189483729556E-2</v>
      </c>
      <c r="P519" s="328">
        <v>0.38452605786116412</v>
      </c>
    </row>
    <row r="520" spans="2:16" ht="18" customHeight="1">
      <c r="B520" s="284"/>
      <c r="C520" s="311"/>
      <c r="D520" s="312"/>
      <c r="E520" s="289"/>
      <c r="F520" s="79">
        <v>3</v>
      </c>
      <c r="G520" s="178" t="s">
        <v>173</v>
      </c>
      <c r="H520" s="231">
        <v>40.848516686020382</v>
      </c>
      <c r="I520" s="328"/>
      <c r="J520" s="328"/>
      <c r="K520" s="328"/>
      <c r="L520" s="231">
        <v>54.244703684250865</v>
      </c>
      <c r="M520" s="328">
        <v>3.2926739878577926</v>
      </c>
      <c r="N520" s="328">
        <v>0.62503202922030843</v>
      </c>
      <c r="O520" s="328">
        <v>1.2661189483729556E-2</v>
      </c>
      <c r="P520" s="328">
        <v>0.38452605786116412</v>
      </c>
    </row>
    <row r="521" spans="2:16" ht="18" customHeight="1">
      <c r="B521" s="286"/>
      <c r="C521" s="313"/>
      <c r="D521" s="314"/>
      <c r="E521" s="288"/>
      <c r="F521" s="82">
        <v>4</v>
      </c>
      <c r="G521" s="180" t="s">
        <v>174</v>
      </c>
      <c r="H521" s="232">
        <v>52.141997476409074</v>
      </c>
      <c r="I521" s="329"/>
      <c r="J521" s="329"/>
      <c r="K521" s="329"/>
      <c r="L521" s="232">
        <v>37.821511414816904</v>
      </c>
      <c r="M521" s="329">
        <v>3.2926739878577926</v>
      </c>
      <c r="N521" s="329">
        <v>0.62503202922030843</v>
      </c>
      <c r="O521" s="329">
        <v>1.2661189483729556E-2</v>
      </c>
      <c r="P521" s="329">
        <v>0.38452605786116412</v>
      </c>
    </row>
    <row r="522" spans="2:16" ht="18" customHeight="1">
      <c r="B522" s="282" t="s">
        <v>169</v>
      </c>
      <c r="C522" s="309" t="s">
        <v>176</v>
      </c>
      <c r="D522" s="310"/>
      <c r="E522" s="287" t="str">
        <f>HYPERLINK("#LAYOUT_e4!lay초YPSY2A03","YPSY2A03")</f>
        <v>YPSY2A03</v>
      </c>
      <c r="F522" s="78">
        <v>1</v>
      </c>
      <c r="G522" s="179" t="s">
        <v>105</v>
      </c>
      <c r="H522" s="230">
        <v>1.2754359203922832</v>
      </c>
      <c r="I522" s="327">
        <v>3.2920865505515087</v>
      </c>
      <c r="J522" s="327">
        <v>1.2627559992508964E-2</v>
      </c>
      <c r="K522" s="327">
        <v>0.3835731472610745</v>
      </c>
      <c r="L522" s="230">
        <v>0.8801256701528728</v>
      </c>
      <c r="M522" s="327">
        <v>3.1480493199057165</v>
      </c>
      <c r="N522" s="327">
        <v>0.61612380119251908</v>
      </c>
      <c r="O522" s="327">
        <v>1.2480736710509584E-2</v>
      </c>
      <c r="P522" s="327">
        <v>0.3964593766556167</v>
      </c>
    </row>
    <row r="523" spans="2:16" ht="18" customHeight="1">
      <c r="B523" s="284"/>
      <c r="C523" s="311"/>
      <c r="D523" s="312"/>
      <c r="E523" s="289"/>
      <c r="F523" s="79">
        <v>2</v>
      </c>
      <c r="G523" s="178" t="s">
        <v>106</v>
      </c>
      <c r="H523" s="231">
        <v>6.6121142206842647</v>
      </c>
      <c r="I523" s="328"/>
      <c r="J523" s="328"/>
      <c r="K523" s="328"/>
      <c r="L523" s="231">
        <v>10.025725530837306</v>
      </c>
      <c r="M523" s="328">
        <v>3.1480493199057165</v>
      </c>
      <c r="N523" s="328">
        <v>0.61612380119251908</v>
      </c>
      <c r="O523" s="328">
        <v>1.2480736710509584E-2</v>
      </c>
      <c r="P523" s="328">
        <v>0.3964593766556167</v>
      </c>
    </row>
    <row r="524" spans="2:16" ht="18" customHeight="1">
      <c r="B524" s="284"/>
      <c r="C524" s="311"/>
      <c r="D524" s="312"/>
      <c r="E524" s="289"/>
      <c r="F524" s="79">
        <v>3</v>
      </c>
      <c r="G524" s="178" t="s">
        <v>107</v>
      </c>
      <c r="H524" s="231">
        <v>53.740808742300317</v>
      </c>
      <c r="I524" s="328"/>
      <c r="J524" s="328"/>
      <c r="K524" s="328"/>
      <c r="L524" s="231">
        <v>62.503239937296279</v>
      </c>
      <c r="M524" s="328">
        <v>3.1480493199057165</v>
      </c>
      <c r="N524" s="328">
        <v>0.61612380119251908</v>
      </c>
      <c r="O524" s="328">
        <v>1.2480736710509584E-2</v>
      </c>
      <c r="P524" s="328">
        <v>0.3964593766556167</v>
      </c>
    </row>
    <row r="525" spans="2:16" ht="18" customHeight="1">
      <c r="B525" s="284"/>
      <c r="C525" s="313"/>
      <c r="D525" s="314"/>
      <c r="E525" s="288"/>
      <c r="F525" s="82">
        <v>4</v>
      </c>
      <c r="G525" s="180" t="s">
        <v>108</v>
      </c>
      <c r="H525" s="232">
        <v>38.371641116623159</v>
      </c>
      <c r="I525" s="329"/>
      <c r="J525" s="329"/>
      <c r="K525" s="329"/>
      <c r="L525" s="232">
        <v>26.59090886171353</v>
      </c>
      <c r="M525" s="329">
        <v>3.1480493199057165</v>
      </c>
      <c r="N525" s="329">
        <v>0.61612380119251908</v>
      </c>
      <c r="O525" s="329">
        <v>1.2480736710509584E-2</v>
      </c>
      <c r="P525" s="329">
        <v>0.3964593766556167</v>
      </c>
    </row>
    <row r="526" spans="2:16" ht="18" customHeight="1">
      <c r="B526" s="284"/>
      <c r="C526" s="309" t="s">
        <v>177</v>
      </c>
      <c r="D526" s="310"/>
      <c r="E526" s="287" t="str">
        <f>HYPERLINK("#LAYOUT_e4!lay초YPSY2A04","YPSY2A04")</f>
        <v>YPSY2A04</v>
      </c>
      <c r="F526" s="78">
        <v>1</v>
      </c>
      <c r="G526" s="179" t="s">
        <v>105</v>
      </c>
      <c r="H526" s="230">
        <v>45.964504469052088</v>
      </c>
      <c r="I526" s="327">
        <v>1.7100016758504142</v>
      </c>
      <c r="J526" s="327">
        <v>1.5166873308279852E-2</v>
      </c>
      <c r="K526" s="327">
        <v>0.88695078621704293</v>
      </c>
      <c r="L526" s="230">
        <v>34.275284125258395</v>
      </c>
      <c r="M526" s="327">
        <v>1.8943726509302077</v>
      </c>
      <c r="N526" s="327">
        <v>0.79039921833407001</v>
      </c>
      <c r="O526" s="327">
        <v>1.6011010321507899E-2</v>
      </c>
      <c r="P526" s="327">
        <v>0.84518800002976691</v>
      </c>
    </row>
    <row r="527" spans="2:16" ht="18" customHeight="1">
      <c r="B527" s="284"/>
      <c r="C527" s="311"/>
      <c r="D527" s="312"/>
      <c r="E527" s="289"/>
      <c r="F527" s="79">
        <v>2</v>
      </c>
      <c r="G527" s="178" t="s">
        <v>106</v>
      </c>
      <c r="H527" s="231">
        <v>39.784622802965607</v>
      </c>
      <c r="I527" s="328"/>
      <c r="J527" s="328"/>
      <c r="K527" s="328"/>
      <c r="L527" s="231">
        <v>44.799835422849291</v>
      </c>
      <c r="M527" s="328">
        <v>1.8943726509302077</v>
      </c>
      <c r="N527" s="328">
        <v>0.79039921833407001</v>
      </c>
      <c r="O527" s="328">
        <v>1.6011010321507899E-2</v>
      </c>
      <c r="P527" s="328">
        <v>0.84518800002976691</v>
      </c>
    </row>
    <row r="528" spans="2:16" ht="18" customHeight="1">
      <c r="B528" s="284"/>
      <c r="C528" s="311"/>
      <c r="D528" s="312"/>
      <c r="E528" s="289"/>
      <c r="F528" s="79">
        <v>3</v>
      </c>
      <c r="G528" s="178" t="s">
        <v>107</v>
      </c>
      <c r="H528" s="231">
        <v>11.537073401869328</v>
      </c>
      <c r="I528" s="328"/>
      <c r="J528" s="328"/>
      <c r="K528" s="328"/>
      <c r="L528" s="231">
        <v>18.137211685505726</v>
      </c>
      <c r="M528" s="328">
        <v>1.8943726509302077</v>
      </c>
      <c r="N528" s="328">
        <v>0.79039921833407001</v>
      </c>
      <c r="O528" s="328">
        <v>1.6011010321507899E-2</v>
      </c>
      <c r="P528" s="328">
        <v>0.84518800002976691</v>
      </c>
    </row>
    <row r="529" spans="2:16" ht="18" customHeight="1">
      <c r="B529" s="286"/>
      <c r="C529" s="313"/>
      <c r="D529" s="314"/>
      <c r="E529" s="288"/>
      <c r="F529" s="82">
        <v>4</v>
      </c>
      <c r="G529" s="180" t="s">
        <v>108</v>
      </c>
      <c r="H529" s="232">
        <v>2.7137993261129703</v>
      </c>
      <c r="I529" s="329"/>
      <c r="J529" s="329"/>
      <c r="K529" s="329"/>
      <c r="L529" s="232">
        <v>2.7876687663865698</v>
      </c>
      <c r="M529" s="329">
        <v>1.8943726509302077</v>
      </c>
      <c r="N529" s="329">
        <v>0.79039921833407001</v>
      </c>
      <c r="O529" s="329">
        <v>1.6011010321507899E-2</v>
      </c>
      <c r="P529" s="329">
        <v>0.84518800002976691</v>
      </c>
    </row>
    <row r="530" spans="2:16" ht="18" customHeight="1">
      <c r="B530" s="282" t="s">
        <v>136</v>
      </c>
      <c r="C530" s="309" t="s">
        <v>178</v>
      </c>
      <c r="D530" s="310"/>
      <c r="E530" s="287" t="str">
        <f>HYPERLINK("#LAYOUT_e4!lay초YPSY3A01","YPSY3A01")</f>
        <v>YPSY3A01</v>
      </c>
      <c r="F530" s="78">
        <v>1</v>
      </c>
      <c r="G530" s="179" t="s">
        <v>105</v>
      </c>
      <c r="H530" s="230">
        <v>0.85893524037151936</v>
      </c>
      <c r="I530" s="327">
        <v>3.4842781436034822</v>
      </c>
      <c r="J530" s="327">
        <v>1.2359979296538461E-2</v>
      </c>
      <c r="K530" s="327">
        <v>0.35473572393263691</v>
      </c>
      <c r="L530" s="230">
        <v>0.77607477340990749</v>
      </c>
      <c r="M530" s="327">
        <v>3.2661375120766962</v>
      </c>
      <c r="N530" s="327">
        <v>0.64010097019895906</v>
      </c>
      <c r="O530" s="327">
        <v>1.2966438987963489E-2</v>
      </c>
      <c r="P530" s="327">
        <v>0.39699611360573389</v>
      </c>
    </row>
    <row r="531" spans="2:16" ht="18" customHeight="1">
      <c r="B531" s="284"/>
      <c r="C531" s="311"/>
      <c r="D531" s="312"/>
      <c r="E531" s="289"/>
      <c r="F531" s="79">
        <v>2</v>
      </c>
      <c r="G531" s="178" t="s">
        <v>106</v>
      </c>
      <c r="H531" s="231">
        <v>4.8413653111881745</v>
      </c>
      <c r="I531" s="328"/>
      <c r="J531" s="328"/>
      <c r="K531" s="328"/>
      <c r="L531" s="231">
        <v>8.3844150181355648</v>
      </c>
      <c r="M531" s="328">
        <v>3.2661375120766962</v>
      </c>
      <c r="N531" s="328">
        <v>0.64010097019895906</v>
      </c>
      <c r="O531" s="328">
        <v>1.2966438987963489E-2</v>
      </c>
      <c r="P531" s="328">
        <v>0.39699611360573389</v>
      </c>
    </row>
    <row r="532" spans="2:16" ht="18" customHeight="1">
      <c r="B532" s="284"/>
      <c r="C532" s="311"/>
      <c r="D532" s="312"/>
      <c r="E532" s="289"/>
      <c r="F532" s="79">
        <v>3</v>
      </c>
      <c r="G532" s="178" t="s">
        <v>107</v>
      </c>
      <c r="H532" s="231">
        <v>39.312649296158646</v>
      </c>
      <c r="I532" s="328"/>
      <c r="J532" s="328"/>
      <c r="K532" s="328"/>
      <c r="L532" s="231">
        <v>54.289194435830645</v>
      </c>
      <c r="M532" s="328">
        <v>3.2661375120766962</v>
      </c>
      <c r="N532" s="328">
        <v>0.64010097019895906</v>
      </c>
      <c r="O532" s="328">
        <v>1.2966438987963489E-2</v>
      </c>
      <c r="P532" s="328">
        <v>0.39699611360573389</v>
      </c>
    </row>
    <row r="533" spans="2:16" ht="18" customHeight="1">
      <c r="B533" s="284"/>
      <c r="C533" s="313"/>
      <c r="D533" s="314"/>
      <c r="E533" s="288"/>
      <c r="F533" s="82">
        <v>4</v>
      </c>
      <c r="G533" s="180" t="s">
        <v>108</v>
      </c>
      <c r="H533" s="232">
        <v>54.987050152281689</v>
      </c>
      <c r="I533" s="329"/>
      <c r="J533" s="329"/>
      <c r="K533" s="329"/>
      <c r="L533" s="232">
        <v>36.550315772623875</v>
      </c>
      <c r="M533" s="329">
        <v>3.2661375120766962</v>
      </c>
      <c r="N533" s="329">
        <v>0.64010097019895906</v>
      </c>
      <c r="O533" s="329">
        <v>1.2966438987963489E-2</v>
      </c>
      <c r="P533" s="329">
        <v>0.39699611360573389</v>
      </c>
    </row>
    <row r="534" spans="2:16" ht="18" customHeight="1">
      <c r="B534" s="284"/>
      <c r="C534" s="309" t="s">
        <v>179</v>
      </c>
      <c r="D534" s="310"/>
      <c r="E534" s="287" t="str">
        <f>HYPERLINK("#LAYOUT_e4!lay초YPSY3A02","YPSY3A02")</f>
        <v>YPSY3A02</v>
      </c>
      <c r="F534" s="78">
        <v>1</v>
      </c>
      <c r="G534" s="179" t="s">
        <v>105</v>
      </c>
      <c r="H534" s="230">
        <v>52.461730357541342</v>
      </c>
      <c r="I534" s="327">
        <v>1.6650505173580286</v>
      </c>
      <c r="J534" s="327">
        <v>1.5900326311981215E-2</v>
      </c>
      <c r="K534" s="327">
        <v>0.95494557950173209</v>
      </c>
      <c r="L534" s="230">
        <v>38.610652904050241</v>
      </c>
      <c r="M534" s="327">
        <v>1.8721709606442407</v>
      </c>
      <c r="N534" s="327">
        <v>0.83398247651674173</v>
      </c>
      <c r="O534" s="327">
        <v>1.6893870502061325E-2</v>
      </c>
      <c r="P534" s="327">
        <v>0.90236793846262275</v>
      </c>
    </row>
    <row r="535" spans="2:16" ht="18" customHeight="1">
      <c r="B535" s="284"/>
      <c r="C535" s="311"/>
      <c r="D535" s="312"/>
      <c r="E535" s="289"/>
      <c r="F535" s="79">
        <v>2</v>
      </c>
      <c r="G535" s="178" t="s">
        <v>106</v>
      </c>
      <c r="H535" s="231">
        <v>31.409284220395552</v>
      </c>
      <c r="I535" s="328"/>
      <c r="J535" s="328"/>
      <c r="K535" s="328"/>
      <c r="L535" s="231">
        <v>38.921478770167774</v>
      </c>
      <c r="M535" s="328">
        <v>1.8721709606442407</v>
      </c>
      <c r="N535" s="328">
        <v>0.83398247651674173</v>
      </c>
      <c r="O535" s="328">
        <v>1.6893870502061325E-2</v>
      </c>
      <c r="P535" s="328">
        <v>0.90236793846262275</v>
      </c>
    </row>
    <row r="536" spans="2:16" ht="18" customHeight="1">
      <c r="B536" s="284"/>
      <c r="C536" s="311"/>
      <c r="D536" s="312"/>
      <c r="E536" s="289"/>
      <c r="F536" s="79">
        <v>3</v>
      </c>
      <c r="G536" s="178" t="s">
        <v>107</v>
      </c>
      <c r="H536" s="231">
        <v>13.291188750780089</v>
      </c>
      <c r="I536" s="328"/>
      <c r="J536" s="328"/>
      <c r="K536" s="328"/>
      <c r="L536" s="231">
        <v>19.107987683090162</v>
      </c>
      <c r="M536" s="328">
        <v>1.8721709606442407</v>
      </c>
      <c r="N536" s="328">
        <v>0.83398247651674173</v>
      </c>
      <c r="O536" s="328">
        <v>1.6893870502061325E-2</v>
      </c>
      <c r="P536" s="328">
        <v>0.90236793846262275</v>
      </c>
    </row>
    <row r="537" spans="2:16" ht="18" customHeight="1">
      <c r="B537" s="284"/>
      <c r="C537" s="313"/>
      <c r="D537" s="314"/>
      <c r="E537" s="288"/>
      <c r="F537" s="82">
        <v>4</v>
      </c>
      <c r="G537" s="180" t="s">
        <v>108</v>
      </c>
      <c r="H537" s="232">
        <v>2.8377966712830252</v>
      </c>
      <c r="I537" s="329"/>
      <c r="J537" s="329"/>
      <c r="K537" s="329"/>
      <c r="L537" s="232">
        <v>3.3598806426918517</v>
      </c>
      <c r="M537" s="329">
        <v>1.8721709606442407</v>
      </c>
      <c r="N537" s="329">
        <v>0.83398247651674173</v>
      </c>
      <c r="O537" s="329">
        <v>1.6893870502061325E-2</v>
      </c>
      <c r="P537" s="329">
        <v>0.90236793846262275</v>
      </c>
    </row>
    <row r="538" spans="2:16" ht="18" customHeight="1">
      <c r="B538" s="284"/>
      <c r="C538" s="309" t="s">
        <v>180</v>
      </c>
      <c r="D538" s="310"/>
      <c r="E538" s="287" t="str">
        <f>HYPERLINK("#LAYOUT_e4!lay초YPSY3A03","YPSY3A03")</f>
        <v>YPSY3A03</v>
      </c>
      <c r="F538" s="78">
        <v>1</v>
      </c>
      <c r="G538" s="179" t="s">
        <v>105</v>
      </c>
      <c r="H538" s="230">
        <v>1.6264007488102183</v>
      </c>
      <c r="I538" s="327">
        <v>3.2272672600580443</v>
      </c>
      <c r="J538" s="327">
        <v>1.3807787550936609E-2</v>
      </c>
      <c r="K538" s="327">
        <v>0.42784766300043825</v>
      </c>
      <c r="L538" s="230">
        <v>2.1617707860340576</v>
      </c>
      <c r="M538" s="327">
        <v>3.0770961493623559</v>
      </c>
      <c r="N538" s="327">
        <v>0.70932238120452251</v>
      </c>
      <c r="O538" s="327">
        <v>1.4368647771033144E-2</v>
      </c>
      <c r="P538" s="327">
        <v>0.46695478703226895</v>
      </c>
    </row>
    <row r="539" spans="2:16" ht="18" customHeight="1">
      <c r="B539" s="284"/>
      <c r="C539" s="311"/>
      <c r="D539" s="312"/>
      <c r="E539" s="289"/>
      <c r="F539" s="79">
        <v>2</v>
      </c>
      <c r="G539" s="178" t="s">
        <v>106</v>
      </c>
      <c r="H539" s="231">
        <v>11.182301241230205</v>
      </c>
      <c r="I539" s="328"/>
      <c r="J539" s="328"/>
      <c r="K539" s="328"/>
      <c r="L539" s="231">
        <v>15.103660108049805</v>
      </c>
      <c r="M539" s="328">
        <v>3.0770961493623559</v>
      </c>
      <c r="N539" s="328">
        <v>0.70932238120452251</v>
      </c>
      <c r="O539" s="328">
        <v>1.4368647771033144E-2</v>
      </c>
      <c r="P539" s="328">
        <v>0.46695478703226895</v>
      </c>
    </row>
    <row r="540" spans="2:16" ht="18" customHeight="1">
      <c r="B540" s="284"/>
      <c r="C540" s="311"/>
      <c r="D540" s="312"/>
      <c r="E540" s="289"/>
      <c r="F540" s="79">
        <v>3</v>
      </c>
      <c r="G540" s="178" t="s">
        <v>107</v>
      </c>
      <c r="H540" s="231">
        <v>50.029469265301515</v>
      </c>
      <c r="I540" s="328"/>
      <c r="J540" s="328"/>
      <c r="K540" s="328"/>
      <c r="L540" s="231">
        <v>55.597752489563526</v>
      </c>
      <c r="M540" s="328">
        <v>3.0770961493623559</v>
      </c>
      <c r="N540" s="328">
        <v>0.70932238120452251</v>
      </c>
      <c r="O540" s="328">
        <v>1.4368647771033144E-2</v>
      </c>
      <c r="P540" s="328">
        <v>0.46695478703226895</v>
      </c>
    </row>
    <row r="541" spans="2:16" ht="18" customHeight="1">
      <c r="B541" s="284"/>
      <c r="C541" s="313"/>
      <c r="D541" s="314"/>
      <c r="E541" s="288"/>
      <c r="F541" s="82">
        <v>4</v>
      </c>
      <c r="G541" s="180" t="s">
        <v>108</v>
      </c>
      <c r="H541" s="232">
        <v>37.16182874465801</v>
      </c>
      <c r="I541" s="329"/>
      <c r="J541" s="329"/>
      <c r="K541" s="329"/>
      <c r="L541" s="232">
        <v>27.136816616352625</v>
      </c>
      <c r="M541" s="329">
        <v>3.0770961493623559</v>
      </c>
      <c r="N541" s="329">
        <v>0.70932238120452251</v>
      </c>
      <c r="O541" s="329">
        <v>1.4368647771033144E-2</v>
      </c>
      <c r="P541" s="329">
        <v>0.46695478703226895</v>
      </c>
    </row>
    <row r="542" spans="2:16" ht="18" customHeight="1">
      <c r="B542" s="284"/>
      <c r="C542" s="309" t="s">
        <v>181</v>
      </c>
      <c r="D542" s="310"/>
      <c r="E542" s="287" t="str">
        <f>HYPERLINK("#LAYOUT_e4!lay초YPSY3A04","YPSY3A04")</f>
        <v>YPSY3A04</v>
      </c>
      <c r="F542" s="78">
        <v>1</v>
      </c>
      <c r="G542" s="179" t="s">
        <v>105</v>
      </c>
      <c r="H542" s="230">
        <v>1.4447621907227299</v>
      </c>
      <c r="I542" s="327">
        <v>3.3410582976370424</v>
      </c>
      <c r="J542" s="327">
        <v>1.3166444791584509E-2</v>
      </c>
      <c r="K542" s="327">
        <v>0.39408006741146823</v>
      </c>
      <c r="L542" s="230">
        <v>1.2659388795040947</v>
      </c>
      <c r="M542" s="327">
        <v>3.2140492523740645</v>
      </c>
      <c r="N542" s="327">
        <v>0.67908611830259813</v>
      </c>
      <c r="O542" s="327">
        <v>1.3756155873044041E-2</v>
      </c>
      <c r="P542" s="327">
        <v>0.42800078010263909</v>
      </c>
    </row>
    <row r="543" spans="2:16" ht="18" customHeight="1">
      <c r="B543" s="284"/>
      <c r="C543" s="311"/>
      <c r="D543" s="312"/>
      <c r="E543" s="289"/>
      <c r="F543" s="79">
        <v>2</v>
      </c>
      <c r="G543" s="178" t="s">
        <v>106</v>
      </c>
      <c r="H543" s="231">
        <v>7.0170281443474485</v>
      </c>
      <c r="I543" s="328"/>
      <c r="J543" s="328"/>
      <c r="K543" s="328"/>
      <c r="L543" s="231">
        <v>10.839011077224098</v>
      </c>
      <c r="M543" s="328">
        <v>3.2140492523740645</v>
      </c>
      <c r="N543" s="328">
        <v>0.67908611830259813</v>
      </c>
      <c r="O543" s="328">
        <v>1.3756155873044041E-2</v>
      </c>
      <c r="P543" s="328">
        <v>0.42800078010263909</v>
      </c>
    </row>
    <row r="544" spans="2:16" ht="18" customHeight="1">
      <c r="B544" s="284"/>
      <c r="C544" s="311"/>
      <c r="D544" s="312"/>
      <c r="E544" s="289"/>
      <c r="F544" s="79">
        <v>3</v>
      </c>
      <c r="G544" s="178" t="s">
        <v>107</v>
      </c>
      <c r="H544" s="231">
        <v>47.525827375429756</v>
      </c>
      <c r="I544" s="328"/>
      <c r="J544" s="328"/>
      <c r="K544" s="328"/>
      <c r="L544" s="231">
        <v>53.119235969633699</v>
      </c>
      <c r="M544" s="328">
        <v>3.2140492523740645</v>
      </c>
      <c r="N544" s="328">
        <v>0.67908611830259813</v>
      </c>
      <c r="O544" s="328">
        <v>1.3756155873044041E-2</v>
      </c>
      <c r="P544" s="328">
        <v>0.42800078010263909</v>
      </c>
    </row>
    <row r="545" spans="2:16" ht="18" customHeight="1">
      <c r="B545" s="284"/>
      <c r="C545" s="313"/>
      <c r="D545" s="314"/>
      <c r="E545" s="288"/>
      <c r="F545" s="82">
        <v>4</v>
      </c>
      <c r="G545" s="180" t="s">
        <v>108</v>
      </c>
      <c r="H545" s="232">
        <v>44.012382289500088</v>
      </c>
      <c r="I545" s="329"/>
      <c r="J545" s="329"/>
      <c r="K545" s="329"/>
      <c r="L545" s="232">
        <v>34.775814073638109</v>
      </c>
      <c r="M545" s="329">
        <v>3.2140492523740645</v>
      </c>
      <c r="N545" s="329">
        <v>0.67908611830259813</v>
      </c>
      <c r="O545" s="329">
        <v>1.3756155873044041E-2</v>
      </c>
      <c r="P545" s="329">
        <v>0.42800078010263909</v>
      </c>
    </row>
    <row r="546" spans="2:16" ht="18" customHeight="1">
      <c r="B546" s="284"/>
      <c r="C546" s="309" t="s">
        <v>182</v>
      </c>
      <c r="D546" s="310"/>
      <c r="E546" s="287" t="str">
        <f>HYPERLINK("#LAYOUT_e4!lay초YPSY3A05","YPSY3A05")</f>
        <v>YPSY3A05</v>
      </c>
      <c r="F546" s="78">
        <v>1</v>
      </c>
      <c r="G546" s="179" t="s">
        <v>105</v>
      </c>
      <c r="H546" s="230">
        <v>47.323587026217687</v>
      </c>
      <c r="I546" s="327">
        <v>1.6957425131469603</v>
      </c>
      <c r="J546" s="327">
        <v>1.507018684280664E-2</v>
      </c>
      <c r="K546" s="327">
        <v>0.88870726103572018</v>
      </c>
      <c r="L546" s="230">
        <v>35.52696474010957</v>
      </c>
      <c r="M546" s="327">
        <v>1.8604341171823076</v>
      </c>
      <c r="N546" s="327">
        <v>0.7769240736205586</v>
      </c>
      <c r="O546" s="327">
        <v>1.5738046133174588E-2</v>
      </c>
      <c r="P546" s="327">
        <v>0.84593407462395953</v>
      </c>
    </row>
    <row r="547" spans="2:16" ht="18" customHeight="1">
      <c r="B547" s="284"/>
      <c r="C547" s="311"/>
      <c r="D547" s="312"/>
      <c r="E547" s="289"/>
      <c r="F547" s="79">
        <v>2</v>
      </c>
      <c r="G547" s="178" t="s">
        <v>106</v>
      </c>
      <c r="H547" s="231">
        <v>37.888995116072152</v>
      </c>
      <c r="I547" s="328"/>
      <c r="J547" s="328"/>
      <c r="K547" s="328"/>
      <c r="L547" s="231">
        <v>45.496086488413759</v>
      </c>
      <c r="M547" s="328">
        <v>1.8604341171823076</v>
      </c>
      <c r="N547" s="328">
        <v>0.7769240736205586</v>
      </c>
      <c r="O547" s="328">
        <v>1.5738046133174588E-2</v>
      </c>
      <c r="P547" s="328">
        <v>0.84593407462395953</v>
      </c>
    </row>
    <row r="548" spans="2:16" ht="18" customHeight="1">
      <c r="B548" s="284"/>
      <c r="C548" s="311"/>
      <c r="D548" s="312"/>
      <c r="E548" s="289"/>
      <c r="F548" s="79">
        <v>3</v>
      </c>
      <c r="G548" s="178" t="s">
        <v>107</v>
      </c>
      <c r="H548" s="231">
        <v>12.676997374504705</v>
      </c>
      <c r="I548" s="328"/>
      <c r="J548" s="328"/>
      <c r="K548" s="328"/>
      <c r="L548" s="231">
        <v>16.383521084613474</v>
      </c>
      <c r="M548" s="328">
        <v>1.8604341171823076</v>
      </c>
      <c r="N548" s="328">
        <v>0.7769240736205586</v>
      </c>
      <c r="O548" s="328">
        <v>1.5738046133174588E-2</v>
      </c>
      <c r="P548" s="328">
        <v>0.84593407462395953</v>
      </c>
    </row>
    <row r="549" spans="2:16" ht="18" customHeight="1">
      <c r="B549" s="284"/>
      <c r="C549" s="313"/>
      <c r="D549" s="314"/>
      <c r="E549" s="288"/>
      <c r="F549" s="82">
        <v>4</v>
      </c>
      <c r="G549" s="180" t="s">
        <v>108</v>
      </c>
      <c r="H549" s="232">
        <v>2.110420483205464</v>
      </c>
      <c r="I549" s="329"/>
      <c r="J549" s="329"/>
      <c r="K549" s="329"/>
      <c r="L549" s="232">
        <v>2.5934276868632065</v>
      </c>
      <c r="M549" s="329">
        <v>1.8604341171823076</v>
      </c>
      <c r="N549" s="329">
        <v>0.7769240736205586</v>
      </c>
      <c r="O549" s="329">
        <v>1.5738046133174588E-2</v>
      </c>
      <c r="P549" s="329">
        <v>0.84593407462395953</v>
      </c>
    </row>
    <row r="550" spans="2:16" ht="18" customHeight="1">
      <c r="B550" s="284"/>
      <c r="C550" s="309" t="s">
        <v>183</v>
      </c>
      <c r="D550" s="310"/>
      <c r="E550" s="287" t="str">
        <f>HYPERLINK("#LAYOUT_e4!lay초YPSY3A06","YPSY3A06")</f>
        <v>YPSY3A06</v>
      </c>
      <c r="F550" s="78">
        <v>1</v>
      </c>
      <c r="G550" s="179" t="s">
        <v>105</v>
      </c>
      <c r="H550" s="230">
        <v>58.888294288448208</v>
      </c>
      <c r="I550" s="327">
        <v>1.5507399047467776</v>
      </c>
      <c r="J550" s="327">
        <v>1.473280446365959E-2</v>
      </c>
      <c r="K550" s="327">
        <v>0.95004999991054706</v>
      </c>
      <c r="L550" s="230">
        <v>45.961266341051363</v>
      </c>
      <c r="M550" s="327">
        <v>1.7285272384917183</v>
      </c>
      <c r="N550" s="327">
        <v>0.78935962771757207</v>
      </c>
      <c r="O550" s="327">
        <v>1.5989951474655841E-2</v>
      </c>
      <c r="P550" s="327">
        <v>0.92506216382267592</v>
      </c>
    </row>
    <row r="551" spans="2:16" ht="18" customHeight="1">
      <c r="B551" s="284"/>
      <c r="C551" s="311"/>
      <c r="D551" s="312"/>
      <c r="E551" s="289"/>
      <c r="F551" s="79">
        <v>2</v>
      </c>
      <c r="G551" s="178" t="s">
        <v>106</v>
      </c>
      <c r="H551" s="231">
        <v>29.098198297567155</v>
      </c>
      <c r="I551" s="328"/>
      <c r="J551" s="328"/>
      <c r="K551" s="328"/>
      <c r="L551" s="231">
        <v>37.663635381248412</v>
      </c>
      <c r="M551" s="328">
        <v>1.7285272384917183</v>
      </c>
      <c r="N551" s="328">
        <v>0.78935962771757207</v>
      </c>
      <c r="O551" s="328">
        <v>1.5989951474655841E-2</v>
      </c>
      <c r="P551" s="328">
        <v>0.92506216382267592</v>
      </c>
    </row>
    <row r="552" spans="2:16" ht="18" customHeight="1">
      <c r="B552" s="284"/>
      <c r="C552" s="311"/>
      <c r="D552" s="312"/>
      <c r="E552" s="289"/>
      <c r="F552" s="79">
        <v>3</v>
      </c>
      <c r="G552" s="178" t="s">
        <v>107</v>
      </c>
      <c r="H552" s="231">
        <v>10.064730064841577</v>
      </c>
      <c r="I552" s="328"/>
      <c r="J552" s="328"/>
      <c r="K552" s="328"/>
      <c r="L552" s="231">
        <v>13.936206365177405</v>
      </c>
      <c r="M552" s="328">
        <v>1.7285272384917183</v>
      </c>
      <c r="N552" s="328">
        <v>0.78935962771757207</v>
      </c>
      <c r="O552" s="328">
        <v>1.5989951474655841E-2</v>
      </c>
      <c r="P552" s="328">
        <v>0.92506216382267592</v>
      </c>
    </row>
    <row r="553" spans="2:16" ht="18" customHeight="1">
      <c r="B553" s="284"/>
      <c r="C553" s="313"/>
      <c r="D553" s="314"/>
      <c r="E553" s="288"/>
      <c r="F553" s="82">
        <v>4</v>
      </c>
      <c r="G553" s="180" t="s">
        <v>108</v>
      </c>
      <c r="H553" s="232">
        <v>1.9487773491430713</v>
      </c>
      <c r="I553" s="329"/>
      <c r="J553" s="329"/>
      <c r="K553" s="329"/>
      <c r="L553" s="232">
        <v>2.4388919125228075</v>
      </c>
      <c r="M553" s="329">
        <v>1.7285272384917183</v>
      </c>
      <c r="N553" s="329">
        <v>0.78935962771757207</v>
      </c>
      <c r="O553" s="329">
        <v>1.5989951474655841E-2</v>
      </c>
      <c r="P553" s="329">
        <v>0.92506216382267592</v>
      </c>
    </row>
    <row r="554" spans="2:16" ht="18" customHeight="1">
      <c r="B554" s="284"/>
      <c r="C554" s="309" t="s">
        <v>184</v>
      </c>
      <c r="D554" s="310"/>
      <c r="E554" s="287" t="str">
        <f>HYPERLINK("#LAYOUT_e4!lay초YPSY3A07","YPSY3A07")</f>
        <v>YPSY3A07</v>
      </c>
      <c r="F554" s="78">
        <v>1</v>
      </c>
      <c r="G554" s="179" t="s">
        <v>105</v>
      </c>
      <c r="H554" s="230">
        <v>1.7669551911408998</v>
      </c>
      <c r="I554" s="327">
        <v>3.2643599882643057</v>
      </c>
      <c r="J554" s="327">
        <v>1.3150298807022809E-2</v>
      </c>
      <c r="K554" s="327">
        <v>0.40284462664348991</v>
      </c>
      <c r="L554" s="230">
        <v>2.5592633472459672</v>
      </c>
      <c r="M554" s="327">
        <v>3.1255166251092072</v>
      </c>
      <c r="N554" s="327">
        <v>0.68845879005252808</v>
      </c>
      <c r="O554" s="327">
        <v>1.3946016820078544E-2</v>
      </c>
      <c r="P554" s="327">
        <v>0.44619877264582658</v>
      </c>
    </row>
    <row r="555" spans="2:16" ht="18" customHeight="1">
      <c r="B555" s="284"/>
      <c r="C555" s="311"/>
      <c r="D555" s="312"/>
      <c r="E555" s="289"/>
      <c r="F555" s="79">
        <v>2</v>
      </c>
      <c r="G555" s="178" t="s">
        <v>106</v>
      </c>
      <c r="H555" s="231">
        <v>7.5082709235490581</v>
      </c>
      <c r="I555" s="328"/>
      <c r="J555" s="328"/>
      <c r="K555" s="328"/>
      <c r="L555" s="231">
        <v>10.523150572514783</v>
      </c>
      <c r="M555" s="328">
        <v>3.1255166251092072</v>
      </c>
      <c r="N555" s="328">
        <v>0.68845879005252808</v>
      </c>
      <c r="O555" s="328">
        <v>1.3946016820078544E-2</v>
      </c>
      <c r="P555" s="328">
        <v>0.44619877264582658</v>
      </c>
    </row>
    <row r="556" spans="2:16" ht="18" customHeight="1">
      <c r="B556" s="284"/>
      <c r="C556" s="311"/>
      <c r="D556" s="312"/>
      <c r="E556" s="289"/>
      <c r="F556" s="79">
        <v>3</v>
      </c>
      <c r="G556" s="178" t="s">
        <v>107</v>
      </c>
      <c r="H556" s="231">
        <v>53.246593753045296</v>
      </c>
      <c r="I556" s="328"/>
      <c r="J556" s="328"/>
      <c r="K556" s="328"/>
      <c r="L556" s="231">
        <v>58.72424630231329</v>
      </c>
      <c r="M556" s="328">
        <v>3.1255166251092072</v>
      </c>
      <c r="N556" s="328">
        <v>0.68845879005252808</v>
      </c>
      <c r="O556" s="328">
        <v>1.3946016820078544E-2</v>
      </c>
      <c r="P556" s="328">
        <v>0.44619877264582658</v>
      </c>
    </row>
    <row r="557" spans="2:16" ht="18" customHeight="1">
      <c r="B557" s="284"/>
      <c r="C557" s="313"/>
      <c r="D557" s="314"/>
      <c r="E557" s="288"/>
      <c r="F557" s="82">
        <v>4</v>
      </c>
      <c r="G557" s="180" t="s">
        <v>108</v>
      </c>
      <c r="H557" s="232">
        <v>37.478180132264754</v>
      </c>
      <c r="I557" s="329"/>
      <c r="J557" s="329"/>
      <c r="K557" s="329"/>
      <c r="L557" s="232">
        <v>28.193339777925946</v>
      </c>
      <c r="M557" s="329">
        <v>3.1255166251092072</v>
      </c>
      <c r="N557" s="329">
        <v>0.68845879005252808</v>
      </c>
      <c r="O557" s="329">
        <v>1.3946016820078544E-2</v>
      </c>
      <c r="P557" s="329">
        <v>0.44619877264582658</v>
      </c>
    </row>
    <row r="558" spans="2:16" ht="18" customHeight="1">
      <c r="B558" s="284"/>
      <c r="C558" s="309" t="s">
        <v>185</v>
      </c>
      <c r="D558" s="310"/>
      <c r="E558" s="287" t="str">
        <f>HYPERLINK("#LAYOUT_e4!lay초YPSY3A08","YPSY3A08")</f>
        <v>YPSY3A08</v>
      </c>
      <c r="F558" s="78">
        <v>1</v>
      </c>
      <c r="G558" s="179" t="s">
        <v>105</v>
      </c>
      <c r="H558" s="230">
        <v>10.185586687697594</v>
      </c>
      <c r="I558" s="327">
        <v>2.8828166373687205</v>
      </c>
      <c r="J558" s="327">
        <v>1.773432286333166E-2</v>
      </c>
      <c r="K558" s="327">
        <v>0.61517346033907305</v>
      </c>
      <c r="L558" s="230">
        <v>7.6984496872944721</v>
      </c>
      <c r="M558" s="327">
        <v>2.7855458585014228</v>
      </c>
      <c r="N558" s="327">
        <v>0.80959855006380144</v>
      </c>
      <c r="O558" s="327">
        <v>1.6399928593895229E-2</v>
      </c>
      <c r="P558" s="327">
        <v>0.58875098192488995</v>
      </c>
    </row>
    <row r="559" spans="2:16" ht="18" customHeight="1">
      <c r="B559" s="284"/>
      <c r="C559" s="311"/>
      <c r="D559" s="312"/>
      <c r="E559" s="289"/>
      <c r="F559" s="79">
        <v>2</v>
      </c>
      <c r="G559" s="178" t="s">
        <v>106</v>
      </c>
      <c r="H559" s="231">
        <v>16.969163919290011</v>
      </c>
      <c r="I559" s="328"/>
      <c r="J559" s="328"/>
      <c r="K559" s="328"/>
      <c r="L559" s="231">
        <v>22.685929683716353</v>
      </c>
      <c r="M559" s="328">
        <v>2.7855458585014228</v>
      </c>
      <c r="N559" s="328">
        <v>0.80959855006380144</v>
      </c>
      <c r="O559" s="328">
        <v>1.6399928593895229E-2</v>
      </c>
      <c r="P559" s="328">
        <v>0.58875098192488995</v>
      </c>
    </row>
    <row r="560" spans="2:16" ht="18" customHeight="1">
      <c r="B560" s="284"/>
      <c r="C560" s="311"/>
      <c r="D560" s="312"/>
      <c r="E560" s="289"/>
      <c r="F560" s="79">
        <v>3</v>
      </c>
      <c r="G560" s="178" t="s">
        <v>107</v>
      </c>
      <c r="H560" s="231">
        <v>47.223248361452072</v>
      </c>
      <c r="I560" s="328"/>
      <c r="J560" s="328"/>
      <c r="K560" s="328"/>
      <c r="L560" s="231">
        <v>52.97820572054178</v>
      </c>
      <c r="M560" s="328">
        <v>2.7855458585014228</v>
      </c>
      <c r="N560" s="328">
        <v>0.80959855006380144</v>
      </c>
      <c r="O560" s="328">
        <v>1.6399928593895229E-2</v>
      </c>
      <c r="P560" s="328">
        <v>0.58875098192488995</v>
      </c>
    </row>
    <row r="561" spans="2:16" ht="18" customHeight="1">
      <c r="B561" s="284"/>
      <c r="C561" s="313"/>
      <c r="D561" s="314"/>
      <c r="E561" s="288"/>
      <c r="F561" s="82">
        <v>4</v>
      </c>
      <c r="G561" s="180" t="s">
        <v>108</v>
      </c>
      <c r="H561" s="232">
        <v>25.622001031560327</v>
      </c>
      <c r="I561" s="329"/>
      <c r="J561" s="329"/>
      <c r="K561" s="329"/>
      <c r="L561" s="232">
        <v>16.637414908447422</v>
      </c>
      <c r="M561" s="329">
        <v>2.7855458585014228</v>
      </c>
      <c r="N561" s="329">
        <v>0.80959855006380144</v>
      </c>
      <c r="O561" s="329">
        <v>1.6399928593895229E-2</v>
      </c>
      <c r="P561" s="329">
        <v>0.58875098192488995</v>
      </c>
    </row>
    <row r="562" spans="2:16" ht="18" customHeight="1">
      <c r="B562" s="284"/>
      <c r="C562" s="309" t="s">
        <v>186</v>
      </c>
      <c r="D562" s="310"/>
      <c r="E562" s="287" t="str">
        <f>HYPERLINK("#LAYOUT_e4!lay초YPSY3A09","YPSY3A09")</f>
        <v>YPSY3A09</v>
      </c>
      <c r="F562" s="78">
        <v>1</v>
      </c>
      <c r="G562" s="179" t="s">
        <v>105</v>
      </c>
      <c r="H562" s="230">
        <v>53.428151826622546</v>
      </c>
      <c r="I562" s="327">
        <v>1.630057396633791</v>
      </c>
      <c r="J562" s="327">
        <v>1.5282503378960349E-2</v>
      </c>
      <c r="K562" s="327">
        <v>0.93754388100198405</v>
      </c>
      <c r="L562" s="230">
        <v>42.488980061503511</v>
      </c>
      <c r="M562" s="327">
        <v>1.7682794281199719</v>
      </c>
      <c r="N562" s="327">
        <v>0.78144766195895687</v>
      </c>
      <c r="O562" s="327">
        <v>1.582967985180225E-2</v>
      </c>
      <c r="P562" s="327">
        <v>0.89520239844854754</v>
      </c>
    </row>
    <row r="563" spans="2:16" ht="18" customHeight="1">
      <c r="B563" s="284"/>
      <c r="C563" s="311"/>
      <c r="D563" s="312"/>
      <c r="E563" s="289"/>
      <c r="F563" s="79">
        <v>2</v>
      </c>
      <c r="G563" s="178" t="s">
        <v>106</v>
      </c>
      <c r="H563" s="231">
        <v>32.482016225818008</v>
      </c>
      <c r="I563" s="328"/>
      <c r="J563" s="328"/>
      <c r="K563" s="328"/>
      <c r="L563" s="231">
        <v>40.49636024996056</v>
      </c>
      <c r="M563" s="328">
        <v>1.7682794281199719</v>
      </c>
      <c r="N563" s="328">
        <v>0.78144766195895687</v>
      </c>
      <c r="O563" s="328">
        <v>1.582967985180225E-2</v>
      </c>
      <c r="P563" s="328">
        <v>0.89520239844854754</v>
      </c>
    </row>
    <row r="564" spans="2:16" ht="18" customHeight="1">
      <c r="B564" s="284"/>
      <c r="C564" s="311"/>
      <c r="D564" s="312"/>
      <c r="E564" s="289"/>
      <c r="F564" s="79">
        <v>3</v>
      </c>
      <c r="G564" s="178" t="s">
        <v>107</v>
      </c>
      <c r="H564" s="231">
        <v>11.745772405115069</v>
      </c>
      <c r="I564" s="328"/>
      <c r="J564" s="328"/>
      <c r="K564" s="328"/>
      <c r="L564" s="231">
        <v>14.712396503571545</v>
      </c>
      <c r="M564" s="328">
        <v>1.7682794281199719</v>
      </c>
      <c r="N564" s="328">
        <v>0.78144766195895687</v>
      </c>
      <c r="O564" s="328">
        <v>1.582967985180225E-2</v>
      </c>
      <c r="P564" s="328">
        <v>0.89520239844854754</v>
      </c>
    </row>
    <row r="565" spans="2:16" ht="18" customHeight="1">
      <c r="B565" s="284"/>
      <c r="C565" s="313"/>
      <c r="D565" s="314"/>
      <c r="E565" s="288"/>
      <c r="F565" s="82">
        <v>4</v>
      </c>
      <c r="G565" s="180" t="s">
        <v>108</v>
      </c>
      <c r="H565" s="232">
        <v>2.344059542444382</v>
      </c>
      <c r="I565" s="329"/>
      <c r="J565" s="329"/>
      <c r="K565" s="329"/>
      <c r="L565" s="232">
        <v>2.3022631849643744</v>
      </c>
      <c r="M565" s="329">
        <v>1.7682794281199719</v>
      </c>
      <c r="N565" s="329">
        <v>0.78144766195895687</v>
      </c>
      <c r="O565" s="329">
        <v>1.582967985180225E-2</v>
      </c>
      <c r="P565" s="329">
        <v>0.89520239844854754</v>
      </c>
    </row>
    <row r="566" spans="2:16" ht="18" customHeight="1">
      <c r="B566" s="284"/>
      <c r="C566" s="309" t="s">
        <v>187</v>
      </c>
      <c r="D566" s="310"/>
      <c r="E566" s="287" t="str">
        <f>HYPERLINK("#LAYOUT_e4!lay초YPSY3A10","YPSY3A10")</f>
        <v>YPSY3A10</v>
      </c>
      <c r="F566" s="78">
        <v>1</v>
      </c>
      <c r="G566" s="179" t="s">
        <v>105</v>
      </c>
      <c r="H566" s="230">
        <v>1.8721216441051964</v>
      </c>
      <c r="I566" s="327">
        <v>3.2659140640692903</v>
      </c>
      <c r="J566" s="327">
        <v>1.368412411089579E-2</v>
      </c>
      <c r="K566" s="327">
        <v>0.41899829090559526</v>
      </c>
      <c r="L566" s="230">
        <v>2.1504300966731686</v>
      </c>
      <c r="M566" s="327">
        <v>3.1464482974956276</v>
      </c>
      <c r="N566" s="327">
        <v>0.69588567578887939</v>
      </c>
      <c r="O566" s="327">
        <v>1.409646224237034E-2</v>
      </c>
      <c r="P566" s="327">
        <v>0.4480118822734267</v>
      </c>
    </row>
    <row r="567" spans="2:16" ht="18" customHeight="1">
      <c r="B567" s="284"/>
      <c r="C567" s="311"/>
      <c r="D567" s="312"/>
      <c r="E567" s="289"/>
      <c r="F567" s="79">
        <v>2</v>
      </c>
      <c r="G567" s="178" t="s">
        <v>106</v>
      </c>
      <c r="H567" s="231">
        <v>9.0228057622284155</v>
      </c>
      <c r="I567" s="328"/>
      <c r="J567" s="328"/>
      <c r="K567" s="328"/>
      <c r="L567" s="231">
        <v>11.501558203187823</v>
      </c>
      <c r="M567" s="328">
        <v>3.1464482974956276</v>
      </c>
      <c r="N567" s="328">
        <v>0.69588567578887939</v>
      </c>
      <c r="O567" s="328">
        <v>1.409646224237034E-2</v>
      </c>
      <c r="P567" s="328">
        <v>0.4480118822734267</v>
      </c>
    </row>
    <row r="568" spans="2:16" ht="18" customHeight="1">
      <c r="B568" s="284"/>
      <c r="C568" s="311"/>
      <c r="D568" s="312"/>
      <c r="E568" s="289"/>
      <c r="F568" s="79">
        <v>3</v>
      </c>
      <c r="G568" s="178" t="s">
        <v>107</v>
      </c>
      <c r="H568" s="231">
        <v>49.746617136295114</v>
      </c>
      <c r="I568" s="328"/>
      <c r="J568" s="328"/>
      <c r="K568" s="328"/>
      <c r="L568" s="231">
        <v>55.900763554043209</v>
      </c>
      <c r="M568" s="328">
        <v>3.1464482974956276</v>
      </c>
      <c r="N568" s="328">
        <v>0.69588567578887939</v>
      </c>
      <c r="O568" s="328">
        <v>1.409646224237034E-2</v>
      </c>
      <c r="P568" s="328">
        <v>0.4480118822734267</v>
      </c>
    </row>
    <row r="569" spans="2:16" ht="18" customHeight="1">
      <c r="B569" s="286"/>
      <c r="C569" s="313"/>
      <c r="D569" s="314"/>
      <c r="E569" s="288"/>
      <c r="F569" s="82">
        <v>4</v>
      </c>
      <c r="G569" s="180" t="s">
        <v>108</v>
      </c>
      <c r="H569" s="232">
        <v>39.358455457371278</v>
      </c>
      <c r="I569" s="329"/>
      <c r="J569" s="329"/>
      <c r="K569" s="329"/>
      <c r="L569" s="232">
        <v>30.447248146095777</v>
      </c>
      <c r="M569" s="329">
        <v>3.1464482974956276</v>
      </c>
      <c r="N569" s="329">
        <v>0.69588567578887939</v>
      </c>
      <c r="O569" s="329">
        <v>1.409646224237034E-2</v>
      </c>
      <c r="P569" s="329">
        <v>0.4480118822734267</v>
      </c>
    </row>
    <row r="570" spans="2:16" ht="18" customHeight="1">
      <c r="B570" s="282" t="s">
        <v>136</v>
      </c>
      <c r="C570" s="309" t="s">
        <v>188</v>
      </c>
      <c r="D570" s="310"/>
      <c r="E570" s="287" t="str">
        <f>HYPERLINK("#LAYOUT_e4!lay초YPSY4A01","YPSY4A01")</f>
        <v>YPSY4A01</v>
      </c>
      <c r="F570" s="78">
        <v>1</v>
      </c>
      <c r="G570" s="179" t="s">
        <v>105</v>
      </c>
      <c r="H570" s="230">
        <v>30.16916106904894</v>
      </c>
      <c r="I570" s="327">
        <v>2.0177007583917672</v>
      </c>
      <c r="J570" s="327">
        <v>1.6586193435960329E-2</v>
      </c>
      <c r="K570" s="327">
        <v>0.82203435603506203</v>
      </c>
      <c r="L570" s="230">
        <v>22.828107375032712</v>
      </c>
      <c r="M570" s="327">
        <v>2.1164389398900005</v>
      </c>
      <c r="N570" s="327">
        <v>0.79599127326650376</v>
      </c>
      <c r="O570" s="327">
        <v>1.612428782376853E-2</v>
      </c>
      <c r="P570" s="327">
        <v>0.76185934400765509</v>
      </c>
    </row>
    <row r="571" spans="2:16" ht="18" customHeight="1">
      <c r="B571" s="284"/>
      <c r="C571" s="311"/>
      <c r="D571" s="312"/>
      <c r="E571" s="289"/>
      <c r="F571" s="79">
        <v>2</v>
      </c>
      <c r="G571" s="178" t="s">
        <v>106</v>
      </c>
      <c r="H571" s="231">
        <v>42.698835070639696</v>
      </c>
      <c r="I571" s="328"/>
      <c r="J571" s="328"/>
      <c r="K571" s="328"/>
      <c r="L571" s="231">
        <v>46.394843950467767</v>
      </c>
      <c r="M571" s="328">
        <v>2.1164389398900005</v>
      </c>
      <c r="N571" s="328">
        <v>0.79599127326650376</v>
      </c>
      <c r="O571" s="328">
        <v>1.612428782376853E-2</v>
      </c>
      <c r="P571" s="328">
        <v>0.76185934400765509</v>
      </c>
    </row>
    <row r="572" spans="2:16" ht="18" customHeight="1">
      <c r="B572" s="284"/>
      <c r="C572" s="311"/>
      <c r="D572" s="312"/>
      <c r="E572" s="289"/>
      <c r="F572" s="79">
        <v>3</v>
      </c>
      <c r="G572" s="178" t="s">
        <v>107</v>
      </c>
      <c r="H572" s="231">
        <v>22.324770812395919</v>
      </c>
      <c r="I572" s="328"/>
      <c r="J572" s="328"/>
      <c r="K572" s="328"/>
      <c r="L572" s="231">
        <v>27.082095984966443</v>
      </c>
      <c r="M572" s="328">
        <v>2.1164389398900005</v>
      </c>
      <c r="N572" s="328">
        <v>0.79599127326650376</v>
      </c>
      <c r="O572" s="328">
        <v>1.612428782376853E-2</v>
      </c>
      <c r="P572" s="328">
        <v>0.76185934400765509</v>
      </c>
    </row>
    <row r="573" spans="2:16" ht="18" customHeight="1">
      <c r="B573" s="284"/>
      <c r="C573" s="313"/>
      <c r="D573" s="314"/>
      <c r="E573" s="288"/>
      <c r="F573" s="82">
        <v>4</v>
      </c>
      <c r="G573" s="180" t="s">
        <v>108</v>
      </c>
      <c r="H573" s="232">
        <v>4.8072330479154548</v>
      </c>
      <c r="I573" s="329"/>
      <c r="J573" s="329"/>
      <c r="K573" s="329"/>
      <c r="L573" s="232">
        <v>3.6949526895330673</v>
      </c>
      <c r="M573" s="329">
        <v>2.1164389398900005</v>
      </c>
      <c r="N573" s="329">
        <v>0.79599127326650376</v>
      </c>
      <c r="O573" s="329">
        <v>1.612428782376853E-2</v>
      </c>
      <c r="P573" s="329">
        <v>0.76185934400765509</v>
      </c>
    </row>
    <row r="574" spans="2:16" ht="18" customHeight="1">
      <c r="B574" s="284"/>
      <c r="C574" s="309" t="s">
        <v>189</v>
      </c>
      <c r="D574" s="310"/>
      <c r="E574" s="287" t="str">
        <f>HYPERLINK("#LAYOUT_e4!lay초YPSY4A02","YPSY4A02")</f>
        <v>YPSY4A02</v>
      </c>
      <c r="F574" s="78">
        <v>1</v>
      </c>
      <c r="G574" s="179" t="s">
        <v>105</v>
      </c>
      <c r="H574" s="230">
        <v>25.628337791797538</v>
      </c>
      <c r="I574" s="327">
        <v>2.1483891712993071</v>
      </c>
      <c r="J574" s="327">
        <v>1.6851903579097473E-2</v>
      </c>
      <c r="K574" s="327">
        <v>0.78439715691295109</v>
      </c>
      <c r="L574" s="230">
        <v>19.351168408117744</v>
      </c>
      <c r="M574" s="327">
        <v>2.2590477306195518</v>
      </c>
      <c r="N574" s="327">
        <v>0.8239346908714702</v>
      </c>
      <c r="O574" s="327">
        <v>1.669033386393835E-2</v>
      </c>
      <c r="P574" s="327">
        <v>0.73882165647562303</v>
      </c>
    </row>
    <row r="575" spans="2:16" ht="18" customHeight="1">
      <c r="B575" s="284"/>
      <c r="C575" s="311"/>
      <c r="D575" s="312"/>
      <c r="E575" s="289"/>
      <c r="F575" s="79">
        <v>2</v>
      </c>
      <c r="G575" s="178" t="s">
        <v>106</v>
      </c>
      <c r="H575" s="231">
        <v>38.96103928502157</v>
      </c>
      <c r="I575" s="328"/>
      <c r="J575" s="328"/>
      <c r="K575" s="328"/>
      <c r="L575" s="231">
        <v>40.374111898520226</v>
      </c>
      <c r="M575" s="328">
        <v>2.2590477306195518</v>
      </c>
      <c r="N575" s="328">
        <v>0.8239346908714702</v>
      </c>
      <c r="O575" s="328">
        <v>1.669033386393835E-2</v>
      </c>
      <c r="P575" s="328">
        <v>0.73882165647562303</v>
      </c>
    </row>
    <row r="576" spans="2:16" ht="18" customHeight="1">
      <c r="B576" s="284"/>
      <c r="C576" s="311"/>
      <c r="D576" s="312"/>
      <c r="E576" s="289"/>
      <c r="F576" s="79">
        <v>3</v>
      </c>
      <c r="G576" s="178" t="s">
        <v>107</v>
      </c>
      <c r="H576" s="231">
        <v>30.35399092463172</v>
      </c>
      <c r="I576" s="328"/>
      <c r="J576" s="328"/>
      <c r="K576" s="328"/>
      <c r="L576" s="231">
        <v>35.293497916651553</v>
      </c>
      <c r="M576" s="328">
        <v>2.2590477306195518</v>
      </c>
      <c r="N576" s="328">
        <v>0.8239346908714702</v>
      </c>
      <c r="O576" s="328">
        <v>1.669033386393835E-2</v>
      </c>
      <c r="P576" s="328">
        <v>0.73882165647562303</v>
      </c>
    </row>
    <row r="577" spans="2:16" ht="18" customHeight="1">
      <c r="B577" s="284"/>
      <c r="C577" s="313"/>
      <c r="D577" s="314"/>
      <c r="E577" s="288"/>
      <c r="F577" s="82">
        <v>4</v>
      </c>
      <c r="G577" s="180" t="s">
        <v>108</v>
      </c>
      <c r="H577" s="232">
        <v>5.0566319985491877</v>
      </c>
      <c r="I577" s="329"/>
      <c r="J577" s="329"/>
      <c r="K577" s="329"/>
      <c r="L577" s="232">
        <v>4.981221776710492</v>
      </c>
      <c r="M577" s="329">
        <v>2.2590477306195518</v>
      </c>
      <c r="N577" s="329">
        <v>0.8239346908714702</v>
      </c>
      <c r="O577" s="329">
        <v>1.669033386393835E-2</v>
      </c>
      <c r="P577" s="329">
        <v>0.73882165647562303</v>
      </c>
    </row>
    <row r="578" spans="2:16" ht="18" customHeight="1">
      <c r="B578" s="284"/>
      <c r="C578" s="309" t="s">
        <v>190</v>
      </c>
      <c r="D578" s="310"/>
      <c r="E578" s="287" t="str">
        <f>HYPERLINK("#LAYOUT_e4!lay초YPSY4A03","YPSY4A03")</f>
        <v>YPSY4A03</v>
      </c>
      <c r="F578" s="78">
        <v>1</v>
      </c>
      <c r="G578" s="179" t="s">
        <v>105</v>
      </c>
      <c r="H578" s="230">
        <v>25.274068268268451</v>
      </c>
      <c r="I578" s="327">
        <v>2.1534506322704514</v>
      </c>
      <c r="J578" s="327">
        <v>1.6868599250173796E-2</v>
      </c>
      <c r="K578" s="327">
        <v>0.7833288117865369</v>
      </c>
      <c r="L578" s="230">
        <v>18.924250490060913</v>
      </c>
      <c r="M578" s="327">
        <v>2.2943360346140449</v>
      </c>
      <c r="N578" s="327">
        <v>0.85065237271681615</v>
      </c>
      <c r="O578" s="327">
        <v>1.7231550340207423E-2</v>
      </c>
      <c r="P578" s="327">
        <v>0.75104736534838679</v>
      </c>
    </row>
    <row r="579" spans="2:16" ht="18" customHeight="1">
      <c r="B579" s="284"/>
      <c r="C579" s="311"/>
      <c r="D579" s="312"/>
      <c r="E579" s="289"/>
      <c r="F579" s="79">
        <v>2</v>
      </c>
      <c r="G579" s="178" t="s">
        <v>106</v>
      </c>
      <c r="H579" s="231">
        <v>39.41437336021972</v>
      </c>
      <c r="I579" s="328"/>
      <c r="J579" s="328"/>
      <c r="K579" s="328"/>
      <c r="L579" s="231">
        <v>39.574155045408425</v>
      </c>
      <c r="M579" s="328">
        <v>2.2943360346140449</v>
      </c>
      <c r="N579" s="328">
        <v>0.85065237271681615</v>
      </c>
      <c r="O579" s="328">
        <v>1.7231550340207423E-2</v>
      </c>
      <c r="P579" s="328">
        <v>0.75104736534838679</v>
      </c>
    </row>
    <row r="580" spans="2:16" ht="18" customHeight="1">
      <c r="B580" s="284"/>
      <c r="C580" s="311"/>
      <c r="D580" s="312"/>
      <c r="E580" s="289"/>
      <c r="F580" s="79">
        <v>3</v>
      </c>
      <c r="G580" s="178" t="s">
        <v>107</v>
      </c>
      <c r="H580" s="231">
        <v>30.003985247708641</v>
      </c>
      <c r="I580" s="328"/>
      <c r="J580" s="328"/>
      <c r="K580" s="328"/>
      <c r="L580" s="231">
        <v>34.645334977596661</v>
      </c>
      <c r="M580" s="328">
        <v>2.2943360346140449</v>
      </c>
      <c r="N580" s="328">
        <v>0.85065237271681615</v>
      </c>
      <c r="O580" s="328">
        <v>1.7231550340207423E-2</v>
      </c>
      <c r="P580" s="328">
        <v>0.75104736534838679</v>
      </c>
    </row>
    <row r="581" spans="2:16" ht="18" customHeight="1">
      <c r="B581" s="284"/>
      <c r="C581" s="313"/>
      <c r="D581" s="314"/>
      <c r="E581" s="288"/>
      <c r="F581" s="82">
        <v>4</v>
      </c>
      <c r="G581" s="180" t="s">
        <v>108</v>
      </c>
      <c r="H581" s="232">
        <v>5.3075731238031993</v>
      </c>
      <c r="I581" s="329"/>
      <c r="J581" s="329"/>
      <c r="K581" s="329"/>
      <c r="L581" s="232">
        <v>6.8562594869340225</v>
      </c>
      <c r="M581" s="329">
        <v>2.2943360346140449</v>
      </c>
      <c r="N581" s="329">
        <v>0.85065237271681615</v>
      </c>
      <c r="O581" s="329">
        <v>1.7231550340207423E-2</v>
      </c>
      <c r="P581" s="329">
        <v>0.75104736534838679</v>
      </c>
    </row>
    <row r="582" spans="2:16" ht="18" customHeight="1">
      <c r="B582" s="284"/>
      <c r="C582" s="309" t="s">
        <v>191</v>
      </c>
      <c r="D582" s="310"/>
      <c r="E582" s="287" t="str">
        <f>HYPERLINK("#LAYOUT_e4!lay초YPSY4A04","YPSY4A04")</f>
        <v>YPSY4A04</v>
      </c>
      <c r="F582" s="78">
        <v>1</v>
      </c>
      <c r="G582" s="179" t="s">
        <v>105</v>
      </c>
      <c r="H582" s="230">
        <v>30.080739925273178</v>
      </c>
      <c r="I582" s="327">
        <v>2.1028943467480565</v>
      </c>
      <c r="J582" s="327">
        <v>1.7938508470702844E-2</v>
      </c>
      <c r="K582" s="327">
        <v>0.8530389792736468</v>
      </c>
      <c r="L582" s="230">
        <v>27.943339713118046</v>
      </c>
      <c r="M582" s="327">
        <v>2.1044040795416334</v>
      </c>
      <c r="N582" s="327">
        <v>0.88383745936722435</v>
      </c>
      <c r="O582" s="327">
        <v>1.7903776163000748E-2</v>
      </c>
      <c r="P582" s="327">
        <v>0.85077653750321647</v>
      </c>
    </row>
    <row r="583" spans="2:16" ht="18" customHeight="1">
      <c r="B583" s="284"/>
      <c r="C583" s="311"/>
      <c r="D583" s="312"/>
      <c r="E583" s="289"/>
      <c r="F583" s="79">
        <v>2</v>
      </c>
      <c r="G583" s="178" t="s">
        <v>106</v>
      </c>
      <c r="H583" s="231">
        <v>36.782238767403442</v>
      </c>
      <c r="I583" s="328"/>
      <c r="J583" s="328"/>
      <c r="K583" s="328"/>
      <c r="L583" s="231">
        <v>40.09678498963828</v>
      </c>
      <c r="M583" s="328">
        <v>2.1044040795416334</v>
      </c>
      <c r="N583" s="328">
        <v>0.88383745936722435</v>
      </c>
      <c r="O583" s="328">
        <v>1.7903776163000748E-2</v>
      </c>
      <c r="P583" s="328">
        <v>0.85077653750321647</v>
      </c>
    </row>
    <row r="584" spans="2:16" ht="18" customHeight="1">
      <c r="B584" s="284"/>
      <c r="C584" s="311"/>
      <c r="D584" s="312"/>
      <c r="E584" s="289"/>
      <c r="F584" s="79">
        <v>3</v>
      </c>
      <c r="G584" s="178" t="s">
        <v>107</v>
      </c>
      <c r="H584" s="231">
        <v>25.903868014566395</v>
      </c>
      <c r="I584" s="328"/>
      <c r="J584" s="328"/>
      <c r="K584" s="328"/>
      <c r="L584" s="231">
        <v>25.536002927205921</v>
      </c>
      <c r="M584" s="328">
        <v>2.1044040795416334</v>
      </c>
      <c r="N584" s="328">
        <v>0.88383745936722435</v>
      </c>
      <c r="O584" s="328">
        <v>1.7903776163000748E-2</v>
      </c>
      <c r="P584" s="328">
        <v>0.85077653750321647</v>
      </c>
    </row>
    <row r="585" spans="2:16" ht="18" customHeight="1">
      <c r="B585" s="284"/>
      <c r="C585" s="313"/>
      <c r="D585" s="314"/>
      <c r="E585" s="288"/>
      <c r="F585" s="82">
        <v>4</v>
      </c>
      <c r="G585" s="180" t="s">
        <v>108</v>
      </c>
      <c r="H585" s="232">
        <v>7.2331532927569935</v>
      </c>
      <c r="I585" s="329"/>
      <c r="J585" s="329"/>
      <c r="K585" s="329"/>
      <c r="L585" s="232">
        <v>6.4238723700377642</v>
      </c>
      <c r="M585" s="329">
        <v>2.1044040795416334</v>
      </c>
      <c r="N585" s="329">
        <v>0.88383745936722435</v>
      </c>
      <c r="O585" s="329">
        <v>1.7903776163000748E-2</v>
      </c>
      <c r="P585" s="329">
        <v>0.85077653750321647</v>
      </c>
    </row>
    <row r="586" spans="2:16" ht="18" customHeight="1">
      <c r="B586" s="284"/>
      <c r="C586" s="309" t="s">
        <v>192</v>
      </c>
      <c r="D586" s="310"/>
      <c r="E586" s="287" t="str">
        <f>HYPERLINK("#LAYOUT_e4!lay초YPSY4A05","YPSY4A05")</f>
        <v>YPSY4A05</v>
      </c>
      <c r="F586" s="78">
        <v>1</v>
      </c>
      <c r="G586" s="179" t="s">
        <v>105</v>
      </c>
      <c r="H586" s="230">
        <v>27.829697692045798</v>
      </c>
      <c r="I586" s="327">
        <v>2.0282658634425612</v>
      </c>
      <c r="J586" s="327">
        <v>1.5606736102403011E-2</v>
      </c>
      <c r="K586" s="327">
        <v>0.76946205049834115</v>
      </c>
      <c r="L586" s="230">
        <v>23.590621563649918</v>
      </c>
      <c r="M586" s="327">
        <v>2.0953720694924804</v>
      </c>
      <c r="N586" s="327">
        <v>0.79634860344700142</v>
      </c>
      <c r="O586" s="327">
        <v>1.6131526213022246E-2</v>
      </c>
      <c r="P586" s="327">
        <v>0.76986452420020379</v>
      </c>
    </row>
    <row r="587" spans="2:16" ht="18" customHeight="1">
      <c r="B587" s="284"/>
      <c r="C587" s="311"/>
      <c r="D587" s="312"/>
      <c r="E587" s="289"/>
      <c r="F587" s="79">
        <v>2</v>
      </c>
      <c r="G587" s="178" t="s">
        <v>106</v>
      </c>
      <c r="H587" s="231">
        <v>44.048173952921331</v>
      </c>
      <c r="I587" s="328"/>
      <c r="J587" s="328"/>
      <c r="K587" s="328"/>
      <c r="L587" s="231">
        <v>47.072660070843618</v>
      </c>
      <c r="M587" s="328">
        <v>2.0953720694924804</v>
      </c>
      <c r="N587" s="328">
        <v>0.79634860344700142</v>
      </c>
      <c r="O587" s="328">
        <v>1.6131526213022246E-2</v>
      </c>
      <c r="P587" s="328">
        <v>0.76986452420020379</v>
      </c>
    </row>
    <row r="588" spans="2:16" ht="18" customHeight="1">
      <c r="B588" s="284"/>
      <c r="C588" s="311"/>
      <c r="D588" s="312"/>
      <c r="E588" s="289"/>
      <c r="F588" s="79">
        <v>3</v>
      </c>
      <c r="G588" s="178" t="s">
        <v>107</v>
      </c>
      <c r="H588" s="231">
        <v>25.587972673762238</v>
      </c>
      <c r="I588" s="328"/>
      <c r="J588" s="328"/>
      <c r="K588" s="328"/>
      <c r="L588" s="231">
        <v>25.545608218115039</v>
      </c>
      <c r="M588" s="328">
        <v>2.0953720694924804</v>
      </c>
      <c r="N588" s="328">
        <v>0.79634860344700142</v>
      </c>
      <c r="O588" s="328">
        <v>1.6131526213022246E-2</v>
      </c>
      <c r="P588" s="328">
        <v>0.76986452420020379</v>
      </c>
    </row>
    <row r="589" spans="2:16" ht="18" customHeight="1">
      <c r="B589" s="284"/>
      <c r="C589" s="313"/>
      <c r="D589" s="314"/>
      <c r="E589" s="288"/>
      <c r="F589" s="82">
        <v>4</v>
      </c>
      <c r="G589" s="180" t="s">
        <v>108</v>
      </c>
      <c r="H589" s="232">
        <v>2.5341556812706183</v>
      </c>
      <c r="I589" s="329"/>
      <c r="J589" s="329"/>
      <c r="K589" s="329"/>
      <c r="L589" s="232">
        <v>3.7911101473914126</v>
      </c>
      <c r="M589" s="329">
        <v>2.0953720694924804</v>
      </c>
      <c r="N589" s="329">
        <v>0.79634860344700142</v>
      </c>
      <c r="O589" s="329">
        <v>1.6131526213022246E-2</v>
      </c>
      <c r="P589" s="329">
        <v>0.76986452420020379</v>
      </c>
    </row>
    <row r="590" spans="2:16" ht="18" customHeight="1">
      <c r="B590" s="284"/>
      <c r="C590" s="309" t="s">
        <v>193</v>
      </c>
      <c r="D590" s="310"/>
      <c r="E590" s="287" t="str">
        <f>HYPERLINK("#LAYOUT_e4!lay초YPSY4A06","YPSY4A06")</f>
        <v>YPSY4A06</v>
      </c>
      <c r="F590" s="78">
        <v>1</v>
      </c>
      <c r="G590" s="179" t="s">
        <v>105</v>
      </c>
      <c r="H590" s="230">
        <v>35.076297464360344</v>
      </c>
      <c r="I590" s="327">
        <v>1.88707813590797</v>
      </c>
      <c r="J590" s="327">
        <v>1.5560054124448271E-2</v>
      </c>
      <c r="K590" s="327">
        <v>0.82455802059099903</v>
      </c>
      <c r="L590" s="230">
        <v>28.638905812246136</v>
      </c>
      <c r="M590" s="327">
        <v>1.9898223052564448</v>
      </c>
      <c r="N590" s="327">
        <v>0.7933819488795858</v>
      </c>
      <c r="O590" s="327">
        <v>1.6071431091724729E-2</v>
      </c>
      <c r="P590" s="327">
        <v>0.8076817236026248</v>
      </c>
    </row>
    <row r="591" spans="2:16" ht="18" customHeight="1">
      <c r="B591" s="284"/>
      <c r="C591" s="311"/>
      <c r="D591" s="312"/>
      <c r="E591" s="289"/>
      <c r="F591" s="79">
        <v>2</v>
      </c>
      <c r="G591" s="178" t="s">
        <v>106</v>
      </c>
      <c r="H591" s="231">
        <v>43.894576141778117</v>
      </c>
      <c r="I591" s="328"/>
      <c r="J591" s="328"/>
      <c r="K591" s="328"/>
      <c r="L591" s="231">
        <v>47.074947343841309</v>
      </c>
      <c r="M591" s="328">
        <v>1.9898223052564448</v>
      </c>
      <c r="N591" s="328">
        <v>0.7933819488795858</v>
      </c>
      <c r="O591" s="328">
        <v>1.6071431091724729E-2</v>
      </c>
      <c r="P591" s="328">
        <v>0.8076817236026248</v>
      </c>
    </row>
    <row r="592" spans="2:16" ht="18" customHeight="1">
      <c r="B592" s="284"/>
      <c r="C592" s="311"/>
      <c r="D592" s="312"/>
      <c r="E592" s="289"/>
      <c r="F592" s="79">
        <v>3</v>
      </c>
      <c r="G592" s="178" t="s">
        <v>107</v>
      </c>
      <c r="H592" s="231">
        <v>18.274141732564377</v>
      </c>
      <c r="I592" s="328"/>
      <c r="J592" s="328"/>
      <c r="K592" s="328"/>
      <c r="L592" s="231">
        <v>20.951157349934558</v>
      </c>
      <c r="M592" s="328">
        <v>1.9898223052564448</v>
      </c>
      <c r="N592" s="328">
        <v>0.7933819488795858</v>
      </c>
      <c r="O592" s="328">
        <v>1.6071431091724729E-2</v>
      </c>
      <c r="P592" s="328">
        <v>0.8076817236026248</v>
      </c>
    </row>
    <row r="593" spans="2:16" ht="18" customHeight="1">
      <c r="B593" s="284"/>
      <c r="C593" s="313"/>
      <c r="D593" s="314"/>
      <c r="E593" s="288"/>
      <c r="F593" s="82">
        <v>4</v>
      </c>
      <c r="G593" s="180" t="s">
        <v>108</v>
      </c>
      <c r="H593" s="232">
        <v>2.7549846612971676</v>
      </c>
      <c r="I593" s="329"/>
      <c r="J593" s="329"/>
      <c r="K593" s="329"/>
      <c r="L593" s="232">
        <v>3.3349894939779974</v>
      </c>
      <c r="M593" s="329">
        <v>1.9898223052564448</v>
      </c>
      <c r="N593" s="329">
        <v>0.7933819488795858</v>
      </c>
      <c r="O593" s="329">
        <v>1.6071431091724729E-2</v>
      </c>
      <c r="P593" s="329">
        <v>0.8076817236026248</v>
      </c>
    </row>
    <row r="594" spans="2:16" ht="18" customHeight="1">
      <c r="B594" s="284"/>
      <c r="C594" s="309" t="s">
        <v>194</v>
      </c>
      <c r="D594" s="310"/>
      <c r="E594" s="287" t="str">
        <f>HYPERLINK("#LAYOUT_e4!lay초YPSY4A07","YPSY4A07")</f>
        <v>YPSY4A07</v>
      </c>
      <c r="F594" s="78">
        <v>1</v>
      </c>
      <c r="G594" s="179" t="s">
        <v>105</v>
      </c>
      <c r="H594" s="230">
        <v>38.930820574152897</v>
      </c>
      <c r="I594" s="327">
        <v>1.817647567312598</v>
      </c>
      <c r="J594" s="327">
        <v>1.5267040432563639E-2</v>
      </c>
      <c r="K594" s="327">
        <v>0.83993402830759145</v>
      </c>
      <c r="L594" s="230">
        <v>34.496909060321975</v>
      </c>
      <c r="M594" s="327">
        <v>1.8625453740653439</v>
      </c>
      <c r="N594" s="327">
        <v>0.75837413978740975</v>
      </c>
      <c r="O594" s="327">
        <v>1.5362282626358595E-2</v>
      </c>
      <c r="P594" s="327">
        <v>0.82480044997924618</v>
      </c>
    </row>
    <row r="595" spans="2:16" ht="18" customHeight="1">
      <c r="B595" s="284"/>
      <c r="C595" s="311"/>
      <c r="D595" s="312"/>
      <c r="E595" s="289"/>
      <c r="F595" s="79">
        <v>2</v>
      </c>
      <c r="G595" s="178" t="s">
        <v>106</v>
      </c>
      <c r="H595" s="231">
        <v>42.593676487109327</v>
      </c>
      <c r="I595" s="328"/>
      <c r="J595" s="328"/>
      <c r="K595" s="328"/>
      <c r="L595" s="231">
        <v>46.816922227316134</v>
      </c>
      <c r="M595" s="328">
        <v>1.8625453740653439</v>
      </c>
      <c r="N595" s="328">
        <v>0.75837413978740975</v>
      </c>
      <c r="O595" s="328">
        <v>1.5362282626358595E-2</v>
      </c>
      <c r="P595" s="328">
        <v>0.82480044997924618</v>
      </c>
    </row>
    <row r="596" spans="2:16" ht="18" customHeight="1">
      <c r="B596" s="284"/>
      <c r="C596" s="311"/>
      <c r="D596" s="312"/>
      <c r="E596" s="289"/>
      <c r="F596" s="79">
        <v>3</v>
      </c>
      <c r="G596" s="178" t="s">
        <v>107</v>
      </c>
      <c r="H596" s="231">
        <v>16.255428572061078</v>
      </c>
      <c r="I596" s="328"/>
      <c r="J596" s="328"/>
      <c r="K596" s="328"/>
      <c r="L596" s="231">
        <v>16.620890957868479</v>
      </c>
      <c r="M596" s="328">
        <v>1.8625453740653439</v>
      </c>
      <c r="N596" s="328">
        <v>0.75837413978740975</v>
      </c>
      <c r="O596" s="328">
        <v>1.5362282626358595E-2</v>
      </c>
      <c r="P596" s="328">
        <v>0.82480044997924618</v>
      </c>
    </row>
    <row r="597" spans="2:16" ht="18" customHeight="1">
      <c r="B597" s="284"/>
      <c r="C597" s="313"/>
      <c r="D597" s="314"/>
      <c r="E597" s="288"/>
      <c r="F597" s="82">
        <v>4</v>
      </c>
      <c r="G597" s="180" t="s">
        <v>108</v>
      </c>
      <c r="H597" s="232">
        <v>2.2200743666766765</v>
      </c>
      <c r="I597" s="329"/>
      <c r="J597" s="329"/>
      <c r="K597" s="329"/>
      <c r="L597" s="232">
        <v>2.0652777544934207</v>
      </c>
      <c r="M597" s="329">
        <v>1.8625453740653439</v>
      </c>
      <c r="N597" s="329">
        <v>0.75837413978740975</v>
      </c>
      <c r="O597" s="329">
        <v>1.5362282626358595E-2</v>
      </c>
      <c r="P597" s="329">
        <v>0.82480044997924618</v>
      </c>
    </row>
    <row r="598" spans="2:16" ht="18" customHeight="1">
      <c r="B598" s="284"/>
      <c r="C598" s="309" t="s">
        <v>195</v>
      </c>
      <c r="D598" s="310"/>
      <c r="E598" s="287" t="str">
        <f>HYPERLINK("#LAYOUT_e4!lay초YPSY4B01","YPSY4B01")</f>
        <v>YPSY4B01</v>
      </c>
      <c r="F598" s="78">
        <v>1</v>
      </c>
      <c r="G598" s="179" t="s">
        <v>105</v>
      </c>
      <c r="H598" s="230">
        <v>33.835723051883228</v>
      </c>
      <c r="I598" s="327">
        <v>1.9163597596952804</v>
      </c>
      <c r="J598" s="327">
        <v>1.5562059373336989E-2</v>
      </c>
      <c r="K598" s="327">
        <v>0.81206356450583739</v>
      </c>
      <c r="L598" s="230">
        <v>29.228785920223142</v>
      </c>
      <c r="M598" s="327">
        <v>1.9761155654781903</v>
      </c>
      <c r="N598" s="327">
        <v>0.77859449366271505</v>
      </c>
      <c r="O598" s="327">
        <v>1.5771883606587829E-2</v>
      </c>
      <c r="P598" s="327">
        <v>0.79812556927920753</v>
      </c>
    </row>
    <row r="599" spans="2:16" ht="18" customHeight="1">
      <c r="B599" s="284"/>
      <c r="C599" s="311"/>
      <c r="D599" s="312"/>
      <c r="E599" s="289"/>
      <c r="F599" s="79">
        <v>2</v>
      </c>
      <c r="G599" s="178" t="s">
        <v>106</v>
      </c>
      <c r="H599" s="231">
        <v>42.944404639654593</v>
      </c>
      <c r="I599" s="328"/>
      <c r="J599" s="328"/>
      <c r="K599" s="328"/>
      <c r="L599" s="231">
        <v>46.222862390694004</v>
      </c>
      <c r="M599" s="328">
        <v>1.9761155654781903</v>
      </c>
      <c r="N599" s="328">
        <v>0.77859449366271505</v>
      </c>
      <c r="O599" s="328">
        <v>1.5771883606587829E-2</v>
      </c>
      <c r="P599" s="328">
        <v>0.79812556927920753</v>
      </c>
    </row>
    <row r="600" spans="2:16" ht="18" customHeight="1">
      <c r="B600" s="284"/>
      <c r="C600" s="311"/>
      <c r="D600" s="312"/>
      <c r="E600" s="289"/>
      <c r="F600" s="79">
        <v>3</v>
      </c>
      <c r="G600" s="178" t="s">
        <v>107</v>
      </c>
      <c r="H600" s="231">
        <v>20.968045595511796</v>
      </c>
      <c r="I600" s="328"/>
      <c r="J600" s="328"/>
      <c r="K600" s="328"/>
      <c r="L600" s="231">
        <v>22.256360910123998</v>
      </c>
      <c r="M600" s="328">
        <v>1.9761155654781903</v>
      </c>
      <c r="N600" s="328">
        <v>0.77859449366271505</v>
      </c>
      <c r="O600" s="328">
        <v>1.5771883606587829E-2</v>
      </c>
      <c r="P600" s="328">
        <v>0.79812556927920753</v>
      </c>
    </row>
    <row r="601" spans="2:16" ht="18" customHeight="1">
      <c r="B601" s="284"/>
      <c r="C601" s="313"/>
      <c r="D601" s="314"/>
      <c r="E601" s="288"/>
      <c r="F601" s="82">
        <v>4</v>
      </c>
      <c r="G601" s="180" t="s">
        <v>108</v>
      </c>
      <c r="H601" s="232">
        <v>2.2518267129503902</v>
      </c>
      <c r="I601" s="329"/>
      <c r="J601" s="329"/>
      <c r="K601" s="329"/>
      <c r="L601" s="232">
        <v>2.2919907789588825</v>
      </c>
      <c r="M601" s="329">
        <v>1.9761155654781903</v>
      </c>
      <c r="N601" s="329">
        <v>0.77859449366271505</v>
      </c>
      <c r="O601" s="329">
        <v>1.5771883606587829E-2</v>
      </c>
      <c r="P601" s="329">
        <v>0.79812556927920753</v>
      </c>
    </row>
    <row r="602" spans="2:16" ht="18" customHeight="1">
      <c r="B602" s="284"/>
      <c r="C602" s="309" t="s">
        <v>196</v>
      </c>
      <c r="D602" s="310"/>
      <c r="E602" s="287" t="str">
        <f>HYPERLINK("#LAYOUT_e4!lay초YPSY4B02","YPSY4B02")</f>
        <v>YPSY4B02</v>
      </c>
      <c r="F602" s="78">
        <v>1</v>
      </c>
      <c r="G602" s="179" t="s">
        <v>105</v>
      </c>
      <c r="H602" s="230">
        <v>37.075132609764893</v>
      </c>
      <c r="I602" s="327">
        <v>1.822947913722355</v>
      </c>
      <c r="J602" s="327">
        <v>1.4549072011007616E-2</v>
      </c>
      <c r="K602" s="327">
        <v>0.79810684120421405</v>
      </c>
      <c r="L602" s="230">
        <v>32.74609987987224</v>
      </c>
      <c r="M602" s="327">
        <v>1.8845337626089171</v>
      </c>
      <c r="N602" s="327">
        <v>0.75502771108452849</v>
      </c>
      <c r="O602" s="327">
        <v>1.5294494471639823E-2</v>
      </c>
      <c r="P602" s="327">
        <v>0.8115797538414159</v>
      </c>
    </row>
    <row r="603" spans="2:16" ht="18" customHeight="1">
      <c r="B603" s="284"/>
      <c r="C603" s="311"/>
      <c r="D603" s="312"/>
      <c r="E603" s="289"/>
      <c r="F603" s="79">
        <v>2</v>
      </c>
      <c r="G603" s="178" t="s">
        <v>106</v>
      </c>
      <c r="H603" s="231">
        <v>44.481104353621326</v>
      </c>
      <c r="I603" s="328"/>
      <c r="J603" s="328"/>
      <c r="K603" s="328"/>
      <c r="L603" s="231">
        <v>48.239904715129889</v>
      </c>
      <c r="M603" s="328">
        <v>1.8845337626089171</v>
      </c>
      <c r="N603" s="328">
        <v>0.75502771108452849</v>
      </c>
      <c r="O603" s="328">
        <v>1.5294494471639823E-2</v>
      </c>
      <c r="P603" s="328">
        <v>0.8115797538414159</v>
      </c>
    </row>
    <row r="604" spans="2:16" ht="18" customHeight="1">
      <c r="B604" s="284"/>
      <c r="C604" s="311"/>
      <c r="D604" s="312"/>
      <c r="E604" s="289"/>
      <c r="F604" s="79">
        <v>3</v>
      </c>
      <c r="G604" s="178" t="s">
        <v>107</v>
      </c>
      <c r="H604" s="231">
        <v>17.517602091225964</v>
      </c>
      <c r="I604" s="328"/>
      <c r="J604" s="328"/>
      <c r="K604" s="328"/>
      <c r="L604" s="231">
        <v>16.8285146692327</v>
      </c>
      <c r="M604" s="328">
        <v>1.8845337626089171</v>
      </c>
      <c r="N604" s="328">
        <v>0.75502771108452849</v>
      </c>
      <c r="O604" s="328">
        <v>1.5294494471639823E-2</v>
      </c>
      <c r="P604" s="328">
        <v>0.8115797538414159</v>
      </c>
    </row>
    <row r="605" spans="2:16" ht="18" customHeight="1">
      <c r="B605" s="284"/>
      <c r="C605" s="313"/>
      <c r="D605" s="314"/>
      <c r="E605" s="288"/>
      <c r="F605" s="82">
        <v>4</v>
      </c>
      <c r="G605" s="180" t="s">
        <v>108</v>
      </c>
      <c r="H605" s="232">
        <v>0.92616094538780092</v>
      </c>
      <c r="I605" s="329"/>
      <c r="J605" s="329"/>
      <c r="K605" s="329"/>
      <c r="L605" s="232">
        <v>2.1854807357651707</v>
      </c>
      <c r="M605" s="329">
        <v>1.8845337626089171</v>
      </c>
      <c r="N605" s="329">
        <v>0.75502771108452849</v>
      </c>
      <c r="O605" s="329">
        <v>1.5294494471639823E-2</v>
      </c>
      <c r="P605" s="329">
        <v>0.8115797538414159</v>
      </c>
    </row>
    <row r="606" spans="2:16" ht="18" customHeight="1">
      <c r="B606" s="284"/>
      <c r="C606" s="309" t="s">
        <v>197</v>
      </c>
      <c r="D606" s="310"/>
      <c r="E606" s="287" t="str">
        <f>HYPERLINK("#LAYOUT_e4!lay초YPSY4B03","YPSY4B03")</f>
        <v>YPSY4B03</v>
      </c>
      <c r="F606" s="78">
        <v>1</v>
      </c>
      <c r="G606" s="179" t="s">
        <v>105</v>
      </c>
      <c r="H606" s="230">
        <v>43.813157038878863</v>
      </c>
      <c r="I606" s="327">
        <v>1.7508099523971188</v>
      </c>
      <c r="J606" s="327">
        <v>1.5199604622081734E-2</v>
      </c>
      <c r="K606" s="327">
        <v>0.86814703110815739</v>
      </c>
      <c r="L606" s="230">
        <v>37.635029429683954</v>
      </c>
      <c r="M606" s="327">
        <v>1.8108329208898803</v>
      </c>
      <c r="N606" s="327">
        <v>0.75068984546777062</v>
      </c>
      <c r="O606" s="327">
        <v>1.5206622913125878E-2</v>
      </c>
      <c r="P606" s="327">
        <v>0.83975847455065245</v>
      </c>
    </row>
    <row r="607" spans="2:16" ht="18" customHeight="1">
      <c r="B607" s="284"/>
      <c r="C607" s="311"/>
      <c r="D607" s="312"/>
      <c r="E607" s="289"/>
      <c r="F607" s="79">
        <v>2</v>
      </c>
      <c r="G607" s="178" t="s">
        <v>106</v>
      </c>
      <c r="H607" s="231">
        <v>39.146765895998875</v>
      </c>
      <c r="I607" s="328"/>
      <c r="J607" s="328"/>
      <c r="K607" s="328"/>
      <c r="L607" s="231">
        <v>45.42438290382043</v>
      </c>
      <c r="M607" s="328">
        <v>1.8108329208898803</v>
      </c>
      <c r="N607" s="328">
        <v>0.75068984546777062</v>
      </c>
      <c r="O607" s="328">
        <v>1.5206622913125878E-2</v>
      </c>
      <c r="P607" s="328">
        <v>0.83975847455065245</v>
      </c>
    </row>
    <row r="608" spans="2:16" ht="18" customHeight="1">
      <c r="B608" s="284"/>
      <c r="C608" s="311"/>
      <c r="D608" s="312"/>
      <c r="E608" s="289"/>
      <c r="F608" s="79">
        <v>3</v>
      </c>
      <c r="G608" s="178" t="s">
        <v>107</v>
      </c>
      <c r="H608" s="231">
        <v>15.186001851652195</v>
      </c>
      <c r="I608" s="328"/>
      <c r="J608" s="328"/>
      <c r="K608" s="328"/>
      <c r="L608" s="231">
        <v>15.162853814319964</v>
      </c>
      <c r="M608" s="328">
        <v>1.8108329208898803</v>
      </c>
      <c r="N608" s="328">
        <v>0.75068984546777062</v>
      </c>
      <c r="O608" s="328">
        <v>1.5206622913125878E-2</v>
      </c>
      <c r="P608" s="328">
        <v>0.83975847455065245</v>
      </c>
    </row>
    <row r="609" spans="2:16" ht="18" customHeight="1">
      <c r="B609" s="284"/>
      <c r="C609" s="313"/>
      <c r="D609" s="314"/>
      <c r="E609" s="288"/>
      <c r="F609" s="82">
        <v>4</v>
      </c>
      <c r="G609" s="180" t="s">
        <v>108</v>
      </c>
      <c r="H609" s="232">
        <v>1.8540752134700775</v>
      </c>
      <c r="I609" s="329"/>
      <c r="J609" s="329"/>
      <c r="K609" s="329"/>
      <c r="L609" s="232">
        <v>1.7777338521756676</v>
      </c>
      <c r="M609" s="329">
        <v>1.8108329208898803</v>
      </c>
      <c r="N609" s="329">
        <v>0.75068984546777062</v>
      </c>
      <c r="O609" s="329">
        <v>1.5206622913125878E-2</v>
      </c>
      <c r="P609" s="329">
        <v>0.83975847455065245</v>
      </c>
    </row>
    <row r="610" spans="2:16" ht="18" customHeight="1">
      <c r="B610" s="284"/>
      <c r="C610" s="309" t="s">
        <v>198</v>
      </c>
      <c r="D610" s="310"/>
      <c r="E610" s="287" t="str">
        <f>HYPERLINK("#LAYOUT_e4!lay초YPSY4B04","YPSY4B04")</f>
        <v>YPSY4B04</v>
      </c>
      <c r="F610" s="78">
        <v>1</v>
      </c>
      <c r="G610" s="179" t="s">
        <v>105</v>
      </c>
      <c r="H610" s="230">
        <v>41.81795775510593</v>
      </c>
      <c r="I610" s="327">
        <v>1.8158989428890078</v>
      </c>
      <c r="J610" s="327">
        <v>1.6005931724522457E-2</v>
      </c>
      <c r="K610" s="327">
        <v>0.88143295568297353</v>
      </c>
      <c r="L610" s="230">
        <v>36.638803709735257</v>
      </c>
      <c r="M610" s="327">
        <v>1.8914582538199705</v>
      </c>
      <c r="N610" s="327">
        <v>0.81967647300157886</v>
      </c>
      <c r="O610" s="327">
        <v>1.6604075719086245E-2</v>
      </c>
      <c r="P610" s="327">
        <v>0.87784521205016341</v>
      </c>
    </row>
    <row r="611" spans="2:16" ht="18" customHeight="1">
      <c r="B611" s="284"/>
      <c r="C611" s="311"/>
      <c r="D611" s="312"/>
      <c r="E611" s="289"/>
      <c r="F611" s="79">
        <v>2</v>
      </c>
      <c r="G611" s="178" t="s">
        <v>106</v>
      </c>
      <c r="H611" s="231">
        <v>37.237482766018658</v>
      </c>
      <c r="I611" s="328"/>
      <c r="J611" s="328"/>
      <c r="K611" s="328"/>
      <c r="L611" s="231">
        <v>40.53360758408153</v>
      </c>
      <c r="M611" s="328">
        <v>1.8914582538199705</v>
      </c>
      <c r="N611" s="328">
        <v>0.81967647300157886</v>
      </c>
      <c r="O611" s="328">
        <v>1.6604075719086245E-2</v>
      </c>
      <c r="P611" s="328">
        <v>0.87784521205016341</v>
      </c>
    </row>
    <row r="612" spans="2:16" ht="18" customHeight="1">
      <c r="B612" s="284"/>
      <c r="C612" s="311"/>
      <c r="D612" s="312"/>
      <c r="E612" s="289"/>
      <c r="F612" s="79">
        <v>3</v>
      </c>
      <c r="G612" s="178" t="s">
        <v>107</v>
      </c>
      <c r="H612" s="231">
        <v>18.481266913742783</v>
      </c>
      <c r="I612" s="328"/>
      <c r="J612" s="328"/>
      <c r="K612" s="328"/>
      <c r="L612" s="231">
        <v>19.870548320634924</v>
      </c>
      <c r="M612" s="328">
        <v>1.8914582538199705</v>
      </c>
      <c r="N612" s="328">
        <v>0.81967647300157886</v>
      </c>
      <c r="O612" s="328">
        <v>1.6604075719086245E-2</v>
      </c>
      <c r="P612" s="328">
        <v>0.87784521205016341</v>
      </c>
    </row>
    <row r="613" spans="2:16" ht="18" customHeight="1">
      <c r="B613" s="284"/>
      <c r="C613" s="313"/>
      <c r="D613" s="314"/>
      <c r="E613" s="288"/>
      <c r="F613" s="82">
        <v>4</v>
      </c>
      <c r="G613" s="180" t="s">
        <v>108</v>
      </c>
      <c r="H613" s="232">
        <v>2.4632925651326274</v>
      </c>
      <c r="I613" s="329"/>
      <c r="J613" s="329"/>
      <c r="K613" s="329"/>
      <c r="L613" s="232">
        <v>2.9570403855483023</v>
      </c>
      <c r="M613" s="329">
        <v>1.8914582538199705</v>
      </c>
      <c r="N613" s="329">
        <v>0.81967647300157886</v>
      </c>
      <c r="O613" s="329">
        <v>1.6604075719086245E-2</v>
      </c>
      <c r="P613" s="329">
        <v>0.87784521205016341</v>
      </c>
    </row>
    <row r="614" spans="2:16" ht="18" customHeight="1">
      <c r="B614" s="284"/>
      <c r="C614" s="309" t="s">
        <v>199</v>
      </c>
      <c r="D614" s="310"/>
      <c r="E614" s="287" t="str">
        <f>HYPERLINK("#LAYOUT_e4!lay초YPSY4B05","YPSY4B05")</f>
        <v>YPSY4B05</v>
      </c>
      <c r="F614" s="78">
        <v>1</v>
      </c>
      <c r="G614" s="179" t="s">
        <v>105</v>
      </c>
      <c r="H614" s="230">
        <v>49.669563175754313</v>
      </c>
      <c r="I614" s="327">
        <v>1.6938478200119296</v>
      </c>
      <c r="J614" s="327">
        <v>1.5792705550426819E-2</v>
      </c>
      <c r="K614" s="327">
        <v>0.93235681292287487</v>
      </c>
      <c r="L614" s="230">
        <v>42.946023059803842</v>
      </c>
      <c r="M614" s="327">
        <v>1.7837798236729561</v>
      </c>
      <c r="N614" s="327">
        <v>0.80915575497081527</v>
      </c>
      <c r="O614" s="327">
        <v>1.6390958953440556E-2</v>
      </c>
      <c r="P614" s="327">
        <v>0.91888913283536078</v>
      </c>
    </row>
    <row r="615" spans="2:16" ht="18" customHeight="1">
      <c r="B615" s="284"/>
      <c r="C615" s="311"/>
      <c r="D615" s="312"/>
      <c r="E615" s="289"/>
      <c r="F615" s="79">
        <v>2</v>
      </c>
      <c r="G615" s="178" t="s">
        <v>106</v>
      </c>
      <c r="H615" s="231">
        <v>34.098659519420195</v>
      </c>
      <c r="I615" s="328"/>
      <c r="J615" s="328"/>
      <c r="K615" s="328"/>
      <c r="L615" s="231">
        <v>38.655734115540412</v>
      </c>
      <c r="M615" s="328">
        <v>1.7837798236729561</v>
      </c>
      <c r="N615" s="328">
        <v>0.80915575497081527</v>
      </c>
      <c r="O615" s="328">
        <v>1.6390958953440556E-2</v>
      </c>
      <c r="P615" s="328">
        <v>0.91888913283536078</v>
      </c>
    </row>
    <row r="616" spans="2:16" ht="18" customHeight="1">
      <c r="B616" s="284"/>
      <c r="C616" s="311"/>
      <c r="D616" s="312"/>
      <c r="E616" s="289"/>
      <c r="F616" s="79">
        <v>3</v>
      </c>
      <c r="G616" s="178" t="s">
        <v>107</v>
      </c>
      <c r="H616" s="231">
        <v>13.409209432701994</v>
      </c>
      <c r="I616" s="328"/>
      <c r="J616" s="328"/>
      <c r="K616" s="328"/>
      <c r="L616" s="231">
        <v>15.472480222212804</v>
      </c>
      <c r="M616" s="328">
        <v>1.7837798236729561</v>
      </c>
      <c r="N616" s="328">
        <v>0.80915575497081527</v>
      </c>
      <c r="O616" s="328">
        <v>1.6390958953440556E-2</v>
      </c>
      <c r="P616" s="328">
        <v>0.91888913283536078</v>
      </c>
    </row>
    <row r="617" spans="2:16" ht="18" customHeight="1">
      <c r="B617" s="284"/>
      <c r="C617" s="313"/>
      <c r="D617" s="314"/>
      <c r="E617" s="288"/>
      <c r="F617" s="82">
        <v>4</v>
      </c>
      <c r="G617" s="180" t="s">
        <v>108</v>
      </c>
      <c r="H617" s="232">
        <v>2.8225678721235279</v>
      </c>
      <c r="I617" s="329"/>
      <c r="J617" s="329"/>
      <c r="K617" s="329"/>
      <c r="L617" s="232">
        <v>2.9257626024429557</v>
      </c>
      <c r="M617" s="329">
        <v>1.7837798236729561</v>
      </c>
      <c r="N617" s="329">
        <v>0.80915575497081527</v>
      </c>
      <c r="O617" s="329">
        <v>1.6390958953440556E-2</v>
      </c>
      <c r="P617" s="329">
        <v>0.91888913283536078</v>
      </c>
    </row>
    <row r="618" spans="2:16" ht="18" customHeight="1">
      <c r="B618" s="284"/>
      <c r="C618" s="309" t="s">
        <v>200</v>
      </c>
      <c r="D618" s="310"/>
      <c r="E618" s="287" t="str">
        <f>HYPERLINK("#LAYOUT_e4!lay초YPSY4B06","YPSY4B06")</f>
        <v>YPSY4B06</v>
      </c>
      <c r="F618" s="78">
        <v>1</v>
      </c>
      <c r="G618" s="179" t="s">
        <v>105</v>
      </c>
      <c r="H618" s="230">
        <v>59.793201274709517</v>
      </c>
      <c r="I618" s="327">
        <v>1.5361266022556099</v>
      </c>
      <c r="J618" s="327">
        <v>1.463752125744153E-2</v>
      </c>
      <c r="K618" s="327">
        <v>0.95288508355679513</v>
      </c>
      <c r="L618" s="230">
        <v>48.488326193792524</v>
      </c>
      <c r="M618" s="327">
        <v>1.6949335431142127</v>
      </c>
      <c r="N618" s="327">
        <v>0.79494048210711421</v>
      </c>
      <c r="O618" s="327">
        <v>1.610300208903034E-2</v>
      </c>
      <c r="P618" s="327">
        <v>0.95006687161569969</v>
      </c>
    </row>
    <row r="619" spans="2:16" ht="18" customHeight="1">
      <c r="B619" s="284"/>
      <c r="C619" s="311"/>
      <c r="D619" s="312"/>
      <c r="E619" s="289"/>
      <c r="F619" s="79">
        <v>2</v>
      </c>
      <c r="G619" s="178" t="s">
        <v>106</v>
      </c>
      <c r="H619" s="231">
        <v>28.878023115908199</v>
      </c>
      <c r="I619" s="328"/>
      <c r="J619" s="328"/>
      <c r="K619" s="328"/>
      <c r="L619" s="231">
        <v>36.531820278153283</v>
      </c>
      <c r="M619" s="328">
        <v>1.6949335431142127</v>
      </c>
      <c r="N619" s="328">
        <v>0.79494048210711421</v>
      </c>
      <c r="O619" s="328">
        <v>1.610300208903034E-2</v>
      </c>
      <c r="P619" s="328">
        <v>0.95006687161569969</v>
      </c>
    </row>
    <row r="620" spans="2:16" ht="18" customHeight="1">
      <c r="B620" s="284"/>
      <c r="C620" s="311"/>
      <c r="D620" s="312"/>
      <c r="E620" s="289"/>
      <c r="F620" s="79">
        <v>3</v>
      </c>
      <c r="G620" s="178" t="s">
        <v>107</v>
      </c>
      <c r="H620" s="231">
        <v>9.2516897184922104</v>
      </c>
      <c r="I620" s="328"/>
      <c r="J620" s="328"/>
      <c r="K620" s="328"/>
      <c r="L620" s="231">
        <v>11.978026550894482</v>
      </c>
      <c r="M620" s="328">
        <v>1.6949335431142127</v>
      </c>
      <c r="N620" s="328">
        <v>0.79494048210711421</v>
      </c>
      <c r="O620" s="328">
        <v>1.610300208903034E-2</v>
      </c>
      <c r="P620" s="328">
        <v>0.95006687161569969</v>
      </c>
    </row>
    <row r="621" spans="2:16" ht="18" customHeight="1">
      <c r="B621" s="284"/>
      <c r="C621" s="313"/>
      <c r="D621" s="314"/>
      <c r="E621" s="288"/>
      <c r="F621" s="82">
        <v>4</v>
      </c>
      <c r="G621" s="180" t="s">
        <v>108</v>
      </c>
      <c r="H621" s="232">
        <v>2.0770858908900789</v>
      </c>
      <c r="I621" s="329"/>
      <c r="J621" s="329"/>
      <c r="K621" s="329"/>
      <c r="L621" s="232">
        <v>3.0018269771596997</v>
      </c>
      <c r="M621" s="329">
        <v>1.6949335431142127</v>
      </c>
      <c r="N621" s="329">
        <v>0.79494048210711421</v>
      </c>
      <c r="O621" s="329">
        <v>1.610300208903034E-2</v>
      </c>
      <c r="P621" s="329">
        <v>0.95006687161569969</v>
      </c>
    </row>
    <row r="622" spans="2:16" ht="18" customHeight="1">
      <c r="B622" s="284"/>
      <c r="C622" s="309" t="s">
        <v>201</v>
      </c>
      <c r="D622" s="310"/>
      <c r="E622" s="287" t="str">
        <f>HYPERLINK("#LAYOUT_e4!lay초YPSY4C01","YPSY4C01")</f>
        <v>YPSY4C01</v>
      </c>
      <c r="F622" s="78">
        <v>1</v>
      </c>
      <c r="G622" s="179" t="s">
        <v>105</v>
      </c>
      <c r="H622" s="230">
        <v>48.479692918395429</v>
      </c>
      <c r="I622" s="327">
        <v>1.7937058792038578</v>
      </c>
      <c r="J622" s="327">
        <v>1.772822121419004E-2</v>
      </c>
      <c r="K622" s="327">
        <v>0.98835720057174425</v>
      </c>
      <c r="L622" s="230">
        <v>44.407657317548512</v>
      </c>
      <c r="M622" s="327">
        <v>1.8066448946522036</v>
      </c>
      <c r="N622" s="327">
        <v>0.85789689109102263</v>
      </c>
      <c r="O622" s="327">
        <v>1.7378301571450108E-2</v>
      </c>
      <c r="P622" s="327">
        <v>0.96191020287888873</v>
      </c>
    </row>
    <row r="623" spans="2:16" ht="18" customHeight="1">
      <c r="B623" s="284"/>
      <c r="C623" s="311"/>
      <c r="D623" s="312"/>
      <c r="E623" s="289"/>
      <c r="F623" s="79">
        <v>2</v>
      </c>
      <c r="G623" s="178" t="s">
        <v>106</v>
      </c>
      <c r="H623" s="231">
        <v>28.584867090715196</v>
      </c>
      <c r="I623" s="328"/>
      <c r="J623" s="328"/>
      <c r="K623" s="328"/>
      <c r="L623" s="231">
        <v>34.433857206634279</v>
      </c>
      <c r="M623" s="328">
        <v>1.8066448946522036</v>
      </c>
      <c r="N623" s="328">
        <v>0.85789689109102263</v>
      </c>
      <c r="O623" s="328">
        <v>1.7378301571450108E-2</v>
      </c>
      <c r="P623" s="328">
        <v>0.96191020287888873</v>
      </c>
    </row>
    <row r="624" spans="2:16" ht="18" customHeight="1">
      <c r="B624" s="284"/>
      <c r="C624" s="311"/>
      <c r="D624" s="312"/>
      <c r="E624" s="289"/>
      <c r="F624" s="79">
        <v>3</v>
      </c>
      <c r="G624" s="178" t="s">
        <v>107</v>
      </c>
      <c r="H624" s="231">
        <v>18.020599142996257</v>
      </c>
      <c r="I624" s="328"/>
      <c r="J624" s="328"/>
      <c r="K624" s="328"/>
      <c r="L624" s="231">
        <v>17.244824168866121</v>
      </c>
      <c r="M624" s="328">
        <v>1.8066448946522036</v>
      </c>
      <c r="N624" s="328">
        <v>0.85789689109102263</v>
      </c>
      <c r="O624" s="328">
        <v>1.7378301571450108E-2</v>
      </c>
      <c r="P624" s="328">
        <v>0.96191020287888873</v>
      </c>
    </row>
    <row r="625" spans="2:16" ht="18" customHeight="1">
      <c r="B625" s="284"/>
      <c r="C625" s="313"/>
      <c r="D625" s="314"/>
      <c r="E625" s="288"/>
      <c r="F625" s="82">
        <v>4</v>
      </c>
      <c r="G625" s="180" t="s">
        <v>108</v>
      </c>
      <c r="H625" s="232">
        <v>4.9148408478931236</v>
      </c>
      <c r="I625" s="329"/>
      <c r="J625" s="329"/>
      <c r="K625" s="329"/>
      <c r="L625" s="232">
        <v>3.9136613069510946</v>
      </c>
      <c r="M625" s="329">
        <v>1.8066448946522036</v>
      </c>
      <c r="N625" s="329">
        <v>0.85789689109102263</v>
      </c>
      <c r="O625" s="329">
        <v>1.7378301571450108E-2</v>
      </c>
      <c r="P625" s="329">
        <v>0.96191020287888873</v>
      </c>
    </row>
    <row r="626" spans="2:16" ht="18" customHeight="1">
      <c r="B626" s="284"/>
      <c r="C626" s="309" t="s">
        <v>202</v>
      </c>
      <c r="D626" s="310"/>
      <c r="E626" s="287" t="str">
        <f>HYPERLINK("#LAYOUT_e4!lay초YPSY4C02","YPSY4C02")</f>
        <v>YPSY4C02</v>
      </c>
      <c r="F626" s="78">
        <v>1</v>
      </c>
      <c r="G626" s="179" t="s">
        <v>105</v>
      </c>
      <c r="H626" s="230">
        <v>53.603672145791805</v>
      </c>
      <c r="I626" s="327">
        <v>1.674873839466287</v>
      </c>
      <c r="J626" s="327">
        <v>1.6558850061049277E-2</v>
      </c>
      <c r="K626" s="327">
        <v>0.98866252913269581</v>
      </c>
      <c r="L626" s="230">
        <v>43.743049780292957</v>
      </c>
      <c r="M626" s="327">
        <v>1.8096648545159673</v>
      </c>
      <c r="N626" s="327">
        <v>0.8482690186760351</v>
      </c>
      <c r="O626" s="327">
        <v>1.7183271058976379E-2</v>
      </c>
      <c r="P626" s="327">
        <v>0.94952780986468355</v>
      </c>
    </row>
    <row r="627" spans="2:16" ht="18" customHeight="1">
      <c r="B627" s="284"/>
      <c r="C627" s="311"/>
      <c r="D627" s="312"/>
      <c r="E627" s="289"/>
      <c r="F627" s="79">
        <v>2</v>
      </c>
      <c r="G627" s="178" t="s">
        <v>106</v>
      </c>
      <c r="H627" s="231">
        <v>28.970934305211973</v>
      </c>
      <c r="I627" s="328"/>
      <c r="J627" s="328"/>
      <c r="K627" s="328"/>
      <c r="L627" s="231">
        <v>35.095749024114376</v>
      </c>
      <c r="M627" s="328">
        <v>1.8096648545159673</v>
      </c>
      <c r="N627" s="328">
        <v>0.8482690186760351</v>
      </c>
      <c r="O627" s="328">
        <v>1.7183271058976379E-2</v>
      </c>
      <c r="P627" s="328">
        <v>0.94952780986468355</v>
      </c>
    </row>
    <row r="628" spans="2:16" ht="18" customHeight="1">
      <c r="B628" s="284"/>
      <c r="C628" s="311"/>
      <c r="D628" s="312"/>
      <c r="E628" s="289"/>
      <c r="F628" s="79">
        <v>3</v>
      </c>
      <c r="G628" s="178" t="s">
        <v>107</v>
      </c>
      <c r="H628" s="231">
        <v>13.75973100557016</v>
      </c>
      <c r="I628" s="328"/>
      <c r="J628" s="328"/>
      <c r="K628" s="328"/>
      <c r="L628" s="231">
        <v>17.612867159296346</v>
      </c>
      <c r="M628" s="328">
        <v>1.8096648545159673</v>
      </c>
      <c r="N628" s="328">
        <v>0.8482690186760351</v>
      </c>
      <c r="O628" s="328">
        <v>1.7183271058976379E-2</v>
      </c>
      <c r="P628" s="328">
        <v>0.94952780986468355</v>
      </c>
    </row>
    <row r="629" spans="2:16" ht="18" customHeight="1">
      <c r="B629" s="284"/>
      <c r="C629" s="313"/>
      <c r="D629" s="314"/>
      <c r="E629" s="288"/>
      <c r="F629" s="82">
        <v>4</v>
      </c>
      <c r="G629" s="180" t="s">
        <v>108</v>
      </c>
      <c r="H629" s="232">
        <v>3.6656625434260359</v>
      </c>
      <c r="I629" s="329"/>
      <c r="J629" s="329"/>
      <c r="K629" s="329"/>
      <c r="L629" s="232">
        <v>3.5483340362963225</v>
      </c>
      <c r="M629" s="329">
        <v>1.8096648545159673</v>
      </c>
      <c r="N629" s="329">
        <v>0.8482690186760351</v>
      </c>
      <c r="O629" s="329">
        <v>1.7183271058976379E-2</v>
      </c>
      <c r="P629" s="329">
        <v>0.94952780986468355</v>
      </c>
    </row>
    <row r="630" spans="2:16" ht="18" customHeight="1">
      <c r="B630" s="284"/>
      <c r="C630" s="309" t="s">
        <v>203</v>
      </c>
      <c r="D630" s="310"/>
      <c r="E630" s="287" t="str">
        <f>HYPERLINK("#LAYOUT_e4!lay초YPSY4C03","YPSY4C03")</f>
        <v>YPSY4C03</v>
      </c>
      <c r="F630" s="78">
        <v>1</v>
      </c>
      <c r="G630" s="179" t="s">
        <v>105</v>
      </c>
      <c r="H630" s="230">
        <v>58.35875360507201</v>
      </c>
      <c r="I630" s="327">
        <v>1.5507774412049316</v>
      </c>
      <c r="J630" s="327">
        <v>1.4527421580319836E-2</v>
      </c>
      <c r="K630" s="327">
        <v>0.93678313820661763</v>
      </c>
      <c r="L630" s="230">
        <v>49.912725488903845</v>
      </c>
      <c r="M630" s="327">
        <v>1.6654553034529436</v>
      </c>
      <c r="N630" s="327">
        <v>0.77710520389249649</v>
      </c>
      <c r="O630" s="327">
        <v>1.5741715264654309E-2</v>
      </c>
      <c r="P630" s="327">
        <v>0.94518989684186894</v>
      </c>
    </row>
    <row r="631" spans="2:16" ht="18" customHeight="1">
      <c r="B631" s="284"/>
      <c r="C631" s="311"/>
      <c r="D631" s="312"/>
      <c r="E631" s="289"/>
      <c r="F631" s="79">
        <v>2</v>
      </c>
      <c r="G631" s="178" t="s">
        <v>106</v>
      </c>
      <c r="H631" s="231">
        <v>29.896459274296198</v>
      </c>
      <c r="I631" s="328"/>
      <c r="J631" s="328"/>
      <c r="K631" s="328"/>
      <c r="L631" s="231">
        <v>36.221770530601802</v>
      </c>
      <c r="M631" s="328">
        <v>1.6654553034529436</v>
      </c>
      <c r="N631" s="328">
        <v>0.77710520389249649</v>
      </c>
      <c r="O631" s="328">
        <v>1.5741715264654309E-2</v>
      </c>
      <c r="P631" s="328">
        <v>0.94518989684186894</v>
      </c>
    </row>
    <row r="632" spans="2:16" ht="18" customHeight="1">
      <c r="B632" s="284"/>
      <c r="C632" s="311"/>
      <c r="D632" s="312"/>
      <c r="E632" s="289"/>
      <c r="F632" s="79">
        <v>3</v>
      </c>
      <c r="G632" s="178" t="s">
        <v>107</v>
      </c>
      <c r="H632" s="231">
        <v>10.053076515696489</v>
      </c>
      <c r="I632" s="328"/>
      <c r="J632" s="328"/>
      <c r="K632" s="328"/>
      <c r="L632" s="231">
        <v>11.27275212679077</v>
      </c>
      <c r="M632" s="328">
        <v>1.6654553034529436</v>
      </c>
      <c r="N632" s="328">
        <v>0.77710520389249649</v>
      </c>
      <c r="O632" s="328">
        <v>1.5741715264654309E-2</v>
      </c>
      <c r="P632" s="328">
        <v>0.94518989684186894</v>
      </c>
    </row>
    <row r="633" spans="2:16" ht="18" customHeight="1">
      <c r="B633" s="284"/>
      <c r="C633" s="313"/>
      <c r="D633" s="314"/>
      <c r="E633" s="288"/>
      <c r="F633" s="82">
        <v>4</v>
      </c>
      <c r="G633" s="180" t="s">
        <v>108</v>
      </c>
      <c r="H633" s="232">
        <v>1.6917106049353001</v>
      </c>
      <c r="I633" s="329"/>
      <c r="J633" s="329"/>
      <c r="K633" s="329"/>
      <c r="L633" s="232">
        <v>2.5927518537035938</v>
      </c>
      <c r="M633" s="329">
        <v>1.6654553034529436</v>
      </c>
      <c r="N633" s="329">
        <v>0.77710520389249649</v>
      </c>
      <c r="O633" s="329">
        <v>1.5741715264654309E-2</v>
      </c>
      <c r="P633" s="329">
        <v>0.94518989684186894</v>
      </c>
    </row>
    <row r="634" spans="2:16" ht="18" customHeight="1">
      <c r="B634" s="284"/>
      <c r="C634" s="309" t="s">
        <v>204</v>
      </c>
      <c r="D634" s="310"/>
      <c r="E634" s="287" t="str">
        <f>HYPERLINK("#LAYOUT_e4!lay초YPSY4C04","YPSY4C04")</f>
        <v>YPSY4C04</v>
      </c>
      <c r="F634" s="78">
        <v>1</v>
      </c>
      <c r="G634" s="179" t="s">
        <v>105</v>
      </c>
      <c r="H634" s="230">
        <v>62.543241506924687</v>
      </c>
      <c r="I634" s="327">
        <v>1.4837701918155213</v>
      </c>
      <c r="J634" s="327">
        <v>1.3761623855786095E-2</v>
      </c>
      <c r="K634" s="327">
        <v>0.92747677043892873</v>
      </c>
      <c r="L634" s="230">
        <v>51.289222177091602</v>
      </c>
      <c r="M634" s="327">
        <v>1.6207643009187651</v>
      </c>
      <c r="N634" s="327">
        <v>0.73271903114625281</v>
      </c>
      <c r="O634" s="327">
        <v>1.4842590552119519E-2</v>
      </c>
      <c r="P634" s="327">
        <v>0.91577723816508494</v>
      </c>
    </row>
    <row r="635" spans="2:16" ht="18" customHeight="1">
      <c r="B635" s="284"/>
      <c r="C635" s="311"/>
      <c r="D635" s="312"/>
      <c r="E635" s="289"/>
      <c r="F635" s="79">
        <v>2</v>
      </c>
      <c r="G635" s="178" t="s">
        <v>106</v>
      </c>
      <c r="H635" s="231">
        <v>27.805919986406114</v>
      </c>
      <c r="I635" s="328"/>
      <c r="J635" s="328"/>
      <c r="K635" s="328"/>
      <c r="L635" s="231">
        <v>37.041517909272258</v>
      </c>
      <c r="M635" s="328">
        <v>1.6207643009187651</v>
      </c>
      <c r="N635" s="328">
        <v>0.73271903114625281</v>
      </c>
      <c r="O635" s="328">
        <v>1.4842590552119519E-2</v>
      </c>
      <c r="P635" s="328">
        <v>0.91577723816508494</v>
      </c>
    </row>
    <row r="636" spans="2:16" ht="18" customHeight="1">
      <c r="B636" s="284"/>
      <c r="C636" s="311"/>
      <c r="D636" s="312"/>
      <c r="E636" s="289"/>
      <c r="F636" s="79">
        <v>3</v>
      </c>
      <c r="G636" s="178" t="s">
        <v>107</v>
      </c>
      <c r="H636" s="231">
        <v>8.3814163248597104</v>
      </c>
      <c r="I636" s="328"/>
      <c r="J636" s="328"/>
      <c r="K636" s="328"/>
      <c r="L636" s="231">
        <v>9.97286755830409</v>
      </c>
      <c r="M636" s="328">
        <v>1.6207643009187651</v>
      </c>
      <c r="N636" s="328">
        <v>0.73271903114625281</v>
      </c>
      <c r="O636" s="328">
        <v>1.4842590552119519E-2</v>
      </c>
      <c r="P636" s="328">
        <v>0.91577723816508494</v>
      </c>
    </row>
    <row r="637" spans="2:16" ht="18" customHeight="1">
      <c r="B637" s="284"/>
      <c r="C637" s="313"/>
      <c r="D637" s="314"/>
      <c r="E637" s="288"/>
      <c r="F637" s="82">
        <v>4</v>
      </c>
      <c r="G637" s="180" t="s">
        <v>108</v>
      </c>
      <c r="H637" s="232">
        <v>1.2694221818094817</v>
      </c>
      <c r="I637" s="329"/>
      <c r="J637" s="329"/>
      <c r="K637" s="329"/>
      <c r="L637" s="232">
        <v>1.6963923553320224</v>
      </c>
      <c r="M637" s="329">
        <v>1.6207643009187651</v>
      </c>
      <c r="N637" s="329">
        <v>0.73271903114625281</v>
      </c>
      <c r="O637" s="329">
        <v>1.4842590552119519E-2</v>
      </c>
      <c r="P637" s="329">
        <v>0.91577723816508494</v>
      </c>
    </row>
    <row r="638" spans="2:16" ht="18" customHeight="1">
      <c r="B638" s="284"/>
      <c r="C638" s="309" t="s">
        <v>205</v>
      </c>
      <c r="D638" s="310"/>
      <c r="E638" s="287" t="str">
        <f>HYPERLINK("#LAYOUT_e4!lay초YPSY4C05","YPSY4C05")</f>
        <v>YPSY4C05</v>
      </c>
      <c r="F638" s="78">
        <v>1</v>
      </c>
      <c r="G638" s="179" t="s">
        <v>105</v>
      </c>
      <c r="H638" s="230">
        <v>40.294939766436421</v>
      </c>
      <c r="I638" s="327">
        <v>1.94282757412785</v>
      </c>
      <c r="J638" s="327">
        <v>1.791675031451789E-2</v>
      </c>
      <c r="K638" s="327">
        <v>0.92219971309398685</v>
      </c>
      <c r="L638" s="230">
        <v>36.787770378567927</v>
      </c>
      <c r="M638" s="327">
        <v>1.9590915880667015</v>
      </c>
      <c r="N638" s="327">
        <v>0.88182192287198191</v>
      </c>
      <c r="O638" s="327">
        <v>1.7862947712162049E-2</v>
      </c>
      <c r="P638" s="327">
        <v>0.91179747904434683</v>
      </c>
    </row>
    <row r="639" spans="2:16" ht="18" customHeight="1">
      <c r="B639" s="284"/>
      <c r="C639" s="311"/>
      <c r="D639" s="312"/>
      <c r="E639" s="289"/>
      <c r="F639" s="79">
        <v>2</v>
      </c>
      <c r="G639" s="178" t="s">
        <v>106</v>
      </c>
      <c r="H639" s="231">
        <v>29.682074316327061</v>
      </c>
      <c r="I639" s="328"/>
      <c r="J639" s="328"/>
      <c r="K639" s="328"/>
      <c r="L639" s="231">
        <v>34.721166500469963</v>
      </c>
      <c r="M639" s="328">
        <v>1.9590915880667015</v>
      </c>
      <c r="N639" s="328">
        <v>0.88182192287198191</v>
      </c>
      <c r="O639" s="328">
        <v>1.7862947712162049E-2</v>
      </c>
      <c r="P639" s="328">
        <v>0.91179747904434683</v>
      </c>
    </row>
    <row r="640" spans="2:16" ht="18" customHeight="1">
      <c r="B640" s="284"/>
      <c r="C640" s="311"/>
      <c r="D640" s="312"/>
      <c r="E640" s="289"/>
      <c r="F640" s="79">
        <v>3</v>
      </c>
      <c r="G640" s="178" t="s">
        <v>107</v>
      </c>
      <c r="H640" s="231">
        <v>25.468274655249836</v>
      </c>
      <c r="I640" s="328"/>
      <c r="J640" s="328"/>
      <c r="K640" s="328"/>
      <c r="L640" s="231">
        <v>24.285197056686304</v>
      </c>
      <c r="M640" s="328">
        <v>1.9590915880667015</v>
      </c>
      <c r="N640" s="328">
        <v>0.88182192287198191</v>
      </c>
      <c r="O640" s="328">
        <v>1.7862947712162049E-2</v>
      </c>
      <c r="P640" s="328">
        <v>0.91179747904434683</v>
      </c>
    </row>
    <row r="641" spans="2:16" ht="18" customHeight="1">
      <c r="B641" s="284"/>
      <c r="C641" s="313"/>
      <c r="D641" s="314"/>
      <c r="E641" s="288"/>
      <c r="F641" s="82">
        <v>4</v>
      </c>
      <c r="G641" s="180" t="s">
        <v>108</v>
      </c>
      <c r="H641" s="232">
        <v>4.5547112619866867</v>
      </c>
      <c r="I641" s="329"/>
      <c r="J641" s="329"/>
      <c r="K641" s="329"/>
      <c r="L641" s="232">
        <v>4.2058660642757948</v>
      </c>
      <c r="M641" s="329">
        <v>1.9590915880667015</v>
      </c>
      <c r="N641" s="329">
        <v>0.88182192287198191</v>
      </c>
      <c r="O641" s="329">
        <v>1.7862947712162049E-2</v>
      </c>
      <c r="P641" s="329">
        <v>0.91179747904434683</v>
      </c>
    </row>
    <row r="642" spans="2:16" ht="18" customHeight="1">
      <c r="B642" s="284"/>
      <c r="C642" s="309" t="s">
        <v>206</v>
      </c>
      <c r="D642" s="310"/>
      <c r="E642" s="287" t="str">
        <f>HYPERLINK("#LAYOUT_e4!lay초YPSY4C06","YPSY4C06")</f>
        <v>YPSY4C06</v>
      </c>
      <c r="F642" s="78">
        <v>1</v>
      </c>
      <c r="G642" s="179" t="s">
        <v>105</v>
      </c>
      <c r="H642" s="230">
        <v>38.599433618676443</v>
      </c>
      <c r="I642" s="327">
        <v>1.9806471909680352</v>
      </c>
      <c r="J642" s="327">
        <v>1.853788090491602E-2</v>
      </c>
      <c r="K642" s="327">
        <v>0.9359506826582118</v>
      </c>
      <c r="L642" s="230">
        <v>31.834393265913803</v>
      </c>
      <c r="M642" s="327">
        <v>2.0682940916568024</v>
      </c>
      <c r="N642" s="327">
        <v>0.91283650953728968</v>
      </c>
      <c r="O642" s="327">
        <v>1.8491206009610996E-2</v>
      </c>
      <c r="P642" s="327">
        <v>0.89403175709884997</v>
      </c>
    </row>
    <row r="643" spans="2:16" ht="18" customHeight="1">
      <c r="B643" s="284"/>
      <c r="C643" s="311"/>
      <c r="D643" s="312"/>
      <c r="E643" s="289"/>
      <c r="F643" s="79">
        <v>2</v>
      </c>
      <c r="G643" s="178" t="s">
        <v>106</v>
      </c>
      <c r="H643" s="231">
        <v>31.901336665998496</v>
      </c>
      <c r="I643" s="328"/>
      <c r="J643" s="328"/>
      <c r="K643" s="328"/>
      <c r="L643" s="231">
        <v>36.132339023726246</v>
      </c>
      <c r="M643" s="328">
        <v>2.0682940916568024</v>
      </c>
      <c r="N643" s="328">
        <v>0.91283650953728968</v>
      </c>
      <c r="O643" s="328">
        <v>1.8491206009610996E-2</v>
      </c>
      <c r="P643" s="328">
        <v>0.89403175709884997</v>
      </c>
    </row>
    <row r="644" spans="2:16" ht="18" customHeight="1">
      <c r="B644" s="284"/>
      <c r="C644" s="311"/>
      <c r="D644" s="312"/>
      <c r="E644" s="289"/>
      <c r="F644" s="79">
        <v>3</v>
      </c>
      <c r="G644" s="178" t="s">
        <v>107</v>
      </c>
      <c r="H644" s="231">
        <v>22.334306715168431</v>
      </c>
      <c r="I644" s="328"/>
      <c r="J644" s="328"/>
      <c r="K644" s="328"/>
      <c r="L644" s="231">
        <v>25.40273298912588</v>
      </c>
      <c r="M644" s="328">
        <v>2.0682940916568024</v>
      </c>
      <c r="N644" s="328">
        <v>0.91283650953728968</v>
      </c>
      <c r="O644" s="328">
        <v>1.8491206009610996E-2</v>
      </c>
      <c r="P644" s="328">
        <v>0.89403175709884997</v>
      </c>
    </row>
    <row r="645" spans="2:16" ht="18" customHeight="1">
      <c r="B645" s="284"/>
      <c r="C645" s="313"/>
      <c r="D645" s="314"/>
      <c r="E645" s="288"/>
      <c r="F645" s="82">
        <v>4</v>
      </c>
      <c r="G645" s="180" t="s">
        <v>108</v>
      </c>
      <c r="H645" s="232">
        <v>7.1649230001566186</v>
      </c>
      <c r="I645" s="329"/>
      <c r="J645" s="329"/>
      <c r="K645" s="329"/>
      <c r="L645" s="232">
        <v>6.6305347212340786</v>
      </c>
      <c r="M645" s="329">
        <v>2.0682940916568024</v>
      </c>
      <c r="N645" s="329">
        <v>0.91283650953728968</v>
      </c>
      <c r="O645" s="329">
        <v>1.8491206009610996E-2</v>
      </c>
      <c r="P645" s="329">
        <v>0.89403175709884997</v>
      </c>
    </row>
    <row r="646" spans="2:16" ht="18" customHeight="1">
      <c r="B646" s="284"/>
      <c r="C646" s="309" t="s">
        <v>207</v>
      </c>
      <c r="D646" s="310"/>
      <c r="E646" s="287" t="str">
        <f>HYPERLINK("#LAYOUT_e4!lay초YPSY4C07","YPSY4C07")</f>
        <v>YPSY4C07</v>
      </c>
      <c r="F646" s="78">
        <v>1</v>
      </c>
      <c r="G646" s="179" t="s">
        <v>105</v>
      </c>
      <c r="H646" s="230">
        <v>66.373005717489022</v>
      </c>
      <c r="I646" s="327">
        <v>1.4518240065957477</v>
      </c>
      <c r="J646" s="327">
        <v>1.403347199813626E-2</v>
      </c>
      <c r="K646" s="327">
        <v>0.96660972227908637</v>
      </c>
      <c r="L646" s="230">
        <v>57.601214053954166</v>
      </c>
      <c r="M646" s="327">
        <v>1.5495094622868064</v>
      </c>
      <c r="N646" s="327">
        <v>0.73190411064390393</v>
      </c>
      <c r="O646" s="327">
        <v>1.4826082817456253E-2</v>
      </c>
      <c r="P646" s="327">
        <v>0.95682428396245633</v>
      </c>
    </row>
    <row r="647" spans="2:16" ht="18" customHeight="1">
      <c r="B647" s="284"/>
      <c r="C647" s="311"/>
      <c r="D647" s="312"/>
      <c r="E647" s="289"/>
      <c r="F647" s="79">
        <v>2</v>
      </c>
      <c r="G647" s="178" t="s">
        <v>106</v>
      </c>
      <c r="H647" s="231">
        <v>23.7932930682225</v>
      </c>
      <c r="I647" s="328"/>
      <c r="J647" s="328"/>
      <c r="K647" s="328"/>
      <c r="L647" s="231">
        <v>31.690215445859039</v>
      </c>
      <c r="M647" s="328">
        <v>1.5495094622868064</v>
      </c>
      <c r="N647" s="328">
        <v>0.73190411064390393</v>
      </c>
      <c r="O647" s="328">
        <v>1.4826082817456253E-2</v>
      </c>
      <c r="P647" s="328">
        <v>0.95682428396245633</v>
      </c>
    </row>
    <row r="648" spans="2:16" ht="18" customHeight="1">
      <c r="B648" s="284"/>
      <c r="C648" s="311"/>
      <c r="D648" s="312"/>
      <c r="E648" s="289"/>
      <c r="F648" s="79">
        <v>3</v>
      </c>
      <c r="G648" s="178" t="s">
        <v>107</v>
      </c>
      <c r="H648" s="231">
        <v>8.1119960515112552</v>
      </c>
      <c r="I648" s="328"/>
      <c r="J648" s="328"/>
      <c r="K648" s="328"/>
      <c r="L648" s="231">
        <v>8.864980717738618</v>
      </c>
      <c r="M648" s="328">
        <v>1.5495094622868064</v>
      </c>
      <c r="N648" s="328">
        <v>0.73190411064390393</v>
      </c>
      <c r="O648" s="328">
        <v>1.4826082817456253E-2</v>
      </c>
      <c r="P648" s="328">
        <v>0.95682428396245633</v>
      </c>
    </row>
    <row r="649" spans="2:16" ht="18" customHeight="1">
      <c r="B649" s="284"/>
      <c r="C649" s="313"/>
      <c r="D649" s="314"/>
      <c r="E649" s="288"/>
      <c r="F649" s="82">
        <v>4</v>
      </c>
      <c r="G649" s="180" t="s">
        <v>108</v>
      </c>
      <c r="H649" s="232">
        <v>1.7217051627772124</v>
      </c>
      <c r="I649" s="329"/>
      <c r="J649" s="329"/>
      <c r="K649" s="329"/>
      <c r="L649" s="232">
        <v>1.8435897824481651</v>
      </c>
      <c r="M649" s="329">
        <v>1.5495094622868064</v>
      </c>
      <c r="N649" s="329">
        <v>0.73190411064390393</v>
      </c>
      <c r="O649" s="329">
        <v>1.4826082817456253E-2</v>
      </c>
      <c r="P649" s="329">
        <v>0.95682428396245633</v>
      </c>
    </row>
    <row r="650" spans="2:16" ht="18" customHeight="1">
      <c r="B650" s="284"/>
      <c r="C650" s="309" t="s">
        <v>208</v>
      </c>
      <c r="D650" s="310"/>
      <c r="E650" s="287" t="str">
        <f>HYPERLINK("#LAYOUT_e4!lay초YPSY4C08","YPSY4C08")</f>
        <v>YPSY4C08</v>
      </c>
      <c r="F650" s="78">
        <v>1</v>
      </c>
      <c r="G650" s="179" t="s">
        <v>105</v>
      </c>
      <c r="H650" s="230">
        <v>59.857236019158812</v>
      </c>
      <c r="I650" s="327">
        <v>1.5505887107839571</v>
      </c>
      <c r="J650" s="327">
        <v>1.5091590946761078E-2</v>
      </c>
      <c r="K650" s="327">
        <v>0.97328136351069983</v>
      </c>
      <c r="L650" s="230">
        <v>51.901036746778125</v>
      </c>
      <c r="M650" s="327">
        <v>1.6532327740481669</v>
      </c>
      <c r="N650" s="327">
        <v>0.79049568360054012</v>
      </c>
      <c r="O650" s="327">
        <v>1.601296440539525E-2</v>
      </c>
      <c r="P650" s="327">
        <v>0.96858498432651507</v>
      </c>
    </row>
    <row r="651" spans="2:16" ht="18" customHeight="1">
      <c r="B651" s="284"/>
      <c r="C651" s="311"/>
      <c r="D651" s="312"/>
      <c r="E651" s="289"/>
      <c r="F651" s="79">
        <v>2</v>
      </c>
      <c r="G651" s="178" t="s">
        <v>106</v>
      </c>
      <c r="H651" s="231">
        <v>27.615132753426696</v>
      </c>
      <c r="I651" s="328"/>
      <c r="J651" s="328"/>
      <c r="K651" s="328"/>
      <c r="L651" s="231">
        <v>33.555699640258787</v>
      </c>
      <c r="M651" s="328">
        <v>1.6532327740481669</v>
      </c>
      <c r="N651" s="328">
        <v>0.79049568360054012</v>
      </c>
      <c r="O651" s="328">
        <v>1.601296440539525E-2</v>
      </c>
      <c r="P651" s="328">
        <v>0.96858498432651507</v>
      </c>
    </row>
    <row r="652" spans="2:16" ht="18" customHeight="1">
      <c r="B652" s="284"/>
      <c r="C652" s="311"/>
      <c r="D652" s="312"/>
      <c r="E652" s="289"/>
      <c r="F652" s="79">
        <v>3</v>
      </c>
      <c r="G652" s="178" t="s">
        <v>107</v>
      </c>
      <c r="H652" s="231">
        <v>10.139155357272895</v>
      </c>
      <c r="I652" s="328"/>
      <c r="J652" s="328"/>
      <c r="K652" s="328"/>
      <c r="L652" s="231">
        <v>11.862213074331267</v>
      </c>
      <c r="M652" s="328">
        <v>1.6532327740481669</v>
      </c>
      <c r="N652" s="328">
        <v>0.79049568360054012</v>
      </c>
      <c r="O652" s="328">
        <v>1.601296440539525E-2</v>
      </c>
      <c r="P652" s="328">
        <v>0.96858498432651507</v>
      </c>
    </row>
    <row r="653" spans="2:16" ht="18" customHeight="1">
      <c r="B653" s="284"/>
      <c r="C653" s="313"/>
      <c r="D653" s="314"/>
      <c r="E653" s="288"/>
      <c r="F653" s="82">
        <v>4</v>
      </c>
      <c r="G653" s="180" t="s">
        <v>108</v>
      </c>
      <c r="H653" s="232">
        <v>2.3884758701415967</v>
      </c>
      <c r="I653" s="329"/>
      <c r="J653" s="329"/>
      <c r="K653" s="329"/>
      <c r="L653" s="232">
        <v>2.681050538631812</v>
      </c>
      <c r="M653" s="329">
        <v>1.6532327740481669</v>
      </c>
      <c r="N653" s="329">
        <v>0.79049568360054012</v>
      </c>
      <c r="O653" s="329">
        <v>1.601296440539525E-2</v>
      </c>
      <c r="P653" s="329">
        <v>0.96858498432651507</v>
      </c>
    </row>
    <row r="654" spans="2:16" ht="18" customHeight="1">
      <c r="B654" s="284"/>
      <c r="C654" s="309" t="s">
        <v>209</v>
      </c>
      <c r="D654" s="310"/>
      <c r="E654" s="287" t="str">
        <f>HYPERLINK("#LAYOUT_e4!lay초YPSY4D01","YPSY4D01")</f>
        <v>YPSY4D01</v>
      </c>
      <c r="F654" s="78">
        <v>1</v>
      </c>
      <c r="G654" s="179" t="s">
        <v>105</v>
      </c>
      <c r="H654" s="230">
        <v>44.269572170939448</v>
      </c>
      <c r="I654" s="327">
        <v>1.8523499985039278</v>
      </c>
      <c r="J654" s="327">
        <v>1.7567388752194501E-2</v>
      </c>
      <c r="K654" s="327">
        <v>0.94838387812146829</v>
      </c>
      <c r="L654" s="230">
        <v>39.402701520730595</v>
      </c>
      <c r="M654" s="327">
        <v>1.8946408943211104</v>
      </c>
      <c r="N654" s="327">
        <v>0.86373407985794048</v>
      </c>
      <c r="O654" s="327">
        <v>1.74965447167213E-2</v>
      </c>
      <c r="P654" s="327">
        <v>0.92347551291458152</v>
      </c>
    </row>
    <row r="655" spans="2:16" ht="18" customHeight="1">
      <c r="B655" s="284"/>
      <c r="C655" s="311"/>
      <c r="D655" s="312"/>
      <c r="E655" s="289"/>
      <c r="F655" s="79">
        <v>2</v>
      </c>
      <c r="G655" s="178" t="s">
        <v>106</v>
      </c>
      <c r="H655" s="231">
        <v>30.641102987145704</v>
      </c>
      <c r="I655" s="328"/>
      <c r="J655" s="328"/>
      <c r="K655" s="328"/>
      <c r="L655" s="231">
        <v>35.43730992866584</v>
      </c>
      <c r="M655" s="328">
        <v>1.8946408943211104</v>
      </c>
      <c r="N655" s="328">
        <v>0.86373407985794048</v>
      </c>
      <c r="O655" s="328">
        <v>1.74965447167213E-2</v>
      </c>
      <c r="P655" s="328">
        <v>0.92347551291458152</v>
      </c>
    </row>
    <row r="656" spans="2:16" ht="18" customHeight="1">
      <c r="B656" s="284"/>
      <c r="C656" s="311"/>
      <c r="D656" s="312"/>
      <c r="E656" s="289"/>
      <c r="F656" s="79">
        <v>3</v>
      </c>
      <c r="G656" s="178" t="s">
        <v>107</v>
      </c>
      <c r="H656" s="231">
        <v>20.674077662495737</v>
      </c>
      <c r="I656" s="328"/>
      <c r="J656" s="328"/>
      <c r="K656" s="328"/>
      <c r="L656" s="231">
        <v>21.453186148365855</v>
      </c>
      <c r="M656" s="328">
        <v>1.8946408943211104</v>
      </c>
      <c r="N656" s="328">
        <v>0.86373407985794048</v>
      </c>
      <c r="O656" s="328">
        <v>1.74965447167213E-2</v>
      </c>
      <c r="P656" s="328">
        <v>0.92347551291458152</v>
      </c>
    </row>
    <row r="657" spans="2:16" ht="18" customHeight="1">
      <c r="B657" s="284"/>
      <c r="C657" s="313"/>
      <c r="D657" s="314"/>
      <c r="E657" s="288"/>
      <c r="F657" s="82">
        <v>4</v>
      </c>
      <c r="G657" s="180" t="s">
        <v>108</v>
      </c>
      <c r="H657" s="232">
        <v>4.4152471794190857</v>
      </c>
      <c r="I657" s="329"/>
      <c r="J657" s="329"/>
      <c r="K657" s="329"/>
      <c r="L657" s="232">
        <v>3.7068024022377024</v>
      </c>
      <c r="M657" s="329">
        <v>1.8946408943211104</v>
      </c>
      <c r="N657" s="329">
        <v>0.86373407985794048</v>
      </c>
      <c r="O657" s="329">
        <v>1.74965447167213E-2</v>
      </c>
      <c r="P657" s="329">
        <v>0.92347551291458152</v>
      </c>
    </row>
    <row r="658" spans="2:16" ht="18" customHeight="1">
      <c r="B658" s="284"/>
      <c r="C658" s="309" t="s">
        <v>210</v>
      </c>
      <c r="D658" s="310"/>
      <c r="E658" s="287" t="str">
        <f>HYPERLINK("#LAYOUT_e4!lay초YPSY4D02","YPSY4D02")</f>
        <v>YPSY4D02</v>
      </c>
      <c r="F658" s="78">
        <v>1</v>
      </c>
      <c r="G658" s="179" t="s">
        <v>105</v>
      </c>
      <c r="H658" s="230">
        <v>30.378479537799173</v>
      </c>
      <c r="I658" s="327">
        <v>2.1524512225107966</v>
      </c>
      <c r="J658" s="327">
        <v>1.8525030171634673E-2</v>
      </c>
      <c r="K658" s="327">
        <v>0.86064808242323587</v>
      </c>
      <c r="L658" s="230">
        <v>28.271890611295259</v>
      </c>
      <c r="M658" s="327">
        <v>2.1184600418060122</v>
      </c>
      <c r="N658" s="327">
        <v>0.88880878225410698</v>
      </c>
      <c r="O658" s="327">
        <v>1.8004479579966662E-2</v>
      </c>
      <c r="P658" s="327">
        <v>0.84988525743528442</v>
      </c>
    </row>
    <row r="659" spans="2:16" ht="18" customHeight="1">
      <c r="B659" s="284"/>
      <c r="C659" s="311"/>
      <c r="D659" s="312"/>
      <c r="E659" s="289"/>
      <c r="F659" s="79">
        <v>2</v>
      </c>
      <c r="G659" s="178" t="s">
        <v>106</v>
      </c>
      <c r="H659" s="231">
        <v>31.874876366887154</v>
      </c>
      <c r="I659" s="328"/>
      <c r="J659" s="328"/>
      <c r="K659" s="328"/>
      <c r="L659" s="231">
        <v>37.599805476801009</v>
      </c>
      <c r="M659" s="328">
        <v>2.1184600418060122</v>
      </c>
      <c r="N659" s="328">
        <v>0.88880878225410698</v>
      </c>
      <c r="O659" s="328">
        <v>1.8004479579966662E-2</v>
      </c>
      <c r="P659" s="328">
        <v>0.84988525743528442</v>
      </c>
    </row>
    <row r="660" spans="2:16" ht="18" customHeight="1">
      <c r="B660" s="284"/>
      <c r="C660" s="311"/>
      <c r="D660" s="312"/>
      <c r="E660" s="289"/>
      <c r="F660" s="79">
        <v>3</v>
      </c>
      <c r="G660" s="178" t="s">
        <v>107</v>
      </c>
      <c r="H660" s="231">
        <v>29.869686401746566</v>
      </c>
      <c r="I660" s="328"/>
      <c r="J660" s="328"/>
      <c r="K660" s="328"/>
      <c r="L660" s="231">
        <v>28.138713031911269</v>
      </c>
      <c r="M660" s="328">
        <v>2.1184600418060122</v>
      </c>
      <c r="N660" s="328">
        <v>0.88880878225410698</v>
      </c>
      <c r="O660" s="328">
        <v>1.8004479579966662E-2</v>
      </c>
      <c r="P660" s="328">
        <v>0.84988525743528442</v>
      </c>
    </row>
    <row r="661" spans="2:16" ht="18" customHeight="1">
      <c r="B661" s="284"/>
      <c r="C661" s="313"/>
      <c r="D661" s="314"/>
      <c r="E661" s="288"/>
      <c r="F661" s="82">
        <v>4</v>
      </c>
      <c r="G661" s="180" t="s">
        <v>108</v>
      </c>
      <c r="H661" s="232">
        <v>7.8769576935671051</v>
      </c>
      <c r="I661" s="329"/>
      <c r="J661" s="329"/>
      <c r="K661" s="329"/>
      <c r="L661" s="232">
        <v>5.9895908799924644</v>
      </c>
      <c r="M661" s="329">
        <v>2.1184600418060122</v>
      </c>
      <c r="N661" s="329">
        <v>0.88880878225410698</v>
      </c>
      <c r="O661" s="329">
        <v>1.8004479579966662E-2</v>
      </c>
      <c r="P661" s="329">
        <v>0.84988525743528442</v>
      </c>
    </row>
    <row r="662" spans="2:16" ht="18" customHeight="1">
      <c r="B662" s="284"/>
      <c r="C662" s="309" t="s">
        <v>211</v>
      </c>
      <c r="D662" s="310"/>
      <c r="E662" s="287" t="str">
        <f>HYPERLINK("#LAYOUT_e4!lay초YPSY4D03","YPSY4D03")</f>
        <v>YPSY4D03</v>
      </c>
      <c r="F662" s="78">
        <v>1</v>
      </c>
      <c r="G662" s="179" t="s">
        <v>105</v>
      </c>
      <c r="H662" s="230">
        <v>35.84260763771713</v>
      </c>
      <c r="I662" s="327">
        <v>1.9643084515488525</v>
      </c>
      <c r="J662" s="327">
        <v>1.7312818341272004E-2</v>
      </c>
      <c r="K662" s="327">
        <v>0.88136964068045898</v>
      </c>
      <c r="L662" s="230">
        <v>34.695601806677843</v>
      </c>
      <c r="M662" s="327">
        <v>1.9438918104642964</v>
      </c>
      <c r="N662" s="327">
        <v>0.84155945237456542</v>
      </c>
      <c r="O662" s="327">
        <v>1.7047356279692946E-2</v>
      </c>
      <c r="P662" s="327">
        <v>0.87697042540763703</v>
      </c>
    </row>
    <row r="663" spans="2:16" ht="18" customHeight="1">
      <c r="B663" s="284"/>
      <c r="C663" s="311"/>
      <c r="D663" s="312"/>
      <c r="E663" s="289"/>
      <c r="F663" s="79">
        <v>2</v>
      </c>
      <c r="G663" s="178" t="s">
        <v>106</v>
      </c>
      <c r="H663" s="231">
        <v>36.944902049061191</v>
      </c>
      <c r="I663" s="328"/>
      <c r="J663" s="328"/>
      <c r="K663" s="328"/>
      <c r="L663" s="231">
        <v>39.88341443321319</v>
      </c>
      <c r="M663" s="328">
        <v>1.9438918104642964</v>
      </c>
      <c r="N663" s="328">
        <v>0.84155945237456542</v>
      </c>
      <c r="O663" s="328">
        <v>1.7047356279692946E-2</v>
      </c>
      <c r="P663" s="328">
        <v>0.87697042540763703</v>
      </c>
    </row>
    <row r="664" spans="2:16" ht="18" customHeight="1">
      <c r="B664" s="284"/>
      <c r="C664" s="311"/>
      <c r="D664" s="312"/>
      <c r="E664" s="289"/>
      <c r="F664" s="79">
        <v>3</v>
      </c>
      <c r="G664" s="178" t="s">
        <v>107</v>
      </c>
      <c r="H664" s="231">
        <v>22.151527833839591</v>
      </c>
      <c r="I664" s="328"/>
      <c r="J664" s="328"/>
      <c r="K664" s="328"/>
      <c r="L664" s="231">
        <v>21.757184667110412</v>
      </c>
      <c r="M664" s="328">
        <v>1.9438918104642964</v>
      </c>
      <c r="N664" s="328">
        <v>0.84155945237456542</v>
      </c>
      <c r="O664" s="328">
        <v>1.7047356279692946E-2</v>
      </c>
      <c r="P664" s="328">
        <v>0.87697042540763703</v>
      </c>
    </row>
    <row r="665" spans="2:16" ht="18" customHeight="1">
      <c r="B665" s="284"/>
      <c r="C665" s="313"/>
      <c r="D665" s="314"/>
      <c r="E665" s="288"/>
      <c r="F665" s="82">
        <v>4</v>
      </c>
      <c r="G665" s="180" t="s">
        <v>108</v>
      </c>
      <c r="H665" s="232">
        <v>5.0609624793821046</v>
      </c>
      <c r="I665" s="329"/>
      <c r="J665" s="329"/>
      <c r="K665" s="329"/>
      <c r="L665" s="232">
        <v>3.6637990929985356</v>
      </c>
      <c r="M665" s="329">
        <v>1.9438918104642964</v>
      </c>
      <c r="N665" s="329">
        <v>0.84155945237456542</v>
      </c>
      <c r="O665" s="329">
        <v>1.7047356279692946E-2</v>
      </c>
      <c r="P665" s="329">
        <v>0.87697042540763703</v>
      </c>
    </row>
    <row r="666" spans="2:16" ht="18" customHeight="1">
      <c r="B666" s="284"/>
      <c r="C666" s="309" t="s">
        <v>212</v>
      </c>
      <c r="D666" s="310"/>
      <c r="E666" s="287" t="str">
        <f>HYPERLINK("#LAYOUT_e4!lay초YPSY4D04","YPSY4D04")</f>
        <v>YPSY4D04</v>
      </c>
      <c r="F666" s="78">
        <v>1</v>
      </c>
      <c r="G666" s="179" t="s">
        <v>105</v>
      </c>
      <c r="H666" s="230">
        <v>33.074812293897878</v>
      </c>
      <c r="I666" s="327">
        <v>2.0496153539571123</v>
      </c>
      <c r="J666" s="327">
        <v>1.7635848933303076E-2</v>
      </c>
      <c r="K666" s="327">
        <v>0.86044676135228149</v>
      </c>
      <c r="L666" s="230">
        <v>27.011124717397024</v>
      </c>
      <c r="M666" s="327">
        <v>2.0826051770062755</v>
      </c>
      <c r="N666" s="327">
        <v>0.82341291163197616</v>
      </c>
      <c r="O666" s="327">
        <v>1.6679764252284762E-2</v>
      </c>
      <c r="P666" s="327">
        <v>0.80090861371341426</v>
      </c>
    </row>
    <row r="667" spans="2:16" ht="18" customHeight="1">
      <c r="B667" s="284"/>
      <c r="C667" s="311"/>
      <c r="D667" s="312"/>
      <c r="E667" s="289"/>
      <c r="F667" s="79">
        <v>2</v>
      </c>
      <c r="G667" s="178" t="s">
        <v>106</v>
      </c>
      <c r="H667" s="231">
        <v>33.982662930208782</v>
      </c>
      <c r="I667" s="328"/>
      <c r="J667" s="328"/>
      <c r="K667" s="328"/>
      <c r="L667" s="231">
        <v>40.803560485616551</v>
      </c>
      <c r="M667" s="328">
        <v>2.0826051770062755</v>
      </c>
      <c r="N667" s="328">
        <v>0.82341291163197616</v>
      </c>
      <c r="O667" s="328">
        <v>1.6679764252284762E-2</v>
      </c>
      <c r="P667" s="328">
        <v>0.80090861371341426</v>
      </c>
    </row>
    <row r="668" spans="2:16" ht="18" customHeight="1">
      <c r="B668" s="284"/>
      <c r="C668" s="311"/>
      <c r="D668" s="312"/>
      <c r="E668" s="289"/>
      <c r="F668" s="79">
        <v>3</v>
      </c>
      <c r="G668" s="178" t="s">
        <v>107</v>
      </c>
      <c r="H668" s="231">
        <v>27.848701862176057</v>
      </c>
      <c r="I668" s="328"/>
      <c r="J668" s="328"/>
      <c r="K668" s="328"/>
      <c r="L668" s="231">
        <v>29.098987175948288</v>
      </c>
      <c r="M668" s="328">
        <v>2.0826051770062755</v>
      </c>
      <c r="N668" s="328">
        <v>0.82341291163197616</v>
      </c>
      <c r="O668" s="328">
        <v>1.6679764252284762E-2</v>
      </c>
      <c r="P668" s="328">
        <v>0.80090861371341426</v>
      </c>
    </row>
    <row r="669" spans="2:16" ht="18" customHeight="1">
      <c r="B669" s="284"/>
      <c r="C669" s="313"/>
      <c r="D669" s="314"/>
      <c r="E669" s="288"/>
      <c r="F669" s="82">
        <v>4</v>
      </c>
      <c r="G669" s="180" t="s">
        <v>108</v>
      </c>
      <c r="H669" s="232">
        <v>5.093822913717287</v>
      </c>
      <c r="I669" s="329"/>
      <c r="J669" s="329"/>
      <c r="K669" s="329"/>
      <c r="L669" s="232">
        <v>3.0863276210381581</v>
      </c>
      <c r="M669" s="329">
        <v>2.0826051770062755</v>
      </c>
      <c r="N669" s="329">
        <v>0.82341291163197616</v>
      </c>
      <c r="O669" s="329">
        <v>1.6679764252284762E-2</v>
      </c>
      <c r="P669" s="329">
        <v>0.80090861371341426</v>
      </c>
    </row>
    <row r="670" spans="2:16" ht="18" customHeight="1">
      <c r="B670" s="284"/>
      <c r="C670" s="309" t="s">
        <v>213</v>
      </c>
      <c r="D670" s="310"/>
      <c r="E670" s="287" t="str">
        <f>HYPERLINK("#LAYOUT_e4!lay초YPSY4D05","YPSY4D05")</f>
        <v>YPSY4D05</v>
      </c>
      <c r="F670" s="78">
        <v>1</v>
      </c>
      <c r="G670" s="179" t="s">
        <v>105</v>
      </c>
      <c r="H670" s="230">
        <v>34.499088780398097</v>
      </c>
      <c r="I670" s="327">
        <v>2.0574007277633082</v>
      </c>
      <c r="J670" s="327">
        <v>1.8391341193076165E-2</v>
      </c>
      <c r="K670" s="327">
        <v>0.89391147504211332</v>
      </c>
      <c r="L670" s="230">
        <v>29.253821429589721</v>
      </c>
      <c r="M670" s="327">
        <v>2.0989155365621572</v>
      </c>
      <c r="N670" s="327">
        <v>0.88598905306437381</v>
      </c>
      <c r="O670" s="327">
        <v>1.7947360706221036E-2</v>
      </c>
      <c r="P670" s="327">
        <v>0.85507779582294452</v>
      </c>
    </row>
    <row r="671" spans="2:16" ht="18" customHeight="1">
      <c r="B671" s="284"/>
      <c r="C671" s="311"/>
      <c r="D671" s="312"/>
      <c r="E671" s="289"/>
      <c r="F671" s="79">
        <v>2</v>
      </c>
      <c r="G671" s="178" t="s">
        <v>106</v>
      </c>
      <c r="H671" s="231">
        <v>32.130225115377222</v>
      </c>
      <c r="I671" s="328"/>
      <c r="J671" s="328"/>
      <c r="K671" s="328"/>
      <c r="L671" s="231">
        <v>37.123144115255194</v>
      </c>
      <c r="M671" s="328">
        <v>2.0989155365621572</v>
      </c>
      <c r="N671" s="328">
        <v>0.88598905306437381</v>
      </c>
      <c r="O671" s="328">
        <v>1.7947360706221036E-2</v>
      </c>
      <c r="P671" s="328">
        <v>0.85507779582294452</v>
      </c>
    </row>
    <row r="672" spans="2:16" ht="18" customHeight="1">
      <c r="B672" s="284"/>
      <c r="C672" s="311"/>
      <c r="D672" s="312"/>
      <c r="E672" s="289"/>
      <c r="F672" s="79">
        <v>3</v>
      </c>
      <c r="G672" s="178" t="s">
        <v>107</v>
      </c>
      <c r="H672" s="231">
        <v>26.502210651718702</v>
      </c>
      <c r="I672" s="328"/>
      <c r="J672" s="328"/>
      <c r="K672" s="328"/>
      <c r="L672" s="231">
        <v>28.100693824504319</v>
      </c>
      <c r="M672" s="328">
        <v>2.0989155365621572</v>
      </c>
      <c r="N672" s="328">
        <v>0.88598905306437381</v>
      </c>
      <c r="O672" s="328">
        <v>1.7947360706221036E-2</v>
      </c>
      <c r="P672" s="328">
        <v>0.85507779582294452</v>
      </c>
    </row>
    <row r="673" spans="2:16" ht="18" customHeight="1">
      <c r="B673" s="284"/>
      <c r="C673" s="313"/>
      <c r="D673" s="314"/>
      <c r="E673" s="288"/>
      <c r="F673" s="82">
        <v>4</v>
      </c>
      <c r="G673" s="180" t="s">
        <v>108</v>
      </c>
      <c r="H673" s="232">
        <v>6.8684754525059812</v>
      </c>
      <c r="I673" s="329"/>
      <c r="J673" s="329"/>
      <c r="K673" s="329"/>
      <c r="L673" s="232">
        <v>5.5223406306507643</v>
      </c>
      <c r="M673" s="329">
        <v>2.0989155365621572</v>
      </c>
      <c r="N673" s="329">
        <v>0.88598905306437381</v>
      </c>
      <c r="O673" s="329">
        <v>1.7947360706221036E-2</v>
      </c>
      <c r="P673" s="329">
        <v>0.85507779582294452</v>
      </c>
    </row>
    <row r="674" spans="2:16" ht="18" customHeight="1">
      <c r="B674" s="284"/>
      <c r="C674" s="309" t="s">
        <v>214</v>
      </c>
      <c r="D674" s="310"/>
      <c r="E674" s="287" t="str">
        <f>HYPERLINK("#LAYOUT_e4!lay초YPSY4E01","YPSY4E01")</f>
        <v>YPSY4E01</v>
      </c>
      <c r="F674" s="78">
        <v>1</v>
      </c>
      <c r="G674" s="179" t="s">
        <v>105</v>
      </c>
      <c r="H674" s="230">
        <v>56.498441302668205</v>
      </c>
      <c r="I674" s="327">
        <v>1.5691884775895939</v>
      </c>
      <c r="J674" s="327">
        <v>1.4643381425351661E-2</v>
      </c>
      <c r="K674" s="327">
        <v>0.93318180922696603</v>
      </c>
      <c r="L674" s="230">
        <v>46.117429987990256</v>
      </c>
      <c r="M674" s="327">
        <v>1.7009003793358124</v>
      </c>
      <c r="N674" s="327">
        <v>0.76542095796484977</v>
      </c>
      <c r="O674" s="327">
        <v>1.5505029071389984E-2</v>
      </c>
      <c r="P674" s="327">
        <v>0.91157773022806754</v>
      </c>
    </row>
    <row r="675" spans="2:16" ht="18" customHeight="1">
      <c r="B675" s="284"/>
      <c r="C675" s="311"/>
      <c r="D675" s="312"/>
      <c r="E675" s="289"/>
      <c r="F675" s="79">
        <v>2</v>
      </c>
      <c r="G675" s="178" t="s">
        <v>106</v>
      </c>
      <c r="H675" s="231">
        <v>32.346381975385157</v>
      </c>
      <c r="I675" s="328"/>
      <c r="J675" s="328"/>
      <c r="K675" s="328"/>
      <c r="L675" s="231">
        <v>40.267124137996554</v>
      </c>
      <c r="M675" s="328">
        <v>1.7009003793358124</v>
      </c>
      <c r="N675" s="328">
        <v>0.76542095796484977</v>
      </c>
      <c r="O675" s="328">
        <v>1.5505029071389984E-2</v>
      </c>
      <c r="P675" s="328">
        <v>0.91157773022806754</v>
      </c>
    </row>
    <row r="676" spans="2:16" ht="18" customHeight="1">
      <c r="B676" s="284"/>
      <c r="C676" s="311"/>
      <c r="D676" s="312"/>
      <c r="E676" s="289"/>
      <c r="F676" s="79">
        <v>3</v>
      </c>
      <c r="G676" s="178" t="s">
        <v>107</v>
      </c>
      <c r="H676" s="231">
        <v>8.8930643822637059</v>
      </c>
      <c r="I676" s="328"/>
      <c r="J676" s="328"/>
      <c r="K676" s="328"/>
      <c r="L676" s="231">
        <v>11.023423826454879</v>
      </c>
      <c r="M676" s="328">
        <v>1.7009003793358124</v>
      </c>
      <c r="N676" s="328">
        <v>0.76542095796484977</v>
      </c>
      <c r="O676" s="328">
        <v>1.5505029071389984E-2</v>
      </c>
      <c r="P676" s="328">
        <v>0.91157773022806754</v>
      </c>
    </row>
    <row r="677" spans="2:16" ht="18" customHeight="1">
      <c r="B677" s="284"/>
      <c r="C677" s="313"/>
      <c r="D677" s="314"/>
      <c r="E677" s="288"/>
      <c r="F677" s="82">
        <v>4</v>
      </c>
      <c r="G677" s="180" t="s">
        <v>108</v>
      </c>
      <c r="H677" s="232">
        <v>2.2621123396829201</v>
      </c>
      <c r="I677" s="329"/>
      <c r="J677" s="329"/>
      <c r="K677" s="329"/>
      <c r="L677" s="232">
        <v>2.59202204755832</v>
      </c>
      <c r="M677" s="329">
        <v>1.7009003793358124</v>
      </c>
      <c r="N677" s="329">
        <v>0.76542095796484977</v>
      </c>
      <c r="O677" s="329">
        <v>1.5505029071389984E-2</v>
      </c>
      <c r="P677" s="329">
        <v>0.91157773022806754</v>
      </c>
    </row>
    <row r="678" spans="2:16" ht="18" customHeight="1">
      <c r="B678" s="284"/>
      <c r="C678" s="309" t="s">
        <v>215</v>
      </c>
      <c r="D678" s="310"/>
      <c r="E678" s="287" t="str">
        <f>HYPERLINK("#LAYOUT_e4!lay초YPSY4E02","YPSY4E02")</f>
        <v>YPSY4E02</v>
      </c>
      <c r="F678" s="78">
        <v>1</v>
      </c>
      <c r="G678" s="179" t="s">
        <v>105</v>
      </c>
      <c r="H678" s="230">
        <v>62.527070701417614</v>
      </c>
      <c r="I678" s="327">
        <v>1.4931254540954724</v>
      </c>
      <c r="J678" s="327">
        <v>1.4254170132728297E-2</v>
      </c>
      <c r="K678" s="327">
        <v>0.95465321374240431</v>
      </c>
      <c r="L678" s="230">
        <v>53.055288690196988</v>
      </c>
      <c r="M678" s="327">
        <v>1.6010124620602657</v>
      </c>
      <c r="N678" s="327">
        <v>0.73714455736622264</v>
      </c>
      <c r="O678" s="327">
        <v>1.493223783964517E-2</v>
      </c>
      <c r="P678" s="327">
        <v>0.932674678898476</v>
      </c>
    </row>
    <row r="679" spans="2:16" ht="18" customHeight="1">
      <c r="B679" s="284"/>
      <c r="C679" s="311"/>
      <c r="D679" s="312"/>
      <c r="E679" s="289"/>
      <c r="F679" s="79">
        <v>2</v>
      </c>
      <c r="G679" s="178" t="s">
        <v>106</v>
      </c>
      <c r="H679" s="231">
        <v>27.770592058030214</v>
      </c>
      <c r="I679" s="328"/>
      <c r="J679" s="328"/>
      <c r="K679" s="328"/>
      <c r="L679" s="231">
        <v>35.799773728316794</v>
      </c>
      <c r="M679" s="328">
        <v>1.6010124620602657</v>
      </c>
      <c r="N679" s="328">
        <v>0.73714455736622264</v>
      </c>
      <c r="O679" s="328">
        <v>1.493223783964517E-2</v>
      </c>
      <c r="P679" s="328">
        <v>0.932674678898476</v>
      </c>
    </row>
    <row r="680" spans="2:16" ht="18" customHeight="1">
      <c r="B680" s="284"/>
      <c r="C680" s="311"/>
      <c r="D680" s="312"/>
      <c r="E680" s="289"/>
      <c r="F680" s="79">
        <v>3</v>
      </c>
      <c r="G680" s="178" t="s">
        <v>107</v>
      </c>
      <c r="H680" s="231">
        <v>7.5650583701377805</v>
      </c>
      <c r="I680" s="328"/>
      <c r="J680" s="328"/>
      <c r="K680" s="328"/>
      <c r="L680" s="231">
        <v>9.1333402667488439</v>
      </c>
      <c r="M680" s="328">
        <v>1.6010124620602657</v>
      </c>
      <c r="N680" s="328">
        <v>0.73714455736622264</v>
      </c>
      <c r="O680" s="328">
        <v>1.493223783964517E-2</v>
      </c>
      <c r="P680" s="328">
        <v>0.932674678898476</v>
      </c>
    </row>
    <row r="681" spans="2:16" ht="18" customHeight="1">
      <c r="B681" s="284"/>
      <c r="C681" s="313"/>
      <c r="D681" s="314"/>
      <c r="E681" s="288"/>
      <c r="F681" s="82">
        <v>4</v>
      </c>
      <c r="G681" s="180" t="s">
        <v>108</v>
      </c>
      <c r="H681" s="232">
        <v>2.137278870414387</v>
      </c>
      <c r="I681" s="329"/>
      <c r="J681" s="329"/>
      <c r="K681" s="329"/>
      <c r="L681" s="232">
        <v>2.0115973147373944</v>
      </c>
      <c r="M681" s="329">
        <v>1.6010124620602657</v>
      </c>
      <c r="N681" s="329">
        <v>0.73714455736622264</v>
      </c>
      <c r="O681" s="329">
        <v>1.493223783964517E-2</v>
      </c>
      <c r="P681" s="329">
        <v>0.932674678898476</v>
      </c>
    </row>
    <row r="682" spans="2:16" ht="18" customHeight="1">
      <c r="B682" s="284"/>
      <c r="C682" s="309" t="s">
        <v>216</v>
      </c>
      <c r="D682" s="310"/>
      <c r="E682" s="287" t="str">
        <f>HYPERLINK("#LAYOUT_e4!lay초YPSY4E03","YPSY4E03")</f>
        <v>YPSY4E03</v>
      </c>
      <c r="F682" s="78">
        <v>1</v>
      </c>
      <c r="G682" s="179" t="s">
        <v>105</v>
      </c>
      <c r="H682" s="230">
        <v>49.458007482602689</v>
      </c>
      <c r="I682" s="327">
        <v>1.7531115268605888</v>
      </c>
      <c r="J682" s="327">
        <v>1.7164638218072872E-2</v>
      </c>
      <c r="K682" s="327">
        <v>0.97909562255920501</v>
      </c>
      <c r="L682" s="230">
        <v>40.13751242747621</v>
      </c>
      <c r="M682" s="327">
        <v>1.883626510165094</v>
      </c>
      <c r="N682" s="327">
        <v>0.8771825084676993</v>
      </c>
      <c r="O682" s="327">
        <v>1.7768967720545561E-2</v>
      </c>
      <c r="P682" s="327">
        <v>0.94333816309413521</v>
      </c>
    </row>
    <row r="683" spans="2:16" ht="18" customHeight="1">
      <c r="B683" s="284"/>
      <c r="C683" s="311"/>
      <c r="D683" s="312"/>
      <c r="E683" s="289"/>
      <c r="F683" s="79">
        <v>2</v>
      </c>
      <c r="G683" s="178" t="s">
        <v>106</v>
      </c>
      <c r="H683" s="231">
        <v>30.096556543557138</v>
      </c>
      <c r="I683" s="328"/>
      <c r="J683" s="328"/>
      <c r="K683" s="328"/>
      <c r="L683" s="231">
        <v>36.177296497017551</v>
      </c>
      <c r="M683" s="328">
        <v>1.883626510165094</v>
      </c>
      <c r="N683" s="328">
        <v>0.8771825084676993</v>
      </c>
      <c r="O683" s="328">
        <v>1.7768967720545561E-2</v>
      </c>
      <c r="P683" s="328">
        <v>0.94333816309413521</v>
      </c>
    </row>
    <row r="684" spans="2:16" ht="18" customHeight="1">
      <c r="B684" s="284"/>
      <c r="C684" s="311"/>
      <c r="D684" s="312"/>
      <c r="E684" s="289"/>
      <c r="F684" s="79">
        <v>3</v>
      </c>
      <c r="G684" s="178" t="s">
        <v>107</v>
      </c>
      <c r="H684" s="231">
        <v>16.121711779017524</v>
      </c>
      <c r="I684" s="328"/>
      <c r="J684" s="328"/>
      <c r="K684" s="328"/>
      <c r="L684" s="231">
        <v>18.870218707027504</v>
      </c>
      <c r="M684" s="328">
        <v>1.883626510165094</v>
      </c>
      <c r="N684" s="328">
        <v>0.8771825084676993</v>
      </c>
      <c r="O684" s="328">
        <v>1.7768967720545561E-2</v>
      </c>
      <c r="P684" s="328">
        <v>0.94333816309413521</v>
      </c>
    </row>
    <row r="685" spans="2:16" ht="18" customHeight="1">
      <c r="B685" s="284"/>
      <c r="C685" s="313"/>
      <c r="D685" s="314"/>
      <c r="E685" s="288"/>
      <c r="F685" s="82">
        <v>4</v>
      </c>
      <c r="G685" s="180" t="s">
        <v>108</v>
      </c>
      <c r="H685" s="232">
        <v>4.3237241948226623</v>
      </c>
      <c r="I685" s="329"/>
      <c r="J685" s="329"/>
      <c r="K685" s="329"/>
      <c r="L685" s="232">
        <v>4.8149723684787311</v>
      </c>
      <c r="M685" s="329">
        <v>1.883626510165094</v>
      </c>
      <c r="N685" s="329">
        <v>0.8771825084676993</v>
      </c>
      <c r="O685" s="329">
        <v>1.7768967720545561E-2</v>
      </c>
      <c r="P685" s="329">
        <v>0.94333816309413521</v>
      </c>
    </row>
    <row r="686" spans="2:16" ht="18" customHeight="1">
      <c r="B686" s="284"/>
      <c r="C686" s="309" t="s">
        <v>217</v>
      </c>
      <c r="D686" s="310"/>
      <c r="E686" s="287" t="str">
        <f>HYPERLINK("#LAYOUT_e4!lay초YPSY4E04","YPSY4E04")</f>
        <v>YPSY4E04</v>
      </c>
      <c r="F686" s="78">
        <v>1</v>
      </c>
      <c r="G686" s="179" t="s">
        <v>105</v>
      </c>
      <c r="H686" s="230">
        <v>73.976734434798061</v>
      </c>
      <c r="I686" s="327">
        <v>1.3448291110297657</v>
      </c>
      <c r="J686" s="327">
        <v>1.2667059423930359E-2</v>
      </c>
      <c r="K686" s="327">
        <v>0.94190847893164031</v>
      </c>
      <c r="L686" s="230">
        <v>64.408801273568614</v>
      </c>
      <c r="M686" s="327">
        <v>1.4559017483890724</v>
      </c>
      <c r="N686" s="327">
        <v>0.6959102648524248</v>
      </c>
      <c r="O686" s="327">
        <v>1.4096960339712913E-2</v>
      </c>
      <c r="P686" s="327">
        <v>0.96826316441414551</v>
      </c>
    </row>
    <row r="687" spans="2:16" ht="18" customHeight="1">
      <c r="B687" s="284"/>
      <c r="C687" s="311"/>
      <c r="D687" s="312"/>
      <c r="E687" s="289"/>
      <c r="F687" s="79">
        <v>2</v>
      </c>
      <c r="G687" s="178" t="s">
        <v>106</v>
      </c>
      <c r="H687" s="231">
        <v>18.715082325596189</v>
      </c>
      <c r="I687" s="328"/>
      <c r="J687" s="328"/>
      <c r="K687" s="328"/>
      <c r="L687" s="231">
        <v>27.395097913044395</v>
      </c>
      <c r="M687" s="328">
        <v>1.4559017483890724</v>
      </c>
      <c r="N687" s="328">
        <v>0.6959102648524248</v>
      </c>
      <c r="O687" s="328">
        <v>1.4096960339712913E-2</v>
      </c>
      <c r="P687" s="328">
        <v>0.96826316441414551</v>
      </c>
    </row>
    <row r="688" spans="2:16" ht="18" customHeight="1">
      <c r="B688" s="284"/>
      <c r="C688" s="311"/>
      <c r="D688" s="312"/>
      <c r="E688" s="289"/>
      <c r="F688" s="79">
        <v>3</v>
      </c>
      <c r="G688" s="178" t="s">
        <v>107</v>
      </c>
      <c r="H688" s="231">
        <v>6.1567209414359683</v>
      </c>
      <c r="I688" s="328"/>
      <c r="J688" s="328"/>
      <c r="K688" s="328"/>
      <c r="L688" s="231">
        <v>6.3932255142981491</v>
      </c>
      <c r="M688" s="328">
        <v>1.4559017483890724</v>
      </c>
      <c r="N688" s="328">
        <v>0.6959102648524248</v>
      </c>
      <c r="O688" s="328">
        <v>1.4096960339712913E-2</v>
      </c>
      <c r="P688" s="328">
        <v>0.96826316441414551</v>
      </c>
    </row>
    <row r="689" spans="2:16" ht="18" customHeight="1">
      <c r="B689" s="284"/>
      <c r="C689" s="313"/>
      <c r="D689" s="314"/>
      <c r="E689" s="288"/>
      <c r="F689" s="82">
        <v>4</v>
      </c>
      <c r="G689" s="180" t="s">
        <v>108</v>
      </c>
      <c r="H689" s="232">
        <v>1.1514622981697891</v>
      </c>
      <c r="I689" s="329"/>
      <c r="J689" s="329"/>
      <c r="K689" s="329"/>
      <c r="L689" s="232">
        <v>1.8028752990888433</v>
      </c>
      <c r="M689" s="329">
        <v>1.4559017483890724</v>
      </c>
      <c r="N689" s="329">
        <v>0.6959102648524248</v>
      </c>
      <c r="O689" s="329">
        <v>1.4096960339712913E-2</v>
      </c>
      <c r="P689" s="329">
        <v>0.96826316441414551</v>
      </c>
    </row>
    <row r="690" spans="2:16" ht="18" customHeight="1">
      <c r="B690" s="284"/>
      <c r="C690" s="309" t="s">
        <v>218</v>
      </c>
      <c r="D690" s="310"/>
      <c r="E690" s="287" t="str">
        <f>HYPERLINK("#LAYOUT_e4!lay초YPSY4E05","YPSY4E05")</f>
        <v>YPSY4E05</v>
      </c>
      <c r="F690" s="78">
        <v>1</v>
      </c>
      <c r="G690" s="179" t="s">
        <v>105</v>
      </c>
      <c r="H690" s="230">
        <v>49.956440233943688</v>
      </c>
      <c r="I690" s="327">
        <v>1.7279371335080638</v>
      </c>
      <c r="J690" s="327">
        <v>1.6715356994934778E-2</v>
      </c>
      <c r="K690" s="327">
        <v>0.96735909373040641</v>
      </c>
      <c r="L690" s="230">
        <v>47.495505669138552</v>
      </c>
      <c r="M690" s="327">
        <v>1.7450292720106653</v>
      </c>
      <c r="N690" s="327">
        <v>0.83849539923532868</v>
      </c>
      <c r="O690" s="327">
        <v>1.6985288168667526E-2</v>
      </c>
      <c r="P690" s="327">
        <v>0.97335262170683601</v>
      </c>
    </row>
    <row r="691" spans="2:16" ht="18" customHeight="1">
      <c r="B691" s="284"/>
      <c r="C691" s="311"/>
      <c r="D691" s="312"/>
      <c r="E691" s="289"/>
      <c r="F691" s="79">
        <v>2</v>
      </c>
      <c r="G691" s="178" t="s">
        <v>106</v>
      </c>
      <c r="H691" s="231">
        <v>31.047251116841675</v>
      </c>
      <c r="I691" s="328"/>
      <c r="J691" s="328"/>
      <c r="K691" s="328"/>
      <c r="L691" s="231">
        <v>34.148897523789067</v>
      </c>
      <c r="M691" s="328">
        <v>1.7450292720106653</v>
      </c>
      <c r="N691" s="328">
        <v>0.83849539923532868</v>
      </c>
      <c r="O691" s="328">
        <v>1.6985288168667526E-2</v>
      </c>
      <c r="P691" s="328">
        <v>0.97335262170683601</v>
      </c>
    </row>
    <row r="692" spans="2:16" ht="18" customHeight="1">
      <c r="B692" s="284"/>
      <c r="C692" s="311"/>
      <c r="D692" s="312"/>
      <c r="E692" s="289"/>
      <c r="F692" s="79">
        <v>3</v>
      </c>
      <c r="G692" s="178" t="s">
        <v>107</v>
      </c>
      <c r="H692" s="231">
        <v>15.242463713677543</v>
      </c>
      <c r="I692" s="328"/>
      <c r="J692" s="328"/>
      <c r="K692" s="328"/>
      <c r="L692" s="231">
        <v>14.712760743939857</v>
      </c>
      <c r="M692" s="328">
        <v>1.7450292720106653</v>
      </c>
      <c r="N692" s="328">
        <v>0.83849539923532868</v>
      </c>
      <c r="O692" s="328">
        <v>1.6985288168667526E-2</v>
      </c>
      <c r="P692" s="328">
        <v>0.97335262170683601</v>
      </c>
    </row>
    <row r="693" spans="2:16" ht="18" customHeight="1">
      <c r="B693" s="284"/>
      <c r="C693" s="313"/>
      <c r="D693" s="314"/>
      <c r="E693" s="288"/>
      <c r="F693" s="82">
        <v>4</v>
      </c>
      <c r="G693" s="180" t="s">
        <v>108</v>
      </c>
      <c r="H693" s="232">
        <v>3.7538449355371264</v>
      </c>
      <c r="I693" s="329"/>
      <c r="J693" s="329"/>
      <c r="K693" s="329"/>
      <c r="L693" s="232">
        <v>3.6428360631325325</v>
      </c>
      <c r="M693" s="329">
        <v>1.7450292720106653</v>
      </c>
      <c r="N693" s="329">
        <v>0.83849539923532868</v>
      </c>
      <c r="O693" s="329">
        <v>1.6985288168667526E-2</v>
      </c>
      <c r="P693" s="329">
        <v>0.97335262170683601</v>
      </c>
    </row>
    <row r="694" spans="2:16" ht="18" customHeight="1">
      <c r="B694" s="284"/>
      <c r="C694" s="309" t="s">
        <v>219</v>
      </c>
      <c r="D694" s="310"/>
      <c r="E694" s="287" t="str">
        <f>HYPERLINK("#LAYOUT_e4!lay초YPSY4E06","YPSY4E06")</f>
        <v>YPSY4E06</v>
      </c>
      <c r="F694" s="78">
        <v>1</v>
      </c>
      <c r="G694" s="179" t="s">
        <v>105</v>
      </c>
      <c r="H694" s="230">
        <v>50.29095845262848</v>
      </c>
      <c r="I694" s="327">
        <v>1.6956973703843057</v>
      </c>
      <c r="J694" s="327">
        <v>1.5980587939223381E-2</v>
      </c>
      <c r="K694" s="327">
        <v>0.94241981018120013</v>
      </c>
      <c r="L694" s="230">
        <v>40.162383935229187</v>
      </c>
      <c r="M694" s="327">
        <v>1.7919552572809712</v>
      </c>
      <c r="N694" s="327">
        <v>0.77326119639253865</v>
      </c>
      <c r="O694" s="327">
        <v>1.5663847723378765E-2</v>
      </c>
      <c r="P694" s="327">
        <v>0.87412047034848195</v>
      </c>
    </row>
    <row r="695" spans="2:16" ht="18" customHeight="1">
      <c r="B695" s="284"/>
      <c r="C695" s="311"/>
      <c r="D695" s="312"/>
      <c r="E695" s="289"/>
      <c r="F695" s="79">
        <v>2</v>
      </c>
      <c r="G695" s="178" t="s">
        <v>106</v>
      </c>
      <c r="H695" s="231">
        <v>32.678432176104657</v>
      </c>
      <c r="I695" s="328"/>
      <c r="J695" s="328"/>
      <c r="K695" s="328"/>
      <c r="L695" s="231">
        <v>42.768066436865048</v>
      </c>
      <c r="M695" s="328">
        <v>1.7919552572809712</v>
      </c>
      <c r="N695" s="328">
        <v>0.77326119639253865</v>
      </c>
      <c r="O695" s="328">
        <v>1.5663847723378765E-2</v>
      </c>
      <c r="P695" s="328">
        <v>0.87412047034848195</v>
      </c>
    </row>
    <row r="696" spans="2:16" ht="18" customHeight="1">
      <c r="B696" s="284"/>
      <c r="C696" s="311"/>
      <c r="D696" s="312"/>
      <c r="E696" s="289"/>
      <c r="F696" s="79">
        <v>3</v>
      </c>
      <c r="G696" s="178" t="s">
        <v>107</v>
      </c>
      <c r="H696" s="231">
        <v>14.200523251472996</v>
      </c>
      <c r="I696" s="328"/>
      <c r="J696" s="328"/>
      <c r="K696" s="328"/>
      <c r="L696" s="231">
        <v>14.78118959248585</v>
      </c>
      <c r="M696" s="328">
        <v>1.7919552572809712</v>
      </c>
      <c r="N696" s="328">
        <v>0.77326119639253865</v>
      </c>
      <c r="O696" s="328">
        <v>1.5663847723378765E-2</v>
      </c>
      <c r="P696" s="328">
        <v>0.87412047034848195</v>
      </c>
    </row>
    <row r="697" spans="2:16" ht="18" customHeight="1">
      <c r="B697" s="284"/>
      <c r="C697" s="313"/>
      <c r="D697" s="314"/>
      <c r="E697" s="288"/>
      <c r="F697" s="82">
        <v>4</v>
      </c>
      <c r="G697" s="180" t="s">
        <v>108</v>
      </c>
      <c r="H697" s="232">
        <v>2.8300861197938683</v>
      </c>
      <c r="I697" s="329"/>
      <c r="J697" s="329"/>
      <c r="K697" s="329"/>
      <c r="L697" s="232">
        <v>2.2883600354199261</v>
      </c>
      <c r="M697" s="329">
        <v>1.7919552572809712</v>
      </c>
      <c r="N697" s="329">
        <v>0.77326119639253865</v>
      </c>
      <c r="O697" s="329">
        <v>1.5663847723378765E-2</v>
      </c>
      <c r="P697" s="329">
        <v>0.87412047034848195</v>
      </c>
    </row>
    <row r="698" spans="2:16" ht="18" customHeight="1">
      <c r="B698" s="284"/>
      <c r="C698" s="309" t="s">
        <v>220</v>
      </c>
      <c r="D698" s="310"/>
      <c r="E698" s="287" t="str">
        <f>HYPERLINK("#LAYOUT_e4!lay초YPSY4E07","YPSY4E07")</f>
        <v>YPSY4E07</v>
      </c>
      <c r="F698" s="78">
        <v>1</v>
      </c>
      <c r="G698" s="179" t="s">
        <v>105</v>
      </c>
      <c r="H698" s="230">
        <v>67.948526447824406</v>
      </c>
      <c r="I698" s="327">
        <v>1.4397192103145879</v>
      </c>
      <c r="J698" s="327">
        <v>1.411869986890092E-2</v>
      </c>
      <c r="K698" s="327">
        <v>0.98065648966480712</v>
      </c>
      <c r="L698" s="230">
        <v>55.778399475104123</v>
      </c>
      <c r="M698" s="327">
        <v>1.5832136677828403</v>
      </c>
      <c r="N698" s="327">
        <v>0.75043101821935387</v>
      </c>
      <c r="O698" s="327">
        <v>1.5201379884476857E-2</v>
      </c>
      <c r="P698" s="327">
        <v>0.9601597177824478</v>
      </c>
    </row>
    <row r="699" spans="2:16" ht="18" customHeight="1">
      <c r="B699" s="284"/>
      <c r="C699" s="311"/>
      <c r="D699" s="312"/>
      <c r="E699" s="289"/>
      <c r="F699" s="79">
        <v>2</v>
      </c>
      <c r="G699" s="178" t="s">
        <v>106</v>
      </c>
      <c r="H699" s="231">
        <v>21.865967758111186</v>
      </c>
      <c r="I699" s="328"/>
      <c r="J699" s="328"/>
      <c r="K699" s="328"/>
      <c r="L699" s="231">
        <v>32.014075301179894</v>
      </c>
      <c r="M699" s="328">
        <v>1.5832136677828403</v>
      </c>
      <c r="N699" s="328">
        <v>0.75043101821935387</v>
      </c>
      <c r="O699" s="328">
        <v>1.5201379884476857E-2</v>
      </c>
      <c r="P699" s="328">
        <v>0.9601597177824478</v>
      </c>
    </row>
    <row r="700" spans="2:16" ht="18" customHeight="1">
      <c r="B700" s="284"/>
      <c r="C700" s="311"/>
      <c r="D700" s="312"/>
      <c r="E700" s="289"/>
      <c r="F700" s="79">
        <v>3</v>
      </c>
      <c r="G700" s="178" t="s">
        <v>107</v>
      </c>
      <c r="H700" s="231">
        <v>8.4505641088442776</v>
      </c>
      <c r="I700" s="328"/>
      <c r="J700" s="328"/>
      <c r="K700" s="328"/>
      <c r="L700" s="231">
        <v>10.315284194043562</v>
      </c>
      <c r="M700" s="328">
        <v>1.5832136677828403</v>
      </c>
      <c r="N700" s="328">
        <v>0.75043101821935387</v>
      </c>
      <c r="O700" s="328">
        <v>1.5201379884476857E-2</v>
      </c>
      <c r="P700" s="328">
        <v>0.9601597177824478</v>
      </c>
    </row>
    <row r="701" spans="2:16" ht="18" customHeight="1">
      <c r="B701" s="284"/>
      <c r="C701" s="313"/>
      <c r="D701" s="314"/>
      <c r="E701" s="288"/>
      <c r="F701" s="82">
        <v>4</v>
      </c>
      <c r="G701" s="180" t="s">
        <v>108</v>
      </c>
      <c r="H701" s="232">
        <v>1.7349416852201101</v>
      </c>
      <c r="I701" s="329"/>
      <c r="J701" s="329"/>
      <c r="K701" s="329"/>
      <c r="L701" s="232">
        <v>1.8922410296724177</v>
      </c>
      <c r="M701" s="329">
        <v>1.5832136677828403</v>
      </c>
      <c r="N701" s="329">
        <v>0.75043101821935387</v>
      </c>
      <c r="O701" s="329">
        <v>1.5201379884476857E-2</v>
      </c>
      <c r="P701" s="329">
        <v>0.9601597177824478</v>
      </c>
    </row>
    <row r="702" spans="2:16" ht="18" customHeight="1">
      <c r="B702" s="284"/>
      <c r="C702" s="309" t="s">
        <v>221</v>
      </c>
      <c r="D702" s="310"/>
      <c r="E702" s="287" t="str">
        <f>HYPERLINK("#LAYOUT_e4!lay초YPSY4E08","YPSY4E08")</f>
        <v>YPSY4E08</v>
      </c>
      <c r="F702" s="78">
        <v>1</v>
      </c>
      <c r="G702" s="179" t="s">
        <v>105</v>
      </c>
      <c r="H702" s="230">
        <v>66.47970492082348</v>
      </c>
      <c r="I702" s="327">
        <v>1.4059362887493632</v>
      </c>
      <c r="J702" s="327">
        <v>1.2375830449212246E-2</v>
      </c>
      <c r="K702" s="327">
        <v>0.88025542467653695</v>
      </c>
      <c r="L702" s="230">
        <v>52.441999228184514</v>
      </c>
      <c r="M702" s="327">
        <v>1.5745877152079313</v>
      </c>
      <c r="N702" s="327">
        <v>0.68549035831687455</v>
      </c>
      <c r="O702" s="327">
        <v>1.3885885698923817E-2</v>
      </c>
      <c r="P702" s="327">
        <v>0.88187438304065091</v>
      </c>
    </row>
    <row r="703" spans="2:16" ht="18" customHeight="1">
      <c r="B703" s="284"/>
      <c r="C703" s="311"/>
      <c r="D703" s="312"/>
      <c r="E703" s="289"/>
      <c r="F703" s="79">
        <v>2</v>
      </c>
      <c r="G703" s="178" t="s">
        <v>106</v>
      </c>
      <c r="H703" s="231">
        <v>27.272928240152833</v>
      </c>
      <c r="I703" s="328"/>
      <c r="J703" s="328"/>
      <c r="K703" s="328"/>
      <c r="L703" s="231">
        <v>39.019836313044593</v>
      </c>
      <c r="M703" s="328">
        <v>1.5745877152079313</v>
      </c>
      <c r="N703" s="328">
        <v>0.68549035831687455</v>
      </c>
      <c r="O703" s="328">
        <v>1.3885885698923817E-2</v>
      </c>
      <c r="P703" s="328">
        <v>0.88187438304065091</v>
      </c>
    </row>
    <row r="704" spans="2:16" ht="18" customHeight="1">
      <c r="B704" s="284"/>
      <c r="C704" s="311"/>
      <c r="D704" s="312"/>
      <c r="E704" s="289"/>
      <c r="F704" s="79">
        <v>3</v>
      </c>
      <c r="G704" s="178" t="s">
        <v>107</v>
      </c>
      <c r="H704" s="231">
        <v>5.4213998822860887</v>
      </c>
      <c r="I704" s="328"/>
      <c r="J704" s="328"/>
      <c r="K704" s="328"/>
      <c r="L704" s="231">
        <v>7.1755581685640806</v>
      </c>
      <c r="M704" s="328">
        <v>1.5745877152079313</v>
      </c>
      <c r="N704" s="328">
        <v>0.68549035831687455</v>
      </c>
      <c r="O704" s="328">
        <v>1.3885885698923817E-2</v>
      </c>
      <c r="P704" s="328">
        <v>0.88187438304065091</v>
      </c>
    </row>
    <row r="705" spans="2:16" ht="18" customHeight="1">
      <c r="B705" s="284"/>
      <c r="C705" s="313"/>
      <c r="D705" s="314"/>
      <c r="E705" s="288"/>
      <c r="F705" s="82">
        <v>4</v>
      </c>
      <c r="G705" s="180" t="s">
        <v>108</v>
      </c>
      <c r="H705" s="232">
        <v>0.82596695673760712</v>
      </c>
      <c r="I705" s="329"/>
      <c r="J705" s="329"/>
      <c r="K705" s="329"/>
      <c r="L705" s="232">
        <v>1.3626062902068321</v>
      </c>
      <c r="M705" s="329">
        <v>1.5745877152079313</v>
      </c>
      <c r="N705" s="329">
        <v>0.68549035831687455</v>
      </c>
      <c r="O705" s="329">
        <v>1.3885885698923817E-2</v>
      </c>
      <c r="P705" s="329">
        <v>0.88187438304065091</v>
      </c>
    </row>
    <row r="706" spans="2:16" ht="18" customHeight="1">
      <c r="B706" s="284"/>
      <c r="C706" s="309" t="s">
        <v>222</v>
      </c>
      <c r="D706" s="310"/>
      <c r="E706" s="287" t="str">
        <f>HYPERLINK("#LAYOUT_e4!lay초YPSY4E09","YPSY4E09")</f>
        <v>YPSY4E09</v>
      </c>
      <c r="F706" s="78">
        <v>1</v>
      </c>
      <c r="G706" s="179" t="s">
        <v>105</v>
      </c>
      <c r="H706" s="230">
        <v>68.49596367003322</v>
      </c>
      <c r="I706" s="327">
        <v>1.4020555351024866</v>
      </c>
      <c r="J706" s="327">
        <v>1.2994058470084176E-2</v>
      </c>
      <c r="K706" s="327">
        <v>0.92678628946993524</v>
      </c>
      <c r="L706" s="230">
        <v>55.3739674935659</v>
      </c>
      <c r="M706" s="327">
        <v>1.5541007230276311</v>
      </c>
      <c r="N706" s="327">
        <v>0.69389881082300864</v>
      </c>
      <c r="O706" s="327">
        <v>1.4056214586833623E-2</v>
      </c>
      <c r="P706" s="327">
        <v>0.90445969032495643</v>
      </c>
    </row>
    <row r="707" spans="2:16" ht="18" customHeight="1">
      <c r="B707" s="284"/>
      <c r="C707" s="311"/>
      <c r="D707" s="312"/>
      <c r="E707" s="289"/>
      <c r="F707" s="79">
        <v>2</v>
      </c>
      <c r="G707" s="178" t="s">
        <v>106</v>
      </c>
      <c r="H707" s="231">
        <v>24.081233764376208</v>
      </c>
      <c r="I707" s="328"/>
      <c r="J707" s="328"/>
      <c r="K707" s="328"/>
      <c r="L707" s="231">
        <v>34.769196450035203</v>
      </c>
      <c r="M707" s="328">
        <v>1.5541007230276311</v>
      </c>
      <c r="N707" s="328">
        <v>0.69389881082300864</v>
      </c>
      <c r="O707" s="328">
        <v>1.4056214586833623E-2</v>
      </c>
      <c r="P707" s="328">
        <v>0.90445969032495643</v>
      </c>
    </row>
    <row r="708" spans="2:16" ht="18" customHeight="1">
      <c r="B708" s="284"/>
      <c r="C708" s="311"/>
      <c r="D708" s="312"/>
      <c r="E708" s="289"/>
      <c r="F708" s="79">
        <v>3</v>
      </c>
      <c r="G708" s="178" t="s">
        <v>107</v>
      </c>
      <c r="H708" s="231">
        <v>6.1440879508978865</v>
      </c>
      <c r="I708" s="328"/>
      <c r="J708" s="328"/>
      <c r="K708" s="328"/>
      <c r="L708" s="231">
        <v>8.9296323164686715</v>
      </c>
      <c r="M708" s="328">
        <v>1.5541007230276311</v>
      </c>
      <c r="N708" s="328">
        <v>0.69389881082300864</v>
      </c>
      <c r="O708" s="328">
        <v>1.4056214586833623E-2</v>
      </c>
      <c r="P708" s="328">
        <v>0.90445969032495643</v>
      </c>
    </row>
    <row r="709" spans="2:16" ht="18" customHeight="1">
      <c r="B709" s="284"/>
      <c r="C709" s="313"/>
      <c r="D709" s="314"/>
      <c r="E709" s="288"/>
      <c r="F709" s="82">
        <v>4</v>
      </c>
      <c r="G709" s="180" t="s">
        <v>108</v>
      </c>
      <c r="H709" s="232">
        <v>1.2787146146926769</v>
      </c>
      <c r="I709" s="329"/>
      <c r="J709" s="329"/>
      <c r="K709" s="329"/>
      <c r="L709" s="232">
        <v>0.92720373993020866</v>
      </c>
      <c r="M709" s="329">
        <v>1.5541007230276311</v>
      </c>
      <c r="N709" s="329">
        <v>0.69389881082300864</v>
      </c>
      <c r="O709" s="329">
        <v>1.4056214586833623E-2</v>
      </c>
      <c r="P709" s="329">
        <v>0.90445969032495643</v>
      </c>
    </row>
    <row r="710" spans="2:16" ht="18" customHeight="1">
      <c r="B710" s="284"/>
      <c r="C710" s="309" t="s">
        <v>223</v>
      </c>
      <c r="D710" s="310"/>
      <c r="E710" s="287" t="str">
        <f>HYPERLINK("#LAYOUT_e4!lay초YPSY4E10","YPSY4E10")</f>
        <v>YPSY4E10</v>
      </c>
      <c r="F710" s="78">
        <v>1</v>
      </c>
      <c r="G710" s="179" t="s">
        <v>105</v>
      </c>
      <c r="H710" s="230">
        <v>62.648993673453518</v>
      </c>
      <c r="I710" s="327">
        <v>1.4658563606028294</v>
      </c>
      <c r="J710" s="327">
        <v>1.3305381804398537E-2</v>
      </c>
      <c r="K710" s="327">
        <v>0.90768660299885939</v>
      </c>
      <c r="L710" s="230">
        <v>52.252983805801776</v>
      </c>
      <c r="M710" s="327">
        <v>1.5888885027230983</v>
      </c>
      <c r="N710" s="327">
        <v>0.70479836366440063</v>
      </c>
      <c r="O710" s="327">
        <v>1.4277005358124078E-2</v>
      </c>
      <c r="P710" s="327">
        <v>0.89855300316262532</v>
      </c>
    </row>
    <row r="711" spans="2:16" ht="18" customHeight="1">
      <c r="B711" s="284"/>
      <c r="C711" s="311"/>
      <c r="D711" s="312"/>
      <c r="E711" s="289"/>
      <c r="F711" s="79">
        <v>2</v>
      </c>
      <c r="G711" s="178" t="s">
        <v>106</v>
      </c>
      <c r="H711" s="231">
        <v>29.5074602650296</v>
      </c>
      <c r="I711" s="328"/>
      <c r="J711" s="328"/>
      <c r="K711" s="328"/>
      <c r="L711" s="231">
        <v>38.185251360893929</v>
      </c>
      <c r="M711" s="328">
        <v>1.5888885027230983</v>
      </c>
      <c r="N711" s="328">
        <v>0.70479836366440063</v>
      </c>
      <c r="O711" s="328">
        <v>1.4277005358124078E-2</v>
      </c>
      <c r="P711" s="328">
        <v>0.89855300316262532</v>
      </c>
    </row>
    <row r="712" spans="2:16" ht="18" customHeight="1">
      <c r="B712" s="284"/>
      <c r="C712" s="311"/>
      <c r="D712" s="312"/>
      <c r="E712" s="289"/>
      <c r="F712" s="79">
        <v>3</v>
      </c>
      <c r="G712" s="178" t="s">
        <v>107</v>
      </c>
      <c r="H712" s="231">
        <v>6.4524623892957349</v>
      </c>
      <c r="I712" s="328"/>
      <c r="J712" s="328"/>
      <c r="K712" s="328"/>
      <c r="L712" s="231">
        <v>7.9816955884971188</v>
      </c>
      <c r="M712" s="328">
        <v>1.5888885027230983</v>
      </c>
      <c r="N712" s="328">
        <v>0.70479836366440063</v>
      </c>
      <c r="O712" s="328">
        <v>1.4277005358124078E-2</v>
      </c>
      <c r="P712" s="328">
        <v>0.89855300316262532</v>
      </c>
    </row>
    <row r="713" spans="2:16" ht="18" customHeight="1">
      <c r="B713" s="286"/>
      <c r="C713" s="313"/>
      <c r="D713" s="314"/>
      <c r="E713" s="288"/>
      <c r="F713" s="82">
        <v>4</v>
      </c>
      <c r="G713" s="180" t="s">
        <v>108</v>
      </c>
      <c r="H713" s="232">
        <v>1.3910836722211215</v>
      </c>
      <c r="I713" s="329"/>
      <c r="J713" s="329"/>
      <c r="K713" s="329"/>
      <c r="L713" s="232">
        <v>1.5800692448071885</v>
      </c>
      <c r="M713" s="329">
        <v>1.5888885027230983</v>
      </c>
      <c r="N713" s="329">
        <v>0.70479836366440063</v>
      </c>
      <c r="O713" s="329">
        <v>1.4277005358124078E-2</v>
      </c>
      <c r="P713" s="329">
        <v>0.89855300316262532</v>
      </c>
    </row>
    <row r="714" spans="2:16" ht="18" customHeight="1">
      <c r="B714" s="282" t="s">
        <v>224</v>
      </c>
      <c r="C714" s="309" t="s">
        <v>225</v>
      </c>
      <c r="D714" s="310"/>
      <c r="E714" s="287" t="str">
        <f>HYPERLINK("#LAYOUT_e4!lay초YPSY5A01","YPSY5A01")</f>
        <v>YPSY5A01</v>
      </c>
      <c r="F714" s="78">
        <v>1</v>
      </c>
      <c r="G714" s="179" t="s">
        <v>105</v>
      </c>
      <c r="H714" s="230">
        <v>3.6605601944839794</v>
      </c>
      <c r="I714" s="327">
        <v>2.8730988743595449</v>
      </c>
      <c r="J714" s="327">
        <v>1.4210687802723712E-2</v>
      </c>
      <c r="K714" s="327">
        <v>0.49461186071751456</v>
      </c>
      <c r="L714" s="230">
        <v>3.4440291873350861</v>
      </c>
      <c r="M714" s="327">
        <v>2.8251647377124303</v>
      </c>
      <c r="N714" s="327">
        <v>0.69291320141783019</v>
      </c>
      <c r="O714" s="327">
        <v>1.403624923009586E-2</v>
      </c>
      <c r="P714" s="327">
        <v>0.4968294075998268</v>
      </c>
    </row>
    <row r="715" spans="2:16" ht="18" customHeight="1">
      <c r="B715" s="284"/>
      <c r="C715" s="311"/>
      <c r="D715" s="312"/>
      <c r="E715" s="289"/>
      <c r="F715" s="79">
        <v>2</v>
      </c>
      <c r="G715" s="178" t="s">
        <v>106</v>
      </c>
      <c r="H715" s="231">
        <v>22.481827794800253</v>
      </c>
      <c r="I715" s="328"/>
      <c r="J715" s="328"/>
      <c r="K715" s="328"/>
      <c r="L715" s="231">
        <v>23.934628419664879</v>
      </c>
      <c r="M715" s="328">
        <v>2.8251647377124303</v>
      </c>
      <c r="N715" s="328">
        <v>0.69291320141783019</v>
      </c>
      <c r="O715" s="328">
        <v>1.403624923009586E-2</v>
      </c>
      <c r="P715" s="328">
        <v>0.4968294075998268</v>
      </c>
    </row>
    <row r="716" spans="2:16" ht="18" customHeight="1">
      <c r="B716" s="284"/>
      <c r="C716" s="311"/>
      <c r="D716" s="312"/>
      <c r="E716" s="289"/>
      <c r="F716" s="79">
        <v>3</v>
      </c>
      <c r="G716" s="178" t="s">
        <v>107</v>
      </c>
      <c r="H716" s="231">
        <v>56.744776390990594</v>
      </c>
      <c r="I716" s="328"/>
      <c r="J716" s="328"/>
      <c r="K716" s="328"/>
      <c r="L716" s="231">
        <v>59.282181827422512</v>
      </c>
      <c r="M716" s="328">
        <v>2.8251647377124303</v>
      </c>
      <c r="N716" s="328">
        <v>0.69291320141783019</v>
      </c>
      <c r="O716" s="328">
        <v>1.403624923009586E-2</v>
      </c>
      <c r="P716" s="328">
        <v>0.4968294075998268</v>
      </c>
    </row>
    <row r="717" spans="2:16" ht="18" customHeight="1">
      <c r="B717" s="284"/>
      <c r="C717" s="313"/>
      <c r="D717" s="314"/>
      <c r="E717" s="288"/>
      <c r="F717" s="82">
        <v>4</v>
      </c>
      <c r="G717" s="180" t="s">
        <v>108</v>
      </c>
      <c r="H717" s="232">
        <v>17.112835619725203</v>
      </c>
      <c r="I717" s="329"/>
      <c r="J717" s="329"/>
      <c r="K717" s="329"/>
      <c r="L717" s="232">
        <v>13.339160565577519</v>
      </c>
      <c r="M717" s="329">
        <v>2.8251647377124303</v>
      </c>
      <c r="N717" s="329">
        <v>0.69291320141783019</v>
      </c>
      <c r="O717" s="329">
        <v>1.403624923009586E-2</v>
      </c>
      <c r="P717" s="329">
        <v>0.4968294075998268</v>
      </c>
    </row>
    <row r="718" spans="2:16" ht="18" customHeight="1">
      <c r="B718" s="284"/>
      <c r="C718" s="309" t="s">
        <v>226</v>
      </c>
      <c r="D718" s="310"/>
      <c r="E718" s="287" t="str">
        <f>HYPERLINK("#LAYOUT_e4!lay초YPSY5A02","YPSY5A02")</f>
        <v>YPSY5A02</v>
      </c>
      <c r="F718" s="78">
        <v>1</v>
      </c>
      <c r="G718" s="179" t="s">
        <v>105</v>
      </c>
      <c r="H718" s="230">
        <v>2.5076177562800122</v>
      </c>
      <c r="I718" s="327">
        <v>3.1246167845041701</v>
      </c>
      <c r="J718" s="327">
        <v>1.3261195733988122E-2</v>
      </c>
      <c r="K718" s="327">
        <v>0.42441030848179589</v>
      </c>
      <c r="L718" s="230">
        <v>3.2168069343565593</v>
      </c>
      <c r="M718" s="327">
        <v>3.0152275994159643</v>
      </c>
      <c r="N718" s="327">
        <v>0.68615165342111351</v>
      </c>
      <c r="O718" s="327">
        <v>1.389928146462543E-2</v>
      </c>
      <c r="P718" s="327">
        <v>0.4609695622087584</v>
      </c>
    </row>
    <row r="719" spans="2:16" ht="18" customHeight="1">
      <c r="B719" s="284"/>
      <c r="C719" s="311"/>
      <c r="D719" s="312"/>
      <c r="E719" s="289"/>
      <c r="F719" s="79">
        <v>2</v>
      </c>
      <c r="G719" s="178" t="s">
        <v>106</v>
      </c>
      <c r="H719" s="231">
        <v>9.9372430470157589</v>
      </c>
      <c r="I719" s="328"/>
      <c r="J719" s="328"/>
      <c r="K719" s="328"/>
      <c r="L719" s="231">
        <v>13.13033828869597</v>
      </c>
      <c r="M719" s="328">
        <v>3.0152275994159643</v>
      </c>
      <c r="N719" s="328">
        <v>0.68615165342111351</v>
      </c>
      <c r="O719" s="328">
        <v>1.389928146462543E-2</v>
      </c>
      <c r="P719" s="328">
        <v>0.4609695622087584</v>
      </c>
    </row>
    <row r="720" spans="2:16" ht="18" customHeight="1">
      <c r="B720" s="284"/>
      <c r="C720" s="311"/>
      <c r="D720" s="312"/>
      <c r="E720" s="289"/>
      <c r="F720" s="79">
        <v>3</v>
      </c>
      <c r="G720" s="178" t="s">
        <v>107</v>
      </c>
      <c r="H720" s="231">
        <v>60.140982186707994</v>
      </c>
      <c r="I720" s="328"/>
      <c r="J720" s="328"/>
      <c r="K720" s="328"/>
      <c r="L720" s="231">
        <v>62.566142677942928</v>
      </c>
      <c r="M720" s="328">
        <v>3.0152275994159643</v>
      </c>
      <c r="N720" s="328">
        <v>0.68615165342111351</v>
      </c>
      <c r="O720" s="328">
        <v>1.389928146462543E-2</v>
      </c>
      <c r="P720" s="328">
        <v>0.4609695622087584</v>
      </c>
    </row>
    <row r="721" spans="2:16" ht="18" customHeight="1">
      <c r="B721" s="284"/>
      <c r="C721" s="313"/>
      <c r="D721" s="314"/>
      <c r="E721" s="288"/>
      <c r="F721" s="82">
        <v>4</v>
      </c>
      <c r="G721" s="180" t="s">
        <v>108</v>
      </c>
      <c r="H721" s="232">
        <v>27.414157009996231</v>
      </c>
      <c r="I721" s="329"/>
      <c r="J721" s="329"/>
      <c r="K721" s="329"/>
      <c r="L721" s="232">
        <v>21.086712099004565</v>
      </c>
      <c r="M721" s="329">
        <v>3.0152275994159643</v>
      </c>
      <c r="N721" s="329">
        <v>0.68615165342111351</v>
      </c>
      <c r="O721" s="329">
        <v>1.389928146462543E-2</v>
      </c>
      <c r="P721" s="329">
        <v>0.4609695622087584</v>
      </c>
    </row>
    <row r="722" spans="2:16" ht="18" customHeight="1">
      <c r="B722" s="284"/>
      <c r="C722" s="309" t="s">
        <v>227</v>
      </c>
      <c r="D722" s="310"/>
      <c r="E722" s="287" t="str">
        <f>HYPERLINK("#LAYOUT_e4!lay초YPSY5A03","YPSY5A03")</f>
        <v>YPSY5A03</v>
      </c>
      <c r="F722" s="78">
        <v>1</v>
      </c>
      <c r="G722" s="179" t="s">
        <v>105</v>
      </c>
      <c r="H722" s="230">
        <v>2.3639782031799768</v>
      </c>
      <c r="I722" s="327">
        <v>2.9856457348737324</v>
      </c>
      <c r="J722" s="327">
        <v>1.3781619016801873E-2</v>
      </c>
      <c r="K722" s="327">
        <v>0.46159592398475635</v>
      </c>
      <c r="L722" s="230">
        <v>4.4451480366325615</v>
      </c>
      <c r="M722" s="327">
        <v>2.8872617316209643</v>
      </c>
      <c r="N722" s="327">
        <v>0.75179784905683777</v>
      </c>
      <c r="O722" s="327">
        <v>1.5229067592332689E-2</v>
      </c>
      <c r="P722" s="327">
        <v>0.52745712054940042</v>
      </c>
    </row>
    <row r="723" spans="2:16" ht="18" customHeight="1">
      <c r="B723" s="284"/>
      <c r="C723" s="311"/>
      <c r="D723" s="312"/>
      <c r="E723" s="289"/>
      <c r="F723" s="79">
        <v>2</v>
      </c>
      <c r="G723" s="178" t="s">
        <v>106</v>
      </c>
      <c r="H723" s="231">
        <v>18.384353754110887</v>
      </c>
      <c r="I723" s="328"/>
      <c r="J723" s="328"/>
      <c r="K723" s="328"/>
      <c r="L723" s="231">
        <v>21.185369234247744</v>
      </c>
      <c r="M723" s="328">
        <v>2.8872617316209643</v>
      </c>
      <c r="N723" s="328">
        <v>0.75179784905683777</v>
      </c>
      <c r="O723" s="328">
        <v>1.5229067592332689E-2</v>
      </c>
      <c r="P723" s="328">
        <v>0.52745712054940042</v>
      </c>
    </row>
    <row r="724" spans="2:16" ht="18" customHeight="1">
      <c r="B724" s="284"/>
      <c r="C724" s="311"/>
      <c r="D724" s="312"/>
      <c r="E724" s="289"/>
      <c r="F724" s="79">
        <v>3</v>
      </c>
      <c r="G724" s="178" t="s">
        <v>107</v>
      </c>
      <c r="H724" s="231">
        <v>57.574784394862014</v>
      </c>
      <c r="I724" s="328"/>
      <c r="J724" s="328"/>
      <c r="K724" s="328"/>
      <c r="L724" s="231">
        <v>55.56764425951053</v>
      </c>
      <c r="M724" s="328">
        <v>2.8872617316209643</v>
      </c>
      <c r="N724" s="328">
        <v>0.75179784905683777</v>
      </c>
      <c r="O724" s="328">
        <v>1.5229067592332689E-2</v>
      </c>
      <c r="P724" s="328">
        <v>0.52745712054940042</v>
      </c>
    </row>
    <row r="725" spans="2:16" ht="18" customHeight="1">
      <c r="B725" s="284"/>
      <c r="C725" s="313"/>
      <c r="D725" s="314"/>
      <c r="E725" s="288"/>
      <c r="F725" s="82">
        <v>4</v>
      </c>
      <c r="G725" s="180" t="s">
        <v>108</v>
      </c>
      <c r="H725" s="232">
        <v>21.676883647847102</v>
      </c>
      <c r="I725" s="329"/>
      <c r="J725" s="329"/>
      <c r="K725" s="329"/>
      <c r="L725" s="232">
        <v>18.801838469609166</v>
      </c>
      <c r="M725" s="329">
        <v>2.8872617316209643</v>
      </c>
      <c r="N725" s="329">
        <v>0.75179784905683777</v>
      </c>
      <c r="O725" s="329">
        <v>1.5229067592332689E-2</v>
      </c>
      <c r="P725" s="329">
        <v>0.52745712054940042</v>
      </c>
    </row>
    <row r="726" spans="2:16" ht="18" customHeight="1">
      <c r="B726" s="284"/>
      <c r="C726" s="309" t="s">
        <v>228</v>
      </c>
      <c r="D726" s="310"/>
      <c r="E726" s="287" t="str">
        <f>HYPERLINK("#LAYOUT_e4!lay초YPSY5A04","YPSY5A04")</f>
        <v>YPSY5A04</v>
      </c>
      <c r="F726" s="78">
        <v>1</v>
      </c>
      <c r="G726" s="179" t="s">
        <v>105</v>
      </c>
      <c r="H726" s="230">
        <v>3.344029705978647</v>
      </c>
      <c r="I726" s="327">
        <v>2.9095220215682622</v>
      </c>
      <c r="J726" s="327">
        <v>1.4835262604377536E-2</v>
      </c>
      <c r="K726" s="327">
        <v>0.5098865894261615</v>
      </c>
      <c r="L726" s="230">
        <v>4.2182468919685112</v>
      </c>
      <c r="M726" s="327">
        <v>2.853270945901635</v>
      </c>
      <c r="N726" s="327">
        <v>0.75543002245221891</v>
      </c>
      <c r="O726" s="327">
        <v>1.5302644038733437E-2</v>
      </c>
      <c r="P726" s="327">
        <v>0.53631934467050046</v>
      </c>
    </row>
    <row r="727" spans="2:16" ht="18" customHeight="1">
      <c r="B727" s="284"/>
      <c r="C727" s="311"/>
      <c r="D727" s="312"/>
      <c r="E727" s="289"/>
      <c r="F727" s="79">
        <v>2</v>
      </c>
      <c r="G727" s="178" t="s">
        <v>106</v>
      </c>
      <c r="H727" s="231">
        <v>23.578200687975777</v>
      </c>
      <c r="I727" s="328"/>
      <c r="J727" s="328"/>
      <c r="K727" s="328"/>
      <c r="L727" s="231">
        <v>24.280200190222494</v>
      </c>
      <c r="M727" s="328">
        <v>2.853270945901635</v>
      </c>
      <c r="N727" s="328">
        <v>0.75543002245221891</v>
      </c>
      <c r="O727" s="328">
        <v>1.5302644038733437E-2</v>
      </c>
      <c r="P727" s="328">
        <v>0.53631934467050046</v>
      </c>
    </row>
    <row r="728" spans="2:16" ht="18" customHeight="1">
      <c r="B728" s="284"/>
      <c r="C728" s="311"/>
      <c r="D728" s="312"/>
      <c r="E728" s="289"/>
      <c r="F728" s="79">
        <v>3</v>
      </c>
      <c r="G728" s="178" t="s">
        <v>107</v>
      </c>
      <c r="H728" s="231">
        <v>51.859307349283121</v>
      </c>
      <c r="I728" s="328"/>
      <c r="J728" s="328"/>
      <c r="K728" s="328"/>
      <c r="L728" s="231">
        <v>53.457764353486333</v>
      </c>
      <c r="M728" s="328">
        <v>2.853270945901635</v>
      </c>
      <c r="N728" s="328">
        <v>0.75543002245221891</v>
      </c>
      <c r="O728" s="328">
        <v>1.5302644038733437E-2</v>
      </c>
      <c r="P728" s="328">
        <v>0.53631934467050046</v>
      </c>
    </row>
    <row r="729" spans="2:16" ht="18" customHeight="1">
      <c r="B729" s="284"/>
      <c r="C729" s="313"/>
      <c r="D729" s="314"/>
      <c r="E729" s="288"/>
      <c r="F729" s="82">
        <v>4</v>
      </c>
      <c r="G729" s="180" t="s">
        <v>108</v>
      </c>
      <c r="H729" s="232">
        <v>21.218462256762479</v>
      </c>
      <c r="I729" s="329"/>
      <c r="J729" s="329"/>
      <c r="K729" s="329"/>
      <c r="L729" s="232">
        <v>18.043788564322682</v>
      </c>
      <c r="M729" s="329">
        <v>2.853270945901635</v>
      </c>
      <c r="N729" s="329">
        <v>0.75543002245221891</v>
      </c>
      <c r="O729" s="329">
        <v>1.5302644038733437E-2</v>
      </c>
      <c r="P729" s="329">
        <v>0.53631934467050046</v>
      </c>
    </row>
    <row r="730" spans="2:16" ht="18" customHeight="1">
      <c r="B730" s="284"/>
      <c r="C730" s="309" t="s">
        <v>229</v>
      </c>
      <c r="D730" s="310"/>
      <c r="E730" s="287" t="str">
        <f>HYPERLINK("#LAYOUT_e4!lay초YPSY5A05","YPSY5A05")</f>
        <v>YPSY5A05</v>
      </c>
      <c r="F730" s="78">
        <v>1</v>
      </c>
      <c r="G730" s="179" t="s">
        <v>105</v>
      </c>
      <c r="H730" s="230">
        <v>5.5378462115206384</v>
      </c>
      <c r="I730" s="327">
        <v>2.7473756408594605</v>
      </c>
      <c r="J730" s="327">
        <v>1.5702713066670069E-2</v>
      </c>
      <c r="K730" s="327">
        <v>0.57155318818207912</v>
      </c>
      <c r="L730" s="230">
        <v>6.214926407163313</v>
      </c>
      <c r="M730" s="327">
        <v>2.7250307337230244</v>
      </c>
      <c r="N730" s="327">
        <v>0.78540687922080765</v>
      </c>
      <c r="O730" s="327">
        <v>1.5909881181679821E-2</v>
      </c>
      <c r="P730" s="327">
        <v>0.58384226587944654</v>
      </c>
    </row>
    <row r="731" spans="2:16" ht="18" customHeight="1">
      <c r="B731" s="284"/>
      <c r="C731" s="311"/>
      <c r="D731" s="312"/>
      <c r="E731" s="289"/>
      <c r="F731" s="79">
        <v>2</v>
      </c>
      <c r="G731" s="178" t="s">
        <v>106</v>
      </c>
      <c r="H731" s="231">
        <v>31.337380918359756</v>
      </c>
      <c r="I731" s="328"/>
      <c r="J731" s="328"/>
      <c r="K731" s="328"/>
      <c r="L731" s="231">
        <v>29.714631042611931</v>
      </c>
      <c r="M731" s="328">
        <v>2.7250307337230244</v>
      </c>
      <c r="N731" s="328">
        <v>0.78540687922080765</v>
      </c>
      <c r="O731" s="328">
        <v>1.5909881181679821E-2</v>
      </c>
      <c r="P731" s="328">
        <v>0.58384226587944654</v>
      </c>
    </row>
    <row r="732" spans="2:16" ht="18" customHeight="1">
      <c r="B732" s="284"/>
      <c r="C732" s="311"/>
      <c r="D732" s="312"/>
      <c r="E732" s="289"/>
      <c r="F732" s="79">
        <v>3</v>
      </c>
      <c r="G732" s="178" t="s">
        <v>107</v>
      </c>
      <c r="H732" s="231">
        <v>45.974135442769693</v>
      </c>
      <c r="I732" s="328"/>
      <c r="J732" s="328"/>
      <c r="K732" s="328"/>
      <c r="L732" s="231">
        <v>49.422885320984093</v>
      </c>
      <c r="M732" s="328">
        <v>2.7250307337230244</v>
      </c>
      <c r="N732" s="328">
        <v>0.78540687922080765</v>
      </c>
      <c r="O732" s="328">
        <v>1.5909881181679821E-2</v>
      </c>
      <c r="P732" s="328">
        <v>0.58384226587944654</v>
      </c>
    </row>
    <row r="733" spans="2:16" ht="18" customHeight="1">
      <c r="B733" s="284"/>
      <c r="C733" s="313"/>
      <c r="D733" s="314"/>
      <c r="E733" s="288"/>
      <c r="F733" s="82">
        <v>4</v>
      </c>
      <c r="G733" s="180" t="s">
        <v>108</v>
      </c>
      <c r="H733" s="232">
        <v>17.150637427349924</v>
      </c>
      <c r="I733" s="329"/>
      <c r="J733" s="329"/>
      <c r="K733" s="329"/>
      <c r="L733" s="232">
        <v>14.647557229240647</v>
      </c>
      <c r="M733" s="329">
        <v>2.7250307337230244</v>
      </c>
      <c r="N733" s="329">
        <v>0.78540687922080765</v>
      </c>
      <c r="O733" s="329">
        <v>1.5909881181679821E-2</v>
      </c>
      <c r="P733" s="329">
        <v>0.58384226587944654</v>
      </c>
    </row>
    <row r="734" spans="2:16" ht="18" customHeight="1">
      <c r="B734" s="284"/>
      <c r="C734" s="309" t="s">
        <v>230</v>
      </c>
      <c r="D734" s="310"/>
      <c r="E734" s="287" t="str">
        <f>HYPERLINK("#LAYOUT_e4!lay초YPSY5A06","YPSY5A06")</f>
        <v>YPSY5A06</v>
      </c>
      <c r="F734" s="78">
        <v>1</v>
      </c>
      <c r="G734" s="179" t="s">
        <v>105</v>
      </c>
      <c r="H734" s="230">
        <v>3.7122832567096484</v>
      </c>
      <c r="I734" s="327">
        <v>2.836429406647238</v>
      </c>
      <c r="J734" s="327">
        <v>1.4479157094617959E-2</v>
      </c>
      <c r="K734" s="327">
        <v>0.51047126576412316</v>
      </c>
      <c r="L734" s="230">
        <v>5.9441715790111349</v>
      </c>
      <c r="M734" s="327">
        <v>2.7631012521560296</v>
      </c>
      <c r="N734" s="327">
        <v>0.77021801070012097</v>
      </c>
      <c r="O734" s="327">
        <v>1.5602202321408035E-2</v>
      </c>
      <c r="P734" s="327">
        <v>0.56466270677680519</v>
      </c>
    </row>
    <row r="735" spans="2:16" ht="18" customHeight="1">
      <c r="B735" s="284"/>
      <c r="C735" s="311"/>
      <c r="D735" s="312"/>
      <c r="E735" s="289"/>
      <c r="F735" s="79">
        <v>2</v>
      </c>
      <c r="G735" s="178" t="s">
        <v>106</v>
      </c>
      <c r="H735" s="231">
        <v>25.696319367228323</v>
      </c>
      <c r="I735" s="328"/>
      <c r="J735" s="328"/>
      <c r="K735" s="328"/>
      <c r="L735" s="231">
        <v>26.468091256146579</v>
      </c>
      <c r="M735" s="328">
        <v>2.7631012521560296</v>
      </c>
      <c r="N735" s="328">
        <v>0.77021801070012097</v>
      </c>
      <c r="O735" s="328">
        <v>1.5602202321408035E-2</v>
      </c>
      <c r="P735" s="328">
        <v>0.56466270677680519</v>
      </c>
    </row>
    <row r="736" spans="2:16" ht="18" customHeight="1">
      <c r="B736" s="284"/>
      <c r="C736" s="311"/>
      <c r="D736" s="312"/>
      <c r="E736" s="289"/>
      <c r="F736" s="79">
        <v>3</v>
      </c>
      <c r="G736" s="178" t="s">
        <v>107</v>
      </c>
      <c r="H736" s="231">
        <v>53.827570830687677</v>
      </c>
      <c r="I736" s="328"/>
      <c r="J736" s="328"/>
      <c r="K736" s="328"/>
      <c r="L736" s="231">
        <v>52.921177535070946</v>
      </c>
      <c r="M736" s="328">
        <v>2.7631012521560296</v>
      </c>
      <c r="N736" s="328">
        <v>0.77021801070012097</v>
      </c>
      <c r="O736" s="328">
        <v>1.5602202321408035E-2</v>
      </c>
      <c r="P736" s="328">
        <v>0.56466270677680519</v>
      </c>
    </row>
    <row r="737" spans="2:16" ht="18" customHeight="1">
      <c r="B737" s="284"/>
      <c r="C737" s="313"/>
      <c r="D737" s="314"/>
      <c r="E737" s="288"/>
      <c r="F737" s="82">
        <v>4</v>
      </c>
      <c r="G737" s="180" t="s">
        <v>108</v>
      </c>
      <c r="H737" s="232">
        <v>16.763826545374339</v>
      </c>
      <c r="I737" s="329"/>
      <c r="J737" s="329"/>
      <c r="K737" s="329"/>
      <c r="L737" s="232">
        <v>14.666559629771356</v>
      </c>
      <c r="M737" s="329">
        <v>2.7631012521560296</v>
      </c>
      <c r="N737" s="329">
        <v>0.77021801070012097</v>
      </c>
      <c r="O737" s="329">
        <v>1.5602202321408035E-2</v>
      </c>
      <c r="P737" s="329">
        <v>0.56466270677680519</v>
      </c>
    </row>
    <row r="738" spans="2:16" ht="18" customHeight="1">
      <c r="B738" s="284"/>
      <c r="C738" s="309" t="s">
        <v>231</v>
      </c>
      <c r="D738" s="310"/>
      <c r="E738" s="287" t="str">
        <f>HYPERLINK("#LAYOUT_e4!lay초YPSY5A07","YPSY5A07")</f>
        <v>YPSY5A07</v>
      </c>
      <c r="F738" s="78">
        <v>1</v>
      </c>
      <c r="G738" s="179" t="s">
        <v>105</v>
      </c>
      <c r="H738" s="230">
        <v>1.5283844007182978</v>
      </c>
      <c r="I738" s="327">
        <v>3.3222786794337087</v>
      </c>
      <c r="J738" s="327">
        <v>1.285357788176392E-2</v>
      </c>
      <c r="K738" s="327">
        <v>0.38689041835451471</v>
      </c>
      <c r="L738" s="230">
        <v>3.2580352658526119</v>
      </c>
      <c r="M738" s="327">
        <v>3.1419572013103476</v>
      </c>
      <c r="N738" s="327">
        <v>0.72452478893241701</v>
      </c>
      <c r="O738" s="327">
        <v>1.4676600893198563E-2</v>
      </c>
      <c r="P738" s="327">
        <v>0.46711651218793554</v>
      </c>
    </row>
    <row r="739" spans="2:16" ht="18" customHeight="1">
      <c r="B739" s="284"/>
      <c r="C739" s="311"/>
      <c r="D739" s="312"/>
      <c r="E739" s="289"/>
      <c r="F739" s="79">
        <v>2</v>
      </c>
      <c r="G739" s="178" t="s">
        <v>106</v>
      </c>
      <c r="H739" s="231">
        <v>6.0215348934792257</v>
      </c>
      <c r="I739" s="328"/>
      <c r="J739" s="328"/>
      <c r="K739" s="328"/>
      <c r="L739" s="231">
        <v>10.37166484530773</v>
      </c>
      <c r="M739" s="328">
        <v>3.1419572013103476</v>
      </c>
      <c r="N739" s="328">
        <v>0.72452478893241701</v>
      </c>
      <c r="O739" s="328">
        <v>1.4676600893198563E-2</v>
      </c>
      <c r="P739" s="328">
        <v>0.46711651218793554</v>
      </c>
    </row>
    <row r="740" spans="2:16" ht="18" customHeight="1">
      <c r="B740" s="284"/>
      <c r="C740" s="311"/>
      <c r="D740" s="312"/>
      <c r="E740" s="289"/>
      <c r="F740" s="79">
        <v>3</v>
      </c>
      <c r="G740" s="178" t="s">
        <v>107</v>
      </c>
      <c r="H740" s="231">
        <v>51.143909067513277</v>
      </c>
      <c r="I740" s="328"/>
      <c r="J740" s="328"/>
      <c r="K740" s="328"/>
      <c r="L740" s="231">
        <v>55.286844380792317</v>
      </c>
      <c r="M740" s="328">
        <v>3.1419572013103476</v>
      </c>
      <c r="N740" s="328">
        <v>0.72452478893241701</v>
      </c>
      <c r="O740" s="328">
        <v>1.4676600893198563E-2</v>
      </c>
      <c r="P740" s="328">
        <v>0.46711651218793554</v>
      </c>
    </row>
    <row r="741" spans="2:16" ht="18" customHeight="1">
      <c r="B741" s="284"/>
      <c r="C741" s="313"/>
      <c r="D741" s="314"/>
      <c r="E741" s="288"/>
      <c r="F741" s="82">
        <v>4</v>
      </c>
      <c r="G741" s="180" t="s">
        <v>108</v>
      </c>
      <c r="H741" s="232">
        <v>41.306171638289214</v>
      </c>
      <c r="I741" s="329"/>
      <c r="J741" s="329"/>
      <c r="K741" s="329"/>
      <c r="L741" s="232">
        <v>31.08345550804734</v>
      </c>
      <c r="M741" s="329">
        <v>3.1419572013103476</v>
      </c>
      <c r="N741" s="329">
        <v>0.72452478893241701</v>
      </c>
      <c r="O741" s="329">
        <v>1.4676600893198563E-2</v>
      </c>
      <c r="P741" s="329">
        <v>0.46711651218793554</v>
      </c>
    </row>
    <row r="742" spans="2:16" ht="18" customHeight="1">
      <c r="B742" s="284"/>
      <c r="C742" s="309" t="s">
        <v>232</v>
      </c>
      <c r="D742" s="310"/>
      <c r="E742" s="287" t="str">
        <f>HYPERLINK("#LAYOUT_e4!lay초YPSY5A08","YPSY5A08")</f>
        <v>YPSY5A08</v>
      </c>
      <c r="F742" s="78">
        <v>1</v>
      </c>
      <c r="G742" s="179" t="s">
        <v>105</v>
      </c>
      <c r="H742" s="230">
        <v>2.1330228510612113</v>
      </c>
      <c r="I742" s="327">
        <v>3.1675810022703801</v>
      </c>
      <c r="J742" s="327">
        <v>1.3970087263413597E-2</v>
      </c>
      <c r="K742" s="327">
        <v>0.44103330754289971</v>
      </c>
      <c r="L742" s="230">
        <v>1.9033692397736515</v>
      </c>
      <c r="M742" s="327">
        <v>3.0687537507897504</v>
      </c>
      <c r="N742" s="327">
        <v>0.68206200483771184</v>
      </c>
      <c r="O742" s="327">
        <v>1.3816438005065584E-2</v>
      </c>
      <c r="P742" s="327">
        <v>0.45022960872992462</v>
      </c>
    </row>
    <row r="743" spans="2:16" ht="18" customHeight="1">
      <c r="B743" s="284"/>
      <c r="C743" s="311"/>
      <c r="D743" s="312"/>
      <c r="E743" s="289"/>
      <c r="F743" s="79">
        <v>2</v>
      </c>
      <c r="G743" s="178" t="s">
        <v>106</v>
      </c>
      <c r="H743" s="231">
        <v>12.055833909998826</v>
      </c>
      <c r="I743" s="328"/>
      <c r="J743" s="328"/>
      <c r="K743" s="328"/>
      <c r="L743" s="231">
        <v>14.339442877779298</v>
      </c>
      <c r="M743" s="328">
        <v>3.0687537507897504</v>
      </c>
      <c r="N743" s="328">
        <v>0.68206200483771184</v>
      </c>
      <c r="O743" s="328">
        <v>1.3816438005065584E-2</v>
      </c>
      <c r="P743" s="328">
        <v>0.45022960872992462</v>
      </c>
    </row>
    <row r="744" spans="2:16" ht="18" customHeight="1">
      <c r="B744" s="284"/>
      <c r="C744" s="311"/>
      <c r="D744" s="312"/>
      <c r="E744" s="289"/>
      <c r="F744" s="79">
        <v>3</v>
      </c>
      <c r="G744" s="178" t="s">
        <v>107</v>
      </c>
      <c r="H744" s="231">
        <v>52.731163399777344</v>
      </c>
      <c r="I744" s="328"/>
      <c r="J744" s="328"/>
      <c r="K744" s="328"/>
      <c r="L744" s="231">
        <v>58.735631446146101</v>
      </c>
      <c r="M744" s="328">
        <v>3.0687537507897504</v>
      </c>
      <c r="N744" s="328">
        <v>0.68206200483771184</v>
      </c>
      <c r="O744" s="328">
        <v>1.3816438005065584E-2</v>
      </c>
      <c r="P744" s="328">
        <v>0.45022960872992462</v>
      </c>
    </row>
    <row r="745" spans="2:16" ht="18" customHeight="1">
      <c r="B745" s="284"/>
      <c r="C745" s="313"/>
      <c r="D745" s="314"/>
      <c r="E745" s="288"/>
      <c r="F745" s="82">
        <v>4</v>
      </c>
      <c r="G745" s="180" t="s">
        <v>108</v>
      </c>
      <c r="H745" s="232">
        <v>33.079979839162654</v>
      </c>
      <c r="I745" s="329"/>
      <c r="J745" s="329"/>
      <c r="K745" s="329"/>
      <c r="L745" s="232">
        <v>25.021556436300944</v>
      </c>
      <c r="M745" s="329">
        <v>3.0687537507897504</v>
      </c>
      <c r="N745" s="329">
        <v>0.68206200483771184</v>
      </c>
      <c r="O745" s="329">
        <v>1.3816438005065584E-2</v>
      </c>
      <c r="P745" s="329">
        <v>0.45022960872992462</v>
      </c>
    </row>
    <row r="746" spans="2:16" ht="18" customHeight="1">
      <c r="B746" s="284"/>
      <c r="C746" s="309" t="s">
        <v>233</v>
      </c>
      <c r="D746" s="310"/>
      <c r="E746" s="287" t="str">
        <f>HYPERLINK("#LAYOUT_e4!lay초YPSY5A09","YPSY5A09")</f>
        <v>YPSY5A09</v>
      </c>
      <c r="F746" s="78">
        <v>1</v>
      </c>
      <c r="G746" s="179" t="s">
        <v>105</v>
      </c>
      <c r="H746" s="230">
        <v>2.0463705861450929</v>
      </c>
      <c r="I746" s="327">
        <v>3.1596298459872005</v>
      </c>
      <c r="J746" s="327">
        <v>1.393585898592717E-2</v>
      </c>
      <c r="K746" s="327">
        <v>0.4410598603385778</v>
      </c>
      <c r="L746" s="230">
        <v>1.5141718566725411</v>
      </c>
      <c r="M746" s="327">
        <v>3.0865371953887042</v>
      </c>
      <c r="N746" s="327">
        <v>0.67967375598915214</v>
      </c>
      <c r="O746" s="327">
        <v>1.3768059570373798E-2</v>
      </c>
      <c r="P746" s="327">
        <v>0.44606815660421401</v>
      </c>
    </row>
    <row r="747" spans="2:16" ht="18" customHeight="1">
      <c r="B747" s="284"/>
      <c r="C747" s="311"/>
      <c r="D747" s="312"/>
      <c r="E747" s="289"/>
      <c r="F747" s="79">
        <v>2</v>
      </c>
      <c r="G747" s="178" t="s">
        <v>106</v>
      </c>
      <c r="H747" s="231">
        <v>12.458804316235648</v>
      </c>
      <c r="I747" s="328"/>
      <c r="J747" s="328"/>
      <c r="K747" s="328"/>
      <c r="L747" s="231">
        <v>14.593401725638158</v>
      </c>
      <c r="M747" s="328">
        <v>3.0865371953887042</v>
      </c>
      <c r="N747" s="328">
        <v>0.67967375598915214</v>
      </c>
      <c r="O747" s="328">
        <v>1.3768059570373798E-2</v>
      </c>
      <c r="P747" s="328">
        <v>0.44606815660421401</v>
      </c>
    </row>
    <row r="748" spans="2:16" ht="18" customHeight="1">
      <c r="B748" s="284"/>
      <c r="C748" s="311"/>
      <c r="D748" s="312"/>
      <c r="E748" s="289"/>
      <c r="F748" s="79">
        <v>3</v>
      </c>
      <c r="G748" s="178" t="s">
        <v>107</v>
      </c>
      <c r="H748" s="231">
        <v>52.980295010370192</v>
      </c>
      <c r="I748" s="328"/>
      <c r="J748" s="328"/>
      <c r="K748" s="328"/>
      <c r="L748" s="231">
        <v>57.616961439836707</v>
      </c>
      <c r="M748" s="328">
        <v>3.0865371953887042</v>
      </c>
      <c r="N748" s="328">
        <v>0.67967375598915214</v>
      </c>
      <c r="O748" s="328">
        <v>1.3768059570373798E-2</v>
      </c>
      <c r="P748" s="328">
        <v>0.44606815660421401</v>
      </c>
    </row>
    <row r="749" spans="2:16" ht="18" customHeight="1">
      <c r="B749" s="284"/>
      <c r="C749" s="313"/>
      <c r="D749" s="314"/>
      <c r="E749" s="288"/>
      <c r="F749" s="82">
        <v>4</v>
      </c>
      <c r="G749" s="180" t="s">
        <v>108</v>
      </c>
      <c r="H749" s="232">
        <v>32.514530087249078</v>
      </c>
      <c r="I749" s="329"/>
      <c r="J749" s="329"/>
      <c r="K749" s="329"/>
      <c r="L749" s="232">
        <v>26.275464977852611</v>
      </c>
      <c r="M749" s="329">
        <v>3.0865371953887042</v>
      </c>
      <c r="N749" s="329">
        <v>0.67967375598915214</v>
      </c>
      <c r="O749" s="329">
        <v>1.3768059570373798E-2</v>
      </c>
      <c r="P749" s="329">
        <v>0.44606815660421401</v>
      </c>
    </row>
    <row r="750" spans="2:16" ht="18" customHeight="1">
      <c r="B750" s="284"/>
      <c r="C750" s="309" t="s">
        <v>234</v>
      </c>
      <c r="D750" s="310"/>
      <c r="E750" s="287" t="str">
        <f>HYPERLINK("#LAYOUT_e4!lay초YPSY5A10","YPSY5A10")</f>
        <v>YPSY5A10</v>
      </c>
      <c r="F750" s="78">
        <v>1</v>
      </c>
      <c r="G750" s="179" t="s">
        <v>105</v>
      </c>
      <c r="H750" s="230">
        <v>3.2600380174507699</v>
      </c>
      <c r="I750" s="327">
        <v>3.0047632006772997</v>
      </c>
      <c r="J750" s="327">
        <v>1.4659104469063244E-2</v>
      </c>
      <c r="K750" s="327">
        <v>0.48786222041587035</v>
      </c>
      <c r="L750" s="230">
        <v>2.460627465646545</v>
      </c>
      <c r="M750" s="327">
        <v>3.0015063254566043</v>
      </c>
      <c r="N750" s="327">
        <v>0.69466926411498786</v>
      </c>
      <c r="O750" s="327">
        <v>1.4071821555216158E-2</v>
      </c>
      <c r="P750" s="327">
        <v>0.46882531733713678</v>
      </c>
    </row>
    <row r="751" spans="2:16" ht="18" customHeight="1">
      <c r="B751" s="284"/>
      <c r="C751" s="311"/>
      <c r="D751" s="312"/>
      <c r="E751" s="289"/>
      <c r="F751" s="79">
        <v>2</v>
      </c>
      <c r="G751" s="178" t="s">
        <v>106</v>
      </c>
      <c r="H751" s="231">
        <v>17.98294181950488</v>
      </c>
      <c r="I751" s="328"/>
      <c r="J751" s="328"/>
      <c r="K751" s="328"/>
      <c r="L751" s="231">
        <v>16.661283298258301</v>
      </c>
      <c r="M751" s="328">
        <v>3.0015063254566043</v>
      </c>
      <c r="N751" s="328">
        <v>0.69466926411498786</v>
      </c>
      <c r="O751" s="328">
        <v>1.4071821555216158E-2</v>
      </c>
      <c r="P751" s="328">
        <v>0.46882531733713678</v>
      </c>
    </row>
    <row r="752" spans="2:16" ht="18" customHeight="1">
      <c r="B752" s="284"/>
      <c r="C752" s="311"/>
      <c r="D752" s="312"/>
      <c r="E752" s="289"/>
      <c r="F752" s="79">
        <v>3</v>
      </c>
      <c r="G752" s="178" t="s">
        <v>107</v>
      </c>
      <c r="H752" s="231">
        <v>53.777682240904767</v>
      </c>
      <c r="I752" s="328"/>
      <c r="J752" s="328"/>
      <c r="K752" s="328"/>
      <c r="L752" s="231">
        <v>59.144918460883851</v>
      </c>
      <c r="M752" s="328">
        <v>3.0015063254566043</v>
      </c>
      <c r="N752" s="328">
        <v>0.69466926411498786</v>
      </c>
      <c r="O752" s="328">
        <v>1.4071821555216158E-2</v>
      </c>
      <c r="P752" s="328">
        <v>0.46882531733713678</v>
      </c>
    </row>
    <row r="753" spans="2:16" ht="18" customHeight="1">
      <c r="B753" s="284"/>
      <c r="C753" s="313"/>
      <c r="D753" s="314"/>
      <c r="E753" s="288"/>
      <c r="F753" s="82">
        <v>4</v>
      </c>
      <c r="G753" s="180" t="s">
        <v>108</v>
      </c>
      <c r="H753" s="232">
        <v>24.979337922139589</v>
      </c>
      <c r="I753" s="329"/>
      <c r="J753" s="329"/>
      <c r="K753" s="329"/>
      <c r="L753" s="232">
        <v>21.733170775211327</v>
      </c>
      <c r="M753" s="329">
        <v>3.0015063254566043</v>
      </c>
      <c r="N753" s="329">
        <v>0.69466926411498786</v>
      </c>
      <c r="O753" s="329">
        <v>1.4071821555216158E-2</v>
      </c>
      <c r="P753" s="329">
        <v>0.46882531733713678</v>
      </c>
    </row>
    <row r="754" spans="2:16" ht="18" customHeight="1">
      <c r="B754" s="284"/>
      <c r="C754" s="309" t="s">
        <v>235</v>
      </c>
      <c r="D754" s="310"/>
      <c r="E754" s="287" t="str">
        <f>HYPERLINK("#LAYOUT_e4!lay초YPSY5A11","YPSY5A11")</f>
        <v>YPSY5A11</v>
      </c>
      <c r="F754" s="78">
        <v>1</v>
      </c>
      <c r="G754" s="179" t="s">
        <v>105</v>
      </c>
      <c r="H754" s="230">
        <v>3.4972478788833592</v>
      </c>
      <c r="I754" s="327">
        <v>2.9661918469379418</v>
      </c>
      <c r="J754" s="327">
        <v>1.4629461654136236E-2</v>
      </c>
      <c r="K754" s="327">
        <v>0.49320685946994719</v>
      </c>
      <c r="L754" s="230">
        <v>3.4448082210864839</v>
      </c>
      <c r="M754" s="327">
        <v>2.9315164046691007</v>
      </c>
      <c r="N754" s="327">
        <v>0.72422269130364991</v>
      </c>
      <c r="O754" s="327">
        <v>1.4670481342293037E-2</v>
      </c>
      <c r="P754" s="327">
        <v>0.50044002206254046</v>
      </c>
    </row>
    <row r="755" spans="2:16" ht="18" customHeight="1">
      <c r="B755" s="284"/>
      <c r="C755" s="311"/>
      <c r="D755" s="312"/>
      <c r="E755" s="289"/>
      <c r="F755" s="79">
        <v>2</v>
      </c>
      <c r="G755" s="178" t="s">
        <v>106</v>
      </c>
      <c r="H755" s="231">
        <v>19.14276919929117</v>
      </c>
      <c r="I755" s="328"/>
      <c r="J755" s="328"/>
      <c r="K755" s="328"/>
      <c r="L755" s="231">
        <v>19.538419423572162</v>
      </c>
      <c r="M755" s="328">
        <v>2.9315164046691007</v>
      </c>
      <c r="N755" s="328">
        <v>0.72422269130364991</v>
      </c>
      <c r="O755" s="328">
        <v>1.4670481342293037E-2</v>
      </c>
      <c r="P755" s="328">
        <v>0.50044002206254046</v>
      </c>
    </row>
    <row r="756" spans="2:16" ht="18" customHeight="1">
      <c r="B756" s="284"/>
      <c r="C756" s="311"/>
      <c r="D756" s="312"/>
      <c r="E756" s="289"/>
      <c r="F756" s="79">
        <v>3</v>
      </c>
      <c r="G756" s="178" t="s">
        <v>107</v>
      </c>
      <c r="H756" s="231">
        <v>54.603533270970225</v>
      </c>
      <c r="I756" s="328"/>
      <c r="J756" s="328"/>
      <c r="K756" s="328"/>
      <c r="L756" s="231">
        <v>57.437096022685814</v>
      </c>
      <c r="M756" s="328">
        <v>2.9315164046691007</v>
      </c>
      <c r="N756" s="328">
        <v>0.72422269130364991</v>
      </c>
      <c r="O756" s="328">
        <v>1.4670481342293037E-2</v>
      </c>
      <c r="P756" s="328">
        <v>0.50044002206254046</v>
      </c>
    </row>
    <row r="757" spans="2:16" ht="18" customHeight="1">
      <c r="B757" s="284"/>
      <c r="C757" s="313"/>
      <c r="D757" s="314"/>
      <c r="E757" s="288"/>
      <c r="F757" s="82">
        <v>4</v>
      </c>
      <c r="G757" s="180" t="s">
        <v>108</v>
      </c>
      <c r="H757" s="232">
        <v>22.75644965085522</v>
      </c>
      <c r="I757" s="329"/>
      <c r="J757" s="329"/>
      <c r="K757" s="329"/>
      <c r="L757" s="232">
        <v>19.579676332655534</v>
      </c>
      <c r="M757" s="329">
        <v>2.9315164046691007</v>
      </c>
      <c r="N757" s="329">
        <v>0.72422269130364991</v>
      </c>
      <c r="O757" s="329">
        <v>1.4670481342293037E-2</v>
      </c>
      <c r="P757" s="329">
        <v>0.50044002206254046</v>
      </c>
    </row>
    <row r="758" spans="2:16" ht="18" customHeight="1">
      <c r="B758" s="284"/>
      <c r="C758" s="309" t="s">
        <v>236</v>
      </c>
      <c r="D758" s="310"/>
      <c r="E758" s="287" t="str">
        <f>HYPERLINK("#LAYOUT_e4!lay초YPSY5A12","YPSY5A12")</f>
        <v>YPSY5A12</v>
      </c>
      <c r="F758" s="78">
        <v>1</v>
      </c>
      <c r="G758" s="179" t="s">
        <v>105</v>
      </c>
      <c r="H758" s="230">
        <v>4.5855001736456034</v>
      </c>
      <c r="I758" s="327">
        <v>2.8166410024742943</v>
      </c>
      <c r="J758" s="327">
        <v>1.5340999997095406E-2</v>
      </c>
      <c r="K758" s="327">
        <v>0.54465585012854001</v>
      </c>
      <c r="L758" s="230">
        <v>4.001627912751279</v>
      </c>
      <c r="M758" s="327">
        <v>2.8567819474525695</v>
      </c>
      <c r="N758" s="327">
        <v>0.74893759773988622</v>
      </c>
      <c r="O758" s="327">
        <v>1.5171127867323411E-2</v>
      </c>
      <c r="P758" s="327">
        <v>0.53105655756652037</v>
      </c>
    </row>
    <row r="759" spans="2:16" ht="18" customHeight="1">
      <c r="B759" s="284"/>
      <c r="C759" s="311"/>
      <c r="D759" s="312"/>
      <c r="E759" s="289"/>
      <c r="F759" s="79">
        <v>2</v>
      </c>
      <c r="G759" s="178" t="s">
        <v>106</v>
      </c>
      <c r="H759" s="231">
        <v>27.758095856715279</v>
      </c>
      <c r="I759" s="328"/>
      <c r="J759" s="328"/>
      <c r="K759" s="328"/>
      <c r="L759" s="231">
        <v>24.215457527273362</v>
      </c>
      <c r="M759" s="328">
        <v>2.8567819474525695</v>
      </c>
      <c r="N759" s="328">
        <v>0.74893759773988622</v>
      </c>
      <c r="O759" s="328">
        <v>1.5171127867323411E-2</v>
      </c>
      <c r="P759" s="328">
        <v>0.53105655756652037</v>
      </c>
    </row>
    <row r="760" spans="2:16" ht="18" customHeight="1">
      <c r="B760" s="284"/>
      <c r="C760" s="311"/>
      <c r="D760" s="312"/>
      <c r="E760" s="289"/>
      <c r="F760" s="79">
        <v>3</v>
      </c>
      <c r="G760" s="178" t="s">
        <v>107</v>
      </c>
      <c r="H760" s="231">
        <v>49.063207518199754</v>
      </c>
      <c r="I760" s="328"/>
      <c r="J760" s="328"/>
      <c r="K760" s="328"/>
      <c r="L760" s="231">
        <v>53.886006461942976</v>
      </c>
      <c r="M760" s="328">
        <v>2.8567819474525695</v>
      </c>
      <c r="N760" s="328">
        <v>0.74893759773988622</v>
      </c>
      <c r="O760" s="328">
        <v>1.5171127867323411E-2</v>
      </c>
      <c r="P760" s="328">
        <v>0.53105655756652037</v>
      </c>
    </row>
    <row r="761" spans="2:16" ht="18" customHeight="1">
      <c r="B761" s="284"/>
      <c r="C761" s="313"/>
      <c r="D761" s="314"/>
      <c r="E761" s="288"/>
      <c r="F761" s="82">
        <v>4</v>
      </c>
      <c r="G761" s="180" t="s">
        <v>108</v>
      </c>
      <c r="H761" s="232">
        <v>18.593196451439393</v>
      </c>
      <c r="I761" s="329"/>
      <c r="J761" s="329"/>
      <c r="K761" s="329"/>
      <c r="L761" s="232">
        <v>17.896908098032402</v>
      </c>
      <c r="M761" s="329">
        <v>2.8567819474525695</v>
      </c>
      <c r="N761" s="329">
        <v>0.74893759773988622</v>
      </c>
      <c r="O761" s="329">
        <v>1.5171127867323411E-2</v>
      </c>
      <c r="P761" s="329">
        <v>0.53105655756652037</v>
      </c>
    </row>
    <row r="762" spans="2:16" ht="18" customHeight="1">
      <c r="B762" s="284"/>
      <c r="C762" s="309" t="s">
        <v>237</v>
      </c>
      <c r="D762" s="310"/>
      <c r="E762" s="287" t="str">
        <f>HYPERLINK("#LAYOUT_e4!lay초YPSY5A13","YPSY5A13")</f>
        <v>YPSY5A13</v>
      </c>
      <c r="F762" s="78">
        <v>1</v>
      </c>
      <c r="G762" s="179" t="s">
        <v>105</v>
      </c>
      <c r="H762" s="230">
        <v>3.2591130285115861</v>
      </c>
      <c r="I762" s="327">
        <v>3.0144845633319206</v>
      </c>
      <c r="J762" s="327">
        <v>1.4030995300003049E-2</v>
      </c>
      <c r="K762" s="327">
        <v>0.46545255101570443</v>
      </c>
      <c r="L762" s="230">
        <v>3.0879018941696774</v>
      </c>
      <c r="M762" s="327">
        <v>2.9725246211722558</v>
      </c>
      <c r="N762" s="327">
        <v>0.71339633367574762</v>
      </c>
      <c r="O762" s="327">
        <v>1.445117327656641E-2</v>
      </c>
      <c r="P762" s="327">
        <v>0.486158236457849</v>
      </c>
    </row>
    <row r="763" spans="2:16" ht="18" customHeight="1">
      <c r="B763" s="284"/>
      <c r="C763" s="311"/>
      <c r="D763" s="312"/>
      <c r="E763" s="289"/>
      <c r="F763" s="79">
        <v>2</v>
      </c>
      <c r="G763" s="178" t="s">
        <v>106</v>
      </c>
      <c r="H763" s="231">
        <v>15.160931309478579</v>
      </c>
      <c r="I763" s="328"/>
      <c r="J763" s="328"/>
      <c r="K763" s="328"/>
      <c r="L763" s="231">
        <v>17.584082705611326</v>
      </c>
      <c r="M763" s="328">
        <v>2.9725246211722558</v>
      </c>
      <c r="N763" s="328">
        <v>0.71339633367574762</v>
      </c>
      <c r="O763" s="328">
        <v>1.445117327656641E-2</v>
      </c>
      <c r="P763" s="328">
        <v>0.486158236457849</v>
      </c>
    </row>
    <row r="764" spans="2:16" ht="18" customHeight="1">
      <c r="B764" s="284"/>
      <c r="C764" s="311"/>
      <c r="D764" s="312"/>
      <c r="E764" s="289"/>
      <c r="F764" s="79">
        <v>3</v>
      </c>
      <c r="G764" s="178" t="s">
        <v>107</v>
      </c>
      <c r="H764" s="231">
        <v>58.452341962313035</v>
      </c>
      <c r="I764" s="328"/>
      <c r="J764" s="328"/>
      <c r="K764" s="328"/>
      <c r="L764" s="231">
        <v>58.315666789042972</v>
      </c>
      <c r="M764" s="328">
        <v>2.9725246211722558</v>
      </c>
      <c r="N764" s="328">
        <v>0.71339633367574762</v>
      </c>
      <c r="O764" s="328">
        <v>1.445117327656641E-2</v>
      </c>
      <c r="P764" s="328">
        <v>0.486158236457849</v>
      </c>
    </row>
    <row r="765" spans="2:16" ht="18" customHeight="1">
      <c r="B765" s="284"/>
      <c r="C765" s="313"/>
      <c r="D765" s="314"/>
      <c r="E765" s="288"/>
      <c r="F765" s="82">
        <v>4</v>
      </c>
      <c r="G765" s="180" t="s">
        <v>108</v>
      </c>
      <c r="H765" s="232">
        <v>23.127613699696802</v>
      </c>
      <c r="I765" s="329"/>
      <c r="J765" s="329"/>
      <c r="K765" s="329"/>
      <c r="L765" s="232">
        <v>21.012348611175998</v>
      </c>
      <c r="M765" s="329">
        <v>2.9725246211722558</v>
      </c>
      <c r="N765" s="329">
        <v>0.71339633367574762</v>
      </c>
      <c r="O765" s="329">
        <v>1.445117327656641E-2</v>
      </c>
      <c r="P765" s="329">
        <v>0.486158236457849</v>
      </c>
    </row>
    <row r="766" spans="2:16" ht="18" customHeight="1">
      <c r="B766" s="284"/>
      <c r="C766" s="309" t="s">
        <v>238</v>
      </c>
      <c r="D766" s="310"/>
      <c r="E766" s="287" t="str">
        <f>HYPERLINK("#LAYOUT_e4!lay초YPSY5A14","YPSY5A14")</f>
        <v>YPSY5A14</v>
      </c>
      <c r="F766" s="78">
        <v>1</v>
      </c>
      <c r="G766" s="179" t="s">
        <v>105</v>
      </c>
      <c r="H766" s="230">
        <v>2.640362801560082</v>
      </c>
      <c r="I766" s="327">
        <v>2.9903723304439995</v>
      </c>
      <c r="J766" s="327">
        <v>1.366934481671169E-2</v>
      </c>
      <c r="K766" s="327">
        <v>0.45711180101382592</v>
      </c>
      <c r="L766" s="230">
        <v>2.9204941054412212</v>
      </c>
      <c r="M766" s="327">
        <v>2.953844662244868</v>
      </c>
      <c r="N766" s="327">
        <v>0.70446546605967186</v>
      </c>
      <c r="O766" s="327">
        <v>1.427026189626115E-2</v>
      </c>
      <c r="P766" s="327">
        <v>0.483108068567696</v>
      </c>
    </row>
    <row r="767" spans="2:16" ht="18" customHeight="1">
      <c r="B767" s="284"/>
      <c r="C767" s="311"/>
      <c r="D767" s="312"/>
      <c r="E767" s="289"/>
      <c r="F767" s="79">
        <v>2</v>
      </c>
      <c r="G767" s="178" t="s">
        <v>106</v>
      </c>
      <c r="H767" s="231">
        <v>16.911613373849317</v>
      </c>
      <c r="I767" s="328"/>
      <c r="J767" s="328"/>
      <c r="K767" s="328"/>
      <c r="L767" s="231">
        <v>18.456197956401901</v>
      </c>
      <c r="M767" s="328">
        <v>2.953844662244868</v>
      </c>
      <c r="N767" s="328">
        <v>0.70446546605967186</v>
      </c>
      <c r="O767" s="328">
        <v>1.427026189626115E-2</v>
      </c>
      <c r="P767" s="328">
        <v>0.483108068567696</v>
      </c>
    </row>
    <row r="768" spans="2:16" ht="18" customHeight="1">
      <c r="B768" s="284"/>
      <c r="C768" s="311"/>
      <c r="D768" s="312"/>
      <c r="E768" s="289"/>
      <c r="F768" s="79">
        <v>3</v>
      </c>
      <c r="G768" s="178" t="s">
        <v>107</v>
      </c>
      <c r="H768" s="231">
        <v>59.218451803218485</v>
      </c>
      <c r="I768" s="328"/>
      <c r="J768" s="328"/>
      <c r="K768" s="328"/>
      <c r="L768" s="231">
        <v>58.941655546386023</v>
      </c>
      <c r="M768" s="328">
        <v>2.953844662244868</v>
      </c>
      <c r="N768" s="328">
        <v>0.70446546605967186</v>
      </c>
      <c r="O768" s="328">
        <v>1.427026189626115E-2</v>
      </c>
      <c r="P768" s="328">
        <v>0.483108068567696</v>
      </c>
    </row>
    <row r="769" spans="2:16" ht="18" customHeight="1">
      <c r="B769" s="286"/>
      <c r="C769" s="313"/>
      <c r="D769" s="314"/>
      <c r="E769" s="288"/>
      <c r="F769" s="82">
        <v>4</v>
      </c>
      <c r="G769" s="180" t="s">
        <v>108</v>
      </c>
      <c r="H769" s="232">
        <v>21.229572021372103</v>
      </c>
      <c r="I769" s="329"/>
      <c r="J769" s="329"/>
      <c r="K769" s="329"/>
      <c r="L769" s="232">
        <v>19.681652391770836</v>
      </c>
      <c r="M769" s="329">
        <v>2.953844662244868</v>
      </c>
      <c r="N769" s="329">
        <v>0.70446546605967186</v>
      </c>
      <c r="O769" s="329">
        <v>1.427026189626115E-2</v>
      </c>
      <c r="P769" s="329">
        <v>0.483108068567696</v>
      </c>
    </row>
    <row r="770" spans="2:16" ht="18" customHeight="1">
      <c r="B770" s="282" t="s">
        <v>239</v>
      </c>
      <c r="C770" s="309" t="s">
        <v>240</v>
      </c>
      <c r="D770" s="310"/>
      <c r="E770" s="287" t="str">
        <f>HYPERLINK("#LAYOUT_e4!lay초YPSY7A01","YPSY7A01")</f>
        <v>YPSY7A01</v>
      </c>
      <c r="F770" s="78">
        <v>1</v>
      </c>
      <c r="G770" s="179" t="s">
        <v>105</v>
      </c>
      <c r="H770" s="230">
        <v>19.656217166175672</v>
      </c>
      <c r="I770" s="327">
        <v>2.2595666962878376</v>
      </c>
      <c r="J770" s="327">
        <v>1.6340305195366698E-2</v>
      </c>
      <c r="K770" s="327">
        <v>0.72316100348848356</v>
      </c>
      <c r="L770" s="230">
        <v>14.401632739036502</v>
      </c>
      <c r="M770" s="327">
        <v>2.3419963098759125</v>
      </c>
      <c r="N770" s="327">
        <v>0.77653880120450447</v>
      </c>
      <c r="O770" s="327">
        <v>1.5730241721825303E-2</v>
      </c>
      <c r="P770" s="327">
        <v>0.67165954341997847</v>
      </c>
    </row>
    <row r="771" spans="2:16" ht="18" customHeight="1">
      <c r="B771" s="284"/>
      <c r="C771" s="311"/>
      <c r="D771" s="312"/>
      <c r="E771" s="289"/>
      <c r="F771" s="79">
        <v>2</v>
      </c>
      <c r="G771" s="178" t="s">
        <v>106</v>
      </c>
      <c r="H771" s="231">
        <v>40.255913825652449</v>
      </c>
      <c r="I771" s="328"/>
      <c r="J771" s="328"/>
      <c r="K771" s="328"/>
      <c r="L771" s="231">
        <v>41.481982563516425</v>
      </c>
      <c r="M771" s="328">
        <v>2.3419963098759125</v>
      </c>
      <c r="N771" s="328">
        <v>0.77653880120450447</v>
      </c>
      <c r="O771" s="328">
        <v>1.5730241721825303E-2</v>
      </c>
      <c r="P771" s="328">
        <v>0.67165954341997847</v>
      </c>
    </row>
    <row r="772" spans="2:16" ht="18" customHeight="1">
      <c r="B772" s="284"/>
      <c r="C772" s="311"/>
      <c r="D772" s="312"/>
      <c r="E772" s="289"/>
      <c r="F772" s="79">
        <v>3</v>
      </c>
      <c r="G772" s="178" t="s">
        <v>107</v>
      </c>
      <c r="H772" s="231">
        <v>34.562851221382452</v>
      </c>
      <c r="I772" s="328"/>
      <c r="J772" s="328"/>
      <c r="K772" s="328"/>
      <c r="L772" s="231">
        <v>39.631505668267096</v>
      </c>
      <c r="M772" s="328">
        <v>2.3419963098759125</v>
      </c>
      <c r="N772" s="328">
        <v>0.77653880120450447</v>
      </c>
      <c r="O772" s="328">
        <v>1.5730241721825303E-2</v>
      </c>
      <c r="P772" s="328">
        <v>0.67165954341997847</v>
      </c>
    </row>
    <row r="773" spans="2:16" ht="18" customHeight="1">
      <c r="B773" s="284"/>
      <c r="C773" s="313"/>
      <c r="D773" s="314"/>
      <c r="E773" s="288"/>
      <c r="F773" s="82">
        <v>4</v>
      </c>
      <c r="G773" s="180" t="s">
        <v>108</v>
      </c>
      <c r="H773" s="232">
        <v>5.525017786789415</v>
      </c>
      <c r="I773" s="329"/>
      <c r="J773" s="329"/>
      <c r="K773" s="329"/>
      <c r="L773" s="232">
        <v>4.4848790291799752</v>
      </c>
      <c r="M773" s="329">
        <v>2.3419963098759125</v>
      </c>
      <c r="N773" s="329">
        <v>0.77653880120450447</v>
      </c>
      <c r="O773" s="329">
        <v>1.5730241721825303E-2</v>
      </c>
      <c r="P773" s="329">
        <v>0.67165954341997847</v>
      </c>
    </row>
    <row r="774" spans="2:16" ht="18" customHeight="1">
      <c r="B774" s="284"/>
      <c r="C774" s="309" t="s">
        <v>1606</v>
      </c>
      <c r="D774" s="310"/>
      <c r="E774" s="287" t="str">
        <f>HYPERLINK("#LAYOUT_e4!lay초YPSY7A02","YPSY7A02")</f>
        <v>YPSY7A02</v>
      </c>
      <c r="F774" s="78">
        <v>1</v>
      </c>
      <c r="G774" s="179" t="s">
        <v>105</v>
      </c>
      <c r="H774" s="230">
        <v>6.6082202737280307</v>
      </c>
      <c r="I774" s="327">
        <v>2.8746031049971199</v>
      </c>
      <c r="J774" s="327">
        <v>1.56604763864251E-2</v>
      </c>
      <c r="K774" s="327">
        <v>0.54478743027868481</v>
      </c>
      <c r="L774" s="230">
        <v>5.0056856946262416</v>
      </c>
      <c r="M774" s="327">
        <v>2.8215153693146142</v>
      </c>
      <c r="N774" s="327">
        <v>0.74300928116907772</v>
      </c>
      <c r="O774" s="327">
        <v>1.5051038758424186E-2</v>
      </c>
      <c r="P774" s="327">
        <v>0.53343812768527588</v>
      </c>
    </row>
    <row r="775" spans="2:16" ht="18" customHeight="1">
      <c r="B775" s="284"/>
      <c r="C775" s="311"/>
      <c r="D775" s="312"/>
      <c r="E775" s="289"/>
      <c r="F775" s="79">
        <v>2</v>
      </c>
      <c r="G775" s="178" t="s">
        <v>106</v>
      </c>
      <c r="H775" s="231">
        <v>19.187545833442819</v>
      </c>
      <c r="I775" s="328"/>
      <c r="J775" s="328"/>
      <c r="K775" s="328"/>
      <c r="L775" s="231">
        <v>23.091825526720122</v>
      </c>
      <c r="M775" s="328">
        <v>2.8215153693146142</v>
      </c>
      <c r="N775" s="328">
        <v>0.74300928116907772</v>
      </c>
      <c r="O775" s="328">
        <v>1.5051038758424186E-2</v>
      </c>
      <c r="P775" s="328">
        <v>0.53343812768527588</v>
      </c>
    </row>
    <row r="776" spans="2:16" ht="18" customHeight="1">
      <c r="B776" s="284"/>
      <c r="C776" s="311"/>
      <c r="D776" s="312"/>
      <c r="E776" s="289"/>
      <c r="F776" s="79">
        <v>3</v>
      </c>
      <c r="G776" s="178" t="s">
        <v>107</v>
      </c>
      <c r="H776" s="231">
        <v>54.339937012215429</v>
      </c>
      <c r="I776" s="328"/>
      <c r="J776" s="328"/>
      <c r="K776" s="328"/>
      <c r="L776" s="231">
        <v>56.647754931220398</v>
      </c>
      <c r="M776" s="328">
        <v>2.8215153693146142</v>
      </c>
      <c r="N776" s="328">
        <v>0.74300928116907772</v>
      </c>
      <c r="O776" s="328">
        <v>1.5051038758424186E-2</v>
      </c>
      <c r="P776" s="328">
        <v>0.53343812768527588</v>
      </c>
    </row>
    <row r="777" spans="2:16" ht="18" customHeight="1">
      <c r="B777" s="284"/>
      <c r="C777" s="313"/>
      <c r="D777" s="314"/>
      <c r="E777" s="288"/>
      <c r="F777" s="82">
        <v>4</v>
      </c>
      <c r="G777" s="180" t="s">
        <v>108</v>
      </c>
      <c r="H777" s="232">
        <v>19.864296880613704</v>
      </c>
      <c r="I777" s="329"/>
      <c r="J777" s="329"/>
      <c r="K777" s="329"/>
      <c r="L777" s="232">
        <v>15.254733847433229</v>
      </c>
      <c r="M777" s="329">
        <v>2.8215153693146142</v>
      </c>
      <c r="N777" s="329">
        <v>0.74300928116907772</v>
      </c>
      <c r="O777" s="329">
        <v>1.5051038758424186E-2</v>
      </c>
      <c r="P777" s="329">
        <v>0.53343812768527588</v>
      </c>
    </row>
    <row r="778" spans="2:16" ht="18" customHeight="1">
      <c r="B778" s="284"/>
      <c r="C778" s="309" t="s">
        <v>241</v>
      </c>
      <c r="D778" s="310"/>
      <c r="E778" s="287" t="str">
        <f>HYPERLINK("#LAYOUT_e4!lay초YPSY7A03","YPSY7A03")</f>
        <v>YPSY7A03</v>
      </c>
      <c r="F778" s="78">
        <v>1</v>
      </c>
      <c r="G778" s="179" t="s">
        <v>105</v>
      </c>
      <c r="H778" s="230">
        <v>25.319343179137519</v>
      </c>
      <c r="I778" s="327">
        <v>2.1027158653170779</v>
      </c>
      <c r="J778" s="327">
        <v>1.6022531386889798E-2</v>
      </c>
      <c r="K778" s="327">
        <v>0.76199222401709032</v>
      </c>
      <c r="L778" s="230">
        <v>16.629722910966724</v>
      </c>
      <c r="M778" s="327">
        <v>2.2504770221574368</v>
      </c>
      <c r="N778" s="327">
        <v>0.78300287806464364</v>
      </c>
      <c r="O778" s="327">
        <v>1.5861183654618263E-2</v>
      </c>
      <c r="P778" s="327">
        <v>0.70479207290074097</v>
      </c>
    </row>
    <row r="779" spans="2:16" ht="18" customHeight="1">
      <c r="B779" s="284"/>
      <c r="C779" s="311"/>
      <c r="D779" s="312"/>
      <c r="E779" s="289"/>
      <c r="F779" s="79">
        <v>2</v>
      </c>
      <c r="G779" s="178" t="s">
        <v>106</v>
      </c>
      <c r="H779" s="231">
        <v>42.612931133731649</v>
      </c>
      <c r="I779" s="328"/>
      <c r="J779" s="328"/>
      <c r="K779" s="328"/>
      <c r="L779" s="231">
        <v>46.318311370457636</v>
      </c>
      <c r="M779" s="328">
        <v>2.2504770221574368</v>
      </c>
      <c r="N779" s="328">
        <v>0.78300287806464364</v>
      </c>
      <c r="O779" s="328">
        <v>1.5861183654618263E-2</v>
      </c>
      <c r="P779" s="328">
        <v>0.70479207290074097</v>
      </c>
    </row>
    <row r="780" spans="2:16" ht="18" customHeight="1">
      <c r="B780" s="284"/>
      <c r="C780" s="311"/>
      <c r="D780" s="312"/>
      <c r="E780" s="289"/>
      <c r="F780" s="79">
        <v>3</v>
      </c>
      <c r="G780" s="178" t="s">
        <v>107</v>
      </c>
      <c r="H780" s="231">
        <v>28.544521663414571</v>
      </c>
      <c r="I780" s="328"/>
      <c r="J780" s="328"/>
      <c r="K780" s="328"/>
      <c r="L780" s="231">
        <v>32.426506310441717</v>
      </c>
      <c r="M780" s="328">
        <v>2.2504770221574368</v>
      </c>
      <c r="N780" s="328">
        <v>0.78300287806464364</v>
      </c>
      <c r="O780" s="328">
        <v>1.5861183654618263E-2</v>
      </c>
      <c r="P780" s="328">
        <v>0.70479207290074097</v>
      </c>
    </row>
    <row r="781" spans="2:16" ht="18" customHeight="1">
      <c r="B781" s="284"/>
      <c r="C781" s="313"/>
      <c r="D781" s="314"/>
      <c r="E781" s="288"/>
      <c r="F781" s="82">
        <v>4</v>
      </c>
      <c r="G781" s="180" t="s">
        <v>108</v>
      </c>
      <c r="H781" s="232">
        <v>3.5232040237162652</v>
      </c>
      <c r="I781" s="329"/>
      <c r="J781" s="329"/>
      <c r="K781" s="329"/>
      <c r="L781" s="232">
        <v>4.6254594081339455</v>
      </c>
      <c r="M781" s="329">
        <v>2.2504770221574368</v>
      </c>
      <c r="N781" s="329">
        <v>0.78300287806464364</v>
      </c>
      <c r="O781" s="329">
        <v>1.5861183654618263E-2</v>
      </c>
      <c r="P781" s="329">
        <v>0.70479207290074097</v>
      </c>
    </row>
    <row r="782" spans="2:16" ht="18" customHeight="1">
      <c r="B782" s="284"/>
      <c r="C782" s="309" t="s">
        <v>242</v>
      </c>
      <c r="D782" s="310"/>
      <c r="E782" s="287" t="str">
        <f>HYPERLINK("#LAYOUT_e4!lay초YPSY7A04","YPSY7A04")</f>
        <v>YPSY7A04</v>
      </c>
      <c r="F782" s="78">
        <v>1</v>
      </c>
      <c r="G782" s="179" t="s">
        <v>105</v>
      </c>
      <c r="H782" s="230">
        <v>3.5088655946122631</v>
      </c>
      <c r="I782" s="327">
        <v>2.9380794328753899</v>
      </c>
      <c r="J782" s="327">
        <v>1.4818206869951821E-2</v>
      </c>
      <c r="K782" s="327">
        <v>0.50435011062481017</v>
      </c>
      <c r="L782" s="230">
        <v>4.32593197866324</v>
      </c>
      <c r="M782" s="327">
        <v>2.83131731083833</v>
      </c>
      <c r="N782" s="327">
        <v>0.74804804127026614</v>
      </c>
      <c r="O782" s="327">
        <v>1.5153108241941356E-2</v>
      </c>
      <c r="P782" s="327">
        <v>0.53519639723654411</v>
      </c>
    </row>
    <row r="783" spans="2:16" ht="18" customHeight="1">
      <c r="B783" s="284"/>
      <c r="C783" s="311"/>
      <c r="D783" s="312"/>
      <c r="E783" s="289"/>
      <c r="F783" s="79">
        <v>2</v>
      </c>
      <c r="G783" s="178" t="s">
        <v>106</v>
      </c>
      <c r="H783" s="231">
        <v>21.372316309785937</v>
      </c>
      <c r="I783" s="328"/>
      <c r="J783" s="328"/>
      <c r="K783" s="328"/>
      <c r="L783" s="231">
        <v>24.846343771179356</v>
      </c>
      <c r="M783" s="328">
        <v>2.83131731083833</v>
      </c>
      <c r="N783" s="328">
        <v>0.74804804127026614</v>
      </c>
      <c r="O783" s="328">
        <v>1.5153108241941356E-2</v>
      </c>
      <c r="P783" s="328">
        <v>0.53519639723654411</v>
      </c>
    </row>
    <row r="784" spans="2:16" ht="18" customHeight="1">
      <c r="B784" s="284"/>
      <c r="C784" s="311"/>
      <c r="D784" s="312"/>
      <c r="E784" s="289"/>
      <c r="F784" s="79">
        <v>3</v>
      </c>
      <c r="G784" s="178" t="s">
        <v>107</v>
      </c>
      <c r="H784" s="231">
        <v>52.920827309049756</v>
      </c>
      <c r="I784" s="328"/>
      <c r="J784" s="328"/>
      <c r="K784" s="328"/>
      <c r="L784" s="231">
        <v>54.197785437819249</v>
      </c>
      <c r="M784" s="328">
        <v>2.83131731083833</v>
      </c>
      <c r="N784" s="328">
        <v>0.74804804127026614</v>
      </c>
      <c r="O784" s="328">
        <v>1.5153108241941356E-2</v>
      </c>
      <c r="P784" s="328">
        <v>0.53519639723654411</v>
      </c>
    </row>
    <row r="785" spans="2:16" ht="18" customHeight="1">
      <c r="B785" s="284"/>
      <c r="C785" s="313"/>
      <c r="D785" s="314"/>
      <c r="E785" s="288"/>
      <c r="F785" s="82">
        <v>4</v>
      </c>
      <c r="G785" s="180" t="s">
        <v>108</v>
      </c>
      <c r="H785" s="232">
        <v>22.197990786552058</v>
      </c>
      <c r="I785" s="329"/>
      <c r="J785" s="329"/>
      <c r="K785" s="329"/>
      <c r="L785" s="232">
        <v>16.62993881233815</v>
      </c>
      <c r="M785" s="329">
        <v>2.83131731083833</v>
      </c>
      <c r="N785" s="329">
        <v>0.74804804127026614</v>
      </c>
      <c r="O785" s="329">
        <v>1.5153108241941356E-2</v>
      </c>
      <c r="P785" s="329">
        <v>0.53519639723654411</v>
      </c>
    </row>
    <row r="786" spans="2:16" ht="18" customHeight="1">
      <c r="B786" s="284"/>
      <c r="C786" s="309" t="s">
        <v>243</v>
      </c>
      <c r="D786" s="310"/>
      <c r="E786" s="287" t="str">
        <f>HYPERLINK("#LAYOUT_e4!lay초YPSY7A05","YPSY7A05")</f>
        <v>YPSY7A05</v>
      </c>
      <c r="F786" s="78">
        <v>1</v>
      </c>
      <c r="G786" s="179" t="s">
        <v>105</v>
      </c>
      <c r="H786" s="230">
        <v>14.677513484734659</v>
      </c>
      <c r="I786" s="327">
        <v>2.3064927662963104</v>
      </c>
      <c r="J786" s="327">
        <v>1.5473408053406969E-2</v>
      </c>
      <c r="K786" s="327">
        <v>0.67086306445494082</v>
      </c>
      <c r="L786" s="230">
        <v>10.22509326509811</v>
      </c>
      <c r="M786" s="327">
        <v>2.3945057557017422</v>
      </c>
      <c r="N786" s="327">
        <v>0.74772771724017206</v>
      </c>
      <c r="O786" s="327">
        <v>1.5146619481283324E-2</v>
      </c>
      <c r="P786" s="327">
        <v>0.63255723838694244</v>
      </c>
    </row>
    <row r="787" spans="2:16" ht="18" customHeight="1">
      <c r="B787" s="284"/>
      <c r="C787" s="311"/>
      <c r="D787" s="312"/>
      <c r="E787" s="289"/>
      <c r="F787" s="79">
        <v>2</v>
      </c>
      <c r="G787" s="178" t="s">
        <v>106</v>
      </c>
      <c r="H787" s="231">
        <v>45.887689680322943</v>
      </c>
      <c r="I787" s="328"/>
      <c r="J787" s="328"/>
      <c r="K787" s="328"/>
      <c r="L787" s="231">
        <v>45.87396236590947</v>
      </c>
      <c r="M787" s="328">
        <v>2.3945057557017422</v>
      </c>
      <c r="N787" s="328">
        <v>0.74772771724017206</v>
      </c>
      <c r="O787" s="328">
        <v>1.5146619481283324E-2</v>
      </c>
      <c r="P787" s="328">
        <v>0.63255723838694244</v>
      </c>
    </row>
    <row r="788" spans="2:16" ht="18" customHeight="1">
      <c r="B788" s="284"/>
      <c r="C788" s="311"/>
      <c r="D788" s="312"/>
      <c r="E788" s="289"/>
      <c r="F788" s="79">
        <v>3</v>
      </c>
      <c r="G788" s="178" t="s">
        <v>107</v>
      </c>
      <c r="H788" s="231">
        <v>33.542803555517033</v>
      </c>
      <c r="I788" s="328"/>
      <c r="J788" s="328"/>
      <c r="K788" s="328"/>
      <c r="L788" s="231">
        <v>38.126219902713075</v>
      </c>
      <c r="M788" s="328">
        <v>2.3945057557017422</v>
      </c>
      <c r="N788" s="328">
        <v>0.74772771724017206</v>
      </c>
      <c r="O788" s="328">
        <v>1.5146619481283324E-2</v>
      </c>
      <c r="P788" s="328">
        <v>0.63255723838694244</v>
      </c>
    </row>
    <row r="789" spans="2:16" ht="18" customHeight="1">
      <c r="B789" s="284"/>
      <c r="C789" s="313"/>
      <c r="D789" s="314"/>
      <c r="E789" s="288"/>
      <c r="F789" s="82">
        <v>4</v>
      </c>
      <c r="G789" s="180" t="s">
        <v>108</v>
      </c>
      <c r="H789" s="232">
        <v>5.8919932794253649</v>
      </c>
      <c r="I789" s="329"/>
      <c r="J789" s="329"/>
      <c r="K789" s="329"/>
      <c r="L789" s="232">
        <v>5.7747244662793511</v>
      </c>
      <c r="M789" s="329">
        <v>2.3945057557017422</v>
      </c>
      <c r="N789" s="329">
        <v>0.74772771724017206</v>
      </c>
      <c r="O789" s="329">
        <v>1.5146619481283324E-2</v>
      </c>
      <c r="P789" s="329">
        <v>0.63255723838694244</v>
      </c>
    </row>
    <row r="790" spans="2:16" ht="18" customHeight="1">
      <c r="B790" s="284"/>
      <c r="C790" s="309" t="s">
        <v>244</v>
      </c>
      <c r="D790" s="310"/>
      <c r="E790" s="287" t="str">
        <f>HYPERLINK("#LAYOUT_e4!lay초YPSY7A06","YPSY7A06")</f>
        <v>YPSY7A06</v>
      </c>
      <c r="F790" s="78">
        <v>1</v>
      </c>
      <c r="G790" s="179" t="s">
        <v>105</v>
      </c>
      <c r="H790" s="230">
        <v>27.344038749542456</v>
      </c>
      <c r="I790" s="327">
        <v>2.0707421126262182</v>
      </c>
      <c r="J790" s="327">
        <v>1.6229557138179185E-2</v>
      </c>
      <c r="K790" s="327">
        <v>0.78375559366955905</v>
      </c>
      <c r="L790" s="230">
        <v>16.84804098133743</v>
      </c>
      <c r="M790" s="327">
        <v>2.231318455316845</v>
      </c>
      <c r="N790" s="327">
        <v>0.76935646830414395</v>
      </c>
      <c r="O790" s="327">
        <v>1.5584750173335972E-2</v>
      </c>
      <c r="P790" s="327">
        <v>0.69845476947498053</v>
      </c>
    </row>
    <row r="791" spans="2:16" ht="18" customHeight="1">
      <c r="B791" s="284"/>
      <c r="C791" s="311"/>
      <c r="D791" s="312"/>
      <c r="E791" s="289"/>
      <c r="F791" s="79">
        <v>2</v>
      </c>
      <c r="G791" s="178" t="s">
        <v>106</v>
      </c>
      <c r="H791" s="231">
        <v>41.927616977034127</v>
      </c>
      <c r="I791" s="328"/>
      <c r="J791" s="328"/>
      <c r="K791" s="328"/>
      <c r="L791" s="231">
        <v>47.016844691143049</v>
      </c>
      <c r="M791" s="328">
        <v>2.231318455316845</v>
      </c>
      <c r="N791" s="328">
        <v>0.76935646830414395</v>
      </c>
      <c r="O791" s="328">
        <v>1.5584750173335972E-2</v>
      </c>
      <c r="P791" s="328">
        <v>0.69845476947498053</v>
      </c>
    </row>
    <row r="792" spans="2:16" ht="18" customHeight="1">
      <c r="B792" s="284"/>
      <c r="C792" s="311"/>
      <c r="D792" s="312"/>
      <c r="E792" s="289"/>
      <c r="F792" s="79">
        <v>3</v>
      </c>
      <c r="G792" s="178" t="s">
        <v>107</v>
      </c>
      <c r="H792" s="231">
        <v>27.038438534680942</v>
      </c>
      <c r="I792" s="328"/>
      <c r="J792" s="328"/>
      <c r="K792" s="328"/>
      <c r="L792" s="231">
        <v>32.290342142017622</v>
      </c>
      <c r="M792" s="328">
        <v>2.231318455316845</v>
      </c>
      <c r="N792" s="328">
        <v>0.76935646830414395</v>
      </c>
      <c r="O792" s="328">
        <v>1.5584750173335972E-2</v>
      </c>
      <c r="P792" s="328">
        <v>0.69845476947498053</v>
      </c>
    </row>
    <row r="793" spans="2:16" ht="18" customHeight="1">
      <c r="B793" s="284"/>
      <c r="C793" s="313"/>
      <c r="D793" s="314"/>
      <c r="E793" s="288"/>
      <c r="F793" s="82">
        <v>4</v>
      </c>
      <c r="G793" s="180" t="s">
        <v>108</v>
      </c>
      <c r="H793" s="232">
        <v>3.6899057387424872</v>
      </c>
      <c r="I793" s="329"/>
      <c r="J793" s="329"/>
      <c r="K793" s="329"/>
      <c r="L793" s="232">
        <v>3.8447721855019212</v>
      </c>
      <c r="M793" s="329">
        <v>2.231318455316845</v>
      </c>
      <c r="N793" s="329">
        <v>0.76935646830414395</v>
      </c>
      <c r="O793" s="329">
        <v>1.5584750173335972E-2</v>
      </c>
      <c r="P793" s="329">
        <v>0.69845476947498053</v>
      </c>
    </row>
    <row r="794" spans="2:16" ht="18" customHeight="1">
      <c r="B794" s="284"/>
      <c r="C794" s="309" t="s">
        <v>245</v>
      </c>
      <c r="D794" s="310"/>
      <c r="E794" s="287" t="str">
        <f>HYPERLINK("#LAYOUT_e4!lay초YPSY7A07","YPSY7A07")</f>
        <v>YPSY7A07</v>
      </c>
      <c r="F794" s="78">
        <v>1</v>
      </c>
      <c r="G794" s="179" t="s">
        <v>105</v>
      </c>
      <c r="H794" s="230">
        <v>3.3731844751472679</v>
      </c>
      <c r="I794" s="327">
        <v>2.8678039693515691</v>
      </c>
      <c r="J794" s="327">
        <v>1.5788689867741085E-2</v>
      </c>
      <c r="K794" s="327">
        <v>0.55054982964233123</v>
      </c>
      <c r="L794" s="230">
        <v>4.718310937904544</v>
      </c>
      <c r="M794" s="327">
        <v>2.732154721593008</v>
      </c>
      <c r="N794" s="327">
        <v>0.77678092235872842</v>
      </c>
      <c r="O794" s="327">
        <v>1.5735146337378322E-2</v>
      </c>
      <c r="P794" s="327">
        <v>0.57592442378972553</v>
      </c>
    </row>
    <row r="795" spans="2:16" ht="18" customHeight="1">
      <c r="B795" s="284"/>
      <c r="C795" s="311"/>
      <c r="D795" s="312"/>
      <c r="E795" s="289"/>
      <c r="F795" s="79">
        <v>2</v>
      </c>
      <c r="G795" s="178" t="s">
        <v>106</v>
      </c>
      <c r="H795" s="231">
        <v>29.845577057422702</v>
      </c>
      <c r="I795" s="328"/>
      <c r="J795" s="328"/>
      <c r="K795" s="328"/>
      <c r="L795" s="231">
        <v>32.981436090393302</v>
      </c>
      <c r="M795" s="328">
        <v>2.732154721593008</v>
      </c>
      <c r="N795" s="328">
        <v>0.77678092235872842</v>
      </c>
      <c r="O795" s="328">
        <v>1.5735146337378322E-2</v>
      </c>
      <c r="P795" s="328">
        <v>0.57592442378972553</v>
      </c>
    </row>
    <row r="796" spans="2:16" ht="18" customHeight="1">
      <c r="B796" s="284"/>
      <c r="C796" s="311"/>
      <c r="D796" s="312"/>
      <c r="E796" s="289"/>
      <c r="F796" s="79">
        <v>3</v>
      </c>
      <c r="G796" s="178" t="s">
        <v>107</v>
      </c>
      <c r="H796" s="231">
        <v>43.408895524553074</v>
      </c>
      <c r="I796" s="328"/>
      <c r="J796" s="328"/>
      <c r="K796" s="328"/>
      <c r="L796" s="231">
        <v>46.666722846199562</v>
      </c>
      <c r="M796" s="328">
        <v>2.732154721593008</v>
      </c>
      <c r="N796" s="328">
        <v>0.77678092235872842</v>
      </c>
      <c r="O796" s="328">
        <v>1.5735146337378322E-2</v>
      </c>
      <c r="P796" s="328">
        <v>0.57592442378972553</v>
      </c>
    </row>
    <row r="797" spans="2:16" ht="18" customHeight="1">
      <c r="B797" s="284"/>
      <c r="C797" s="313"/>
      <c r="D797" s="314"/>
      <c r="E797" s="288"/>
      <c r="F797" s="82">
        <v>4</v>
      </c>
      <c r="G797" s="180" t="s">
        <v>108</v>
      </c>
      <c r="H797" s="232">
        <v>23.372342942876969</v>
      </c>
      <c r="I797" s="329"/>
      <c r="J797" s="329"/>
      <c r="K797" s="329"/>
      <c r="L797" s="232">
        <v>15.633530125502579</v>
      </c>
      <c r="M797" s="329">
        <v>2.732154721593008</v>
      </c>
      <c r="N797" s="329">
        <v>0.77678092235872842</v>
      </c>
      <c r="O797" s="329">
        <v>1.5735146337378322E-2</v>
      </c>
      <c r="P797" s="329">
        <v>0.57592442378972553</v>
      </c>
    </row>
    <row r="798" spans="2:16" ht="18" customHeight="1">
      <c r="B798" s="284"/>
      <c r="C798" s="309" t="s">
        <v>246</v>
      </c>
      <c r="D798" s="310"/>
      <c r="E798" s="287" t="str">
        <f>HYPERLINK("#LAYOUT_e4!lay초YPSY7A08","YPSY7A08")</f>
        <v>YPSY7A08</v>
      </c>
      <c r="F798" s="78">
        <v>1</v>
      </c>
      <c r="G798" s="179" t="s">
        <v>105</v>
      </c>
      <c r="H798" s="230">
        <v>4.2727605439281247</v>
      </c>
      <c r="I798" s="327">
        <v>2.7815664941389842</v>
      </c>
      <c r="J798" s="327">
        <v>1.491130294279275E-2</v>
      </c>
      <c r="K798" s="327">
        <v>0.53607573193782088</v>
      </c>
      <c r="L798" s="230">
        <v>4.5903860957118923</v>
      </c>
      <c r="M798" s="327">
        <v>2.68784308681618</v>
      </c>
      <c r="N798" s="327">
        <v>0.72560699870212197</v>
      </c>
      <c r="O798" s="327">
        <v>1.4698523070486778E-2</v>
      </c>
      <c r="P798" s="327">
        <v>0.54685197743063052</v>
      </c>
    </row>
    <row r="799" spans="2:16" ht="18" customHeight="1">
      <c r="B799" s="284"/>
      <c r="C799" s="311"/>
      <c r="D799" s="312"/>
      <c r="E799" s="289"/>
      <c r="F799" s="79">
        <v>2</v>
      </c>
      <c r="G799" s="178" t="s">
        <v>106</v>
      </c>
      <c r="H799" s="231">
        <v>29.460861780763398</v>
      </c>
      <c r="I799" s="328"/>
      <c r="J799" s="328"/>
      <c r="K799" s="328"/>
      <c r="L799" s="231">
        <v>33.023257793730551</v>
      </c>
      <c r="M799" s="328">
        <v>2.68784308681618</v>
      </c>
      <c r="N799" s="328">
        <v>0.72560699870212197</v>
      </c>
      <c r="O799" s="328">
        <v>1.4698523070486778E-2</v>
      </c>
      <c r="P799" s="328">
        <v>0.54685197743063052</v>
      </c>
    </row>
    <row r="800" spans="2:16" ht="18" customHeight="1">
      <c r="B800" s="284"/>
      <c r="C800" s="311"/>
      <c r="D800" s="312"/>
      <c r="E800" s="289"/>
      <c r="F800" s="79">
        <v>3</v>
      </c>
      <c r="G800" s="178" t="s">
        <v>107</v>
      </c>
      <c r="H800" s="231">
        <v>50.103345392787901</v>
      </c>
      <c r="I800" s="328"/>
      <c r="J800" s="328"/>
      <c r="K800" s="328"/>
      <c r="L800" s="231">
        <v>51.398017443785591</v>
      </c>
      <c r="M800" s="328">
        <v>2.68784308681618</v>
      </c>
      <c r="N800" s="328">
        <v>0.72560699870212197</v>
      </c>
      <c r="O800" s="328">
        <v>1.4698523070486778E-2</v>
      </c>
      <c r="P800" s="328">
        <v>0.54685197743063052</v>
      </c>
    </row>
    <row r="801" spans="2:16" ht="18" customHeight="1">
      <c r="B801" s="286"/>
      <c r="C801" s="313"/>
      <c r="D801" s="314"/>
      <c r="E801" s="288"/>
      <c r="F801" s="79">
        <v>4</v>
      </c>
      <c r="G801" s="178" t="s">
        <v>108</v>
      </c>
      <c r="H801" s="231">
        <v>16.163032282520579</v>
      </c>
      <c r="I801" s="329"/>
      <c r="J801" s="329"/>
      <c r="K801" s="329"/>
      <c r="L801" s="231">
        <v>10.988338666771975</v>
      </c>
      <c r="M801" s="329">
        <v>2.68784308681618</v>
      </c>
      <c r="N801" s="329">
        <v>0.72560699870212197</v>
      </c>
      <c r="O801" s="329">
        <v>1.4698523070486778E-2</v>
      </c>
      <c r="P801" s="329">
        <v>0.54685197743063052</v>
      </c>
    </row>
    <row r="802" spans="2:16" ht="18" customHeight="1">
      <c r="B802" s="282" t="s">
        <v>247</v>
      </c>
      <c r="C802" s="320" t="s">
        <v>248</v>
      </c>
      <c r="D802" s="282"/>
      <c r="E802" s="198" t="str">
        <f>HYPERLINK("#LAYOUT_e4!lay초YFAM1A01","YFAM1A01")</f>
        <v>YFAM1A01</v>
      </c>
      <c r="F802" s="78" t="s">
        <v>0</v>
      </c>
      <c r="G802" s="179" t="s">
        <v>249</v>
      </c>
      <c r="H802" s="230" t="s">
        <v>1808</v>
      </c>
      <c r="I802" s="238"/>
      <c r="J802" s="238"/>
      <c r="K802" s="238"/>
      <c r="L802" s="230" t="s">
        <v>1</v>
      </c>
      <c r="M802" s="244"/>
      <c r="N802" s="244"/>
      <c r="O802" s="244"/>
      <c r="P802" s="244"/>
    </row>
    <row r="803" spans="2:16" ht="18" customHeight="1">
      <c r="B803" s="284"/>
      <c r="C803" s="321"/>
      <c r="D803" s="286"/>
      <c r="E803" s="201" t="str">
        <f>HYPERLINK("#LAYOUT_e4!lay초YFAM1A02","YFAM1A02")</f>
        <v>YFAM1A02</v>
      </c>
      <c r="F803" s="82" t="s">
        <v>0</v>
      </c>
      <c r="G803" s="180" t="s">
        <v>53</v>
      </c>
      <c r="H803" s="232" t="s">
        <v>1809</v>
      </c>
      <c r="I803" s="239"/>
      <c r="J803" s="239"/>
      <c r="K803" s="239"/>
      <c r="L803" s="232" t="s">
        <v>1</v>
      </c>
      <c r="M803" s="245"/>
      <c r="N803" s="245"/>
      <c r="O803" s="245"/>
      <c r="P803" s="245"/>
    </row>
    <row r="804" spans="2:16" ht="18" customHeight="1">
      <c r="B804" s="284"/>
      <c r="C804" s="320" t="s">
        <v>250</v>
      </c>
      <c r="D804" s="282"/>
      <c r="E804" s="198" t="str">
        <f>HYPERLINK("#LAYOUT_e4!lay초YFAM1A03","YFAM1A03")</f>
        <v>YFAM1A03</v>
      </c>
      <c r="F804" s="78" t="s">
        <v>0</v>
      </c>
      <c r="G804" s="179" t="s">
        <v>249</v>
      </c>
      <c r="H804" s="230" t="s">
        <v>1809</v>
      </c>
      <c r="I804" s="238"/>
      <c r="J804" s="238"/>
      <c r="K804" s="238"/>
      <c r="L804" s="230" t="s">
        <v>1</v>
      </c>
      <c r="M804" s="244"/>
      <c r="N804" s="244"/>
      <c r="O804" s="244"/>
      <c r="P804" s="244"/>
    </row>
    <row r="805" spans="2:16" ht="18" customHeight="1">
      <c r="B805" s="286"/>
      <c r="C805" s="321"/>
      <c r="D805" s="286"/>
      <c r="E805" s="201" t="str">
        <f>HYPERLINK("#LAYOUT_e4!lay초YFAM1A04","YFAM1A04")</f>
        <v>YFAM1A04</v>
      </c>
      <c r="F805" s="82" t="s">
        <v>0</v>
      </c>
      <c r="G805" s="180" t="s">
        <v>53</v>
      </c>
      <c r="H805" s="232" t="s">
        <v>1808</v>
      </c>
      <c r="I805" s="239"/>
      <c r="J805" s="239"/>
      <c r="K805" s="239"/>
      <c r="L805" s="232" t="s">
        <v>1</v>
      </c>
      <c r="M805" s="245"/>
      <c r="N805" s="245"/>
      <c r="O805" s="245"/>
      <c r="P805" s="245"/>
    </row>
    <row r="806" spans="2:16" ht="18" customHeight="1">
      <c r="B806" s="322" t="s">
        <v>1465</v>
      </c>
      <c r="C806" s="322"/>
      <c r="D806" s="323"/>
      <c r="E806" s="197" t="str">
        <f>HYPERLINK("#LAYOUT_e4!lay초YFAM3A00","YFAM3A00")</f>
        <v>YFAM3A00</v>
      </c>
      <c r="F806" s="78" t="s">
        <v>1477</v>
      </c>
      <c r="G806" s="179" t="s">
        <v>1478</v>
      </c>
      <c r="H806" s="233" t="s">
        <v>1811</v>
      </c>
      <c r="I806" s="237"/>
      <c r="J806" s="237"/>
      <c r="K806" s="237"/>
      <c r="L806" s="233" t="s">
        <v>1</v>
      </c>
      <c r="M806" s="237"/>
      <c r="N806" s="237"/>
      <c r="O806" s="237"/>
      <c r="P806" s="237"/>
    </row>
    <row r="807" spans="2:16" ht="18" customHeight="1">
      <c r="B807" s="322" t="s">
        <v>1468</v>
      </c>
      <c r="C807" s="281"/>
      <c r="D807" s="282"/>
      <c r="E807" s="198" t="str">
        <f>HYPERLINK("#LAYOUT_e4!lay초YFAM3B00","YFAM3B00")</f>
        <v>YFAM3B00</v>
      </c>
      <c r="F807" s="78" t="s">
        <v>1</v>
      </c>
      <c r="G807" s="183" t="s">
        <v>1689</v>
      </c>
      <c r="H807" s="233" t="s">
        <v>1818</v>
      </c>
      <c r="I807" s="238"/>
      <c r="J807" s="238"/>
      <c r="K807" s="238"/>
      <c r="L807" s="233" t="s">
        <v>1</v>
      </c>
      <c r="M807" s="244"/>
      <c r="N807" s="244"/>
      <c r="O807" s="244"/>
      <c r="P807" s="244"/>
    </row>
    <row r="808" spans="2:16" ht="18" customHeight="1">
      <c r="B808" s="281" t="s">
        <v>1479</v>
      </c>
      <c r="C808" s="303" t="s">
        <v>1480</v>
      </c>
      <c r="D808" s="303" t="s">
        <v>248</v>
      </c>
      <c r="E808" s="198" t="str">
        <f>HYPERLINK("#LAYOUT_e4!lay초YFAM1B01","YFAM1B01")</f>
        <v>YFAM1B01</v>
      </c>
      <c r="F808" s="78" t="s">
        <v>0</v>
      </c>
      <c r="G808" s="179" t="s">
        <v>1471</v>
      </c>
      <c r="H808" s="233" t="s">
        <v>1</v>
      </c>
      <c r="I808" s="331"/>
      <c r="J808" s="331"/>
      <c r="K808" s="327"/>
      <c r="L808" s="233" t="s">
        <v>1</v>
      </c>
      <c r="M808" s="331"/>
      <c r="N808" s="331"/>
      <c r="O808" s="331"/>
      <c r="P808" s="327"/>
    </row>
    <row r="809" spans="2:16" ht="18" customHeight="1">
      <c r="B809" s="283"/>
      <c r="C809" s="305"/>
      <c r="D809" s="304"/>
      <c r="E809" s="201" t="str">
        <f>HYPERLINK("#LAYOUT_e4!lay초YFAM1B02","YFAM1B02")</f>
        <v>YFAM1B02</v>
      </c>
      <c r="F809" s="82" t="s">
        <v>0</v>
      </c>
      <c r="G809" s="180" t="s">
        <v>1470</v>
      </c>
      <c r="H809" s="235" t="s">
        <v>1811</v>
      </c>
      <c r="I809" s="333"/>
      <c r="J809" s="333"/>
      <c r="K809" s="329"/>
      <c r="L809" s="235" t="s">
        <v>1</v>
      </c>
      <c r="M809" s="333"/>
      <c r="N809" s="333"/>
      <c r="O809" s="333"/>
      <c r="P809" s="329"/>
    </row>
    <row r="810" spans="2:16" ht="18" customHeight="1">
      <c r="B810" s="283"/>
      <c r="C810" s="305"/>
      <c r="D810" s="320" t="s">
        <v>250</v>
      </c>
      <c r="E810" s="198" t="str">
        <f>HYPERLINK("#LAYOUT_e4!lay초YFAM1B03","YFAM1B03")</f>
        <v>YFAM1B03</v>
      </c>
      <c r="F810" s="78" t="s">
        <v>0</v>
      </c>
      <c r="G810" s="179" t="s">
        <v>1471</v>
      </c>
      <c r="H810" s="233" t="s">
        <v>1</v>
      </c>
      <c r="I810" s="331"/>
      <c r="J810" s="331"/>
      <c r="K810" s="327"/>
      <c r="L810" s="233" t="s">
        <v>1</v>
      </c>
      <c r="M810" s="331"/>
      <c r="N810" s="331"/>
      <c r="O810" s="331"/>
      <c r="P810" s="327"/>
    </row>
    <row r="811" spans="2:16" ht="18" customHeight="1">
      <c r="B811" s="283"/>
      <c r="C811" s="304"/>
      <c r="D811" s="321"/>
      <c r="E811" s="201" t="str">
        <f>HYPERLINK("#LAYOUT_e4!lay초YFAM1B04","YFAM1B04")</f>
        <v>YFAM1B04</v>
      </c>
      <c r="F811" s="82" t="s">
        <v>0</v>
      </c>
      <c r="G811" s="180" t="s">
        <v>1470</v>
      </c>
      <c r="H811" s="235" t="s">
        <v>1811</v>
      </c>
      <c r="I811" s="333"/>
      <c r="J811" s="333"/>
      <c r="K811" s="329"/>
      <c r="L811" s="235" t="s">
        <v>1</v>
      </c>
      <c r="M811" s="333"/>
      <c r="N811" s="333"/>
      <c r="O811" s="333"/>
      <c r="P811" s="329"/>
    </row>
    <row r="812" spans="2:16" ht="18" customHeight="1">
      <c r="B812" s="283"/>
      <c r="C812" s="303" t="s">
        <v>1481</v>
      </c>
      <c r="D812" s="320" t="s">
        <v>248</v>
      </c>
      <c r="E812" s="198" t="str">
        <f>HYPERLINK("#LAYOUT_e4!lay초YFAM1C01","YFAM1C01")</f>
        <v>YFAM1C01</v>
      </c>
      <c r="F812" s="78" t="s">
        <v>0</v>
      </c>
      <c r="G812" s="179" t="s">
        <v>1471</v>
      </c>
      <c r="H812" s="233" t="s">
        <v>1</v>
      </c>
      <c r="I812" s="331"/>
      <c r="J812" s="331"/>
      <c r="K812" s="327"/>
      <c r="L812" s="233" t="s">
        <v>1</v>
      </c>
      <c r="M812" s="331"/>
      <c r="N812" s="331"/>
      <c r="O812" s="331"/>
      <c r="P812" s="327"/>
    </row>
    <row r="813" spans="2:16" ht="18" customHeight="1">
      <c r="B813" s="283"/>
      <c r="C813" s="305"/>
      <c r="D813" s="321"/>
      <c r="E813" s="201" t="str">
        <f>HYPERLINK("#LAYOUT_e4!lay초YFAM1C02","YFAM1C02")</f>
        <v>YFAM1C02</v>
      </c>
      <c r="F813" s="82" t="s">
        <v>0</v>
      </c>
      <c r="G813" s="180" t="s">
        <v>1470</v>
      </c>
      <c r="H813" s="235" t="s">
        <v>1811</v>
      </c>
      <c r="I813" s="333"/>
      <c r="J813" s="333"/>
      <c r="K813" s="329"/>
      <c r="L813" s="235" t="s">
        <v>1</v>
      </c>
      <c r="M813" s="333"/>
      <c r="N813" s="333"/>
      <c r="O813" s="333"/>
      <c r="P813" s="329"/>
    </row>
    <row r="814" spans="2:16" ht="18" customHeight="1">
      <c r="B814" s="283"/>
      <c r="C814" s="305"/>
      <c r="D814" s="320" t="s">
        <v>250</v>
      </c>
      <c r="E814" s="198" t="str">
        <f>HYPERLINK("#LAYOUT_e4!lay초YFAM1C03","YFAM1C03")</f>
        <v>YFAM1C03</v>
      </c>
      <c r="F814" s="78" t="s">
        <v>0</v>
      </c>
      <c r="G814" s="179" t="s">
        <v>1471</v>
      </c>
      <c r="H814" s="233" t="s">
        <v>1</v>
      </c>
      <c r="I814" s="331"/>
      <c r="J814" s="331"/>
      <c r="K814" s="327"/>
      <c r="L814" s="233" t="s">
        <v>1</v>
      </c>
      <c r="M814" s="331"/>
      <c r="N814" s="331"/>
      <c r="O814" s="331"/>
      <c r="P814" s="327"/>
    </row>
    <row r="815" spans="2:16" ht="18" customHeight="1">
      <c r="B815" s="283"/>
      <c r="C815" s="304"/>
      <c r="D815" s="321"/>
      <c r="E815" s="201" t="str">
        <f>HYPERLINK("#LAYOUT_e4!lay초YFAM1C04","YFAM1C04")</f>
        <v>YFAM1C04</v>
      </c>
      <c r="F815" s="82" t="s">
        <v>0</v>
      </c>
      <c r="G815" s="180" t="s">
        <v>1470</v>
      </c>
      <c r="H815" s="235" t="s">
        <v>1811</v>
      </c>
      <c r="I815" s="333"/>
      <c r="J815" s="333"/>
      <c r="K815" s="329"/>
      <c r="L815" s="235" t="s">
        <v>1</v>
      </c>
      <c r="M815" s="333"/>
      <c r="N815" s="333"/>
      <c r="O815" s="333"/>
      <c r="P815" s="329"/>
    </row>
    <row r="816" spans="2:16" ht="18" customHeight="1">
      <c r="B816" s="283"/>
      <c r="C816" s="303" t="s">
        <v>1482</v>
      </c>
      <c r="D816" s="320" t="s">
        <v>248</v>
      </c>
      <c r="E816" s="198" t="str">
        <f>HYPERLINK("#LAYOUT_e4!lay초YFAM1D01","YFAM1D01")</f>
        <v>YFAM1D01</v>
      </c>
      <c r="F816" s="78" t="s">
        <v>0</v>
      </c>
      <c r="G816" s="179" t="s">
        <v>1471</v>
      </c>
      <c r="H816" s="233" t="s">
        <v>1</v>
      </c>
      <c r="I816" s="331"/>
      <c r="J816" s="331"/>
      <c r="K816" s="327"/>
      <c r="L816" s="233" t="s">
        <v>1</v>
      </c>
      <c r="M816" s="331"/>
      <c r="N816" s="331"/>
      <c r="O816" s="331"/>
      <c r="P816" s="327"/>
    </row>
    <row r="817" spans="2:16" ht="18" customHeight="1">
      <c r="B817" s="283"/>
      <c r="C817" s="305"/>
      <c r="D817" s="321"/>
      <c r="E817" s="201" t="str">
        <f>HYPERLINK("#LAYOUT_e4!lay초YFAM1D02","YFAM1D02")</f>
        <v>YFAM1D02</v>
      </c>
      <c r="F817" s="82" t="s">
        <v>0</v>
      </c>
      <c r="G817" s="180" t="s">
        <v>1470</v>
      </c>
      <c r="H817" s="235" t="s">
        <v>1811</v>
      </c>
      <c r="I817" s="333"/>
      <c r="J817" s="333"/>
      <c r="K817" s="329"/>
      <c r="L817" s="235" t="s">
        <v>1</v>
      </c>
      <c r="M817" s="333"/>
      <c r="N817" s="333"/>
      <c r="O817" s="333"/>
      <c r="P817" s="329"/>
    </row>
    <row r="818" spans="2:16" ht="18" customHeight="1">
      <c r="B818" s="283"/>
      <c r="C818" s="305"/>
      <c r="D818" s="320" t="s">
        <v>250</v>
      </c>
      <c r="E818" s="198" t="str">
        <f>HYPERLINK("#LAYOUT_e4!lay초YFAM1D03","YFAM1D03")</f>
        <v>YFAM1D03</v>
      </c>
      <c r="F818" s="78" t="s">
        <v>0</v>
      </c>
      <c r="G818" s="179" t="s">
        <v>1471</v>
      </c>
      <c r="H818" s="233" t="s">
        <v>1</v>
      </c>
      <c r="I818" s="331"/>
      <c r="J818" s="331"/>
      <c r="K818" s="327"/>
      <c r="L818" s="233" t="s">
        <v>1</v>
      </c>
      <c r="M818" s="331"/>
      <c r="N818" s="331"/>
      <c r="O818" s="331"/>
      <c r="P818" s="327"/>
    </row>
    <row r="819" spans="2:16" ht="18" customHeight="1">
      <c r="B819" s="283"/>
      <c r="C819" s="304"/>
      <c r="D819" s="321"/>
      <c r="E819" s="201" t="str">
        <f>HYPERLINK("#LAYOUT_e4!lay초YFAM1D04","YFAM1D04")</f>
        <v>YFAM1D04</v>
      </c>
      <c r="F819" s="82" t="s">
        <v>0</v>
      </c>
      <c r="G819" s="180" t="s">
        <v>1470</v>
      </c>
      <c r="H819" s="235" t="s">
        <v>1811</v>
      </c>
      <c r="I819" s="333"/>
      <c r="J819" s="333"/>
      <c r="K819" s="329"/>
      <c r="L819" s="235" t="s">
        <v>1</v>
      </c>
      <c r="M819" s="333"/>
      <c r="N819" s="333"/>
      <c r="O819" s="333"/>
      <c r="P819" s="329"/>
    </row>
    <row r="820" spans="2:16" ht="18" customHeight="1">
      <c r="B820" s="283"/>
      <c r="C820" s="303" t="s">
        <v>1483</v>
      </c>
      <c r="D820" s="320" t="s">
        <v>248</v>
      </c>
      <c r="E820" s="198" t="str">
        <f>HYPERLINK("#LAYOUT_e4!lay초YFAM1E01","YFAM1E01")</f>
        <v>YFAM1E01</v>
      </c>
      <c r="F820" s="78" t="s">
        <v>0</v>
      </c>
      <c r="G820" s="179" t="s">
        <v>1471</v>
      </c>
      <c r="H820" s="233" t="s">
        <v>1</v>
      </c>
      <c r="I820" s="331"/>
      <c r="J820" s="331"/>
      <c r="K820" s="327"/>
      <c r="L820" s="233" t="s">
        <v>1</v>
      </c>
      <c r="M820" s="331"/>
      <c r="N820" s="331"/>
      <c r="O820" s="331"/>
      <c r="P820" s="327"/>
    </row>
    <row r="821" spans="2:16" ht="18" customHeight="1">
      <c r="B821" s="283"/>
      <c r="C821" s="305"/>
      <c r="D821" s="321"/>
      <c r="E821" s="201" t="str">
        <f>HYPERLINK("#LAYOUT_e4!lay초YFAM1E02","YFAM1E02")</f>
        <v>YFAM1E02</v>
      </c>
      <c r="F821" s="82" t="s">
        <v>0</v>
      </c>
      <c r="G821" s="180" t="s">
        <v>1470</v>
      </c>
      <c r="H821" s="235" t="s">
        <v>1811</v>
      </c>
      <c r="I821" s="333"/>
      <c r="J821" s="333"/>
      <c r="K821" s="329"/>
      <c r="L821" s="235" t="s">
        <v>1</v>
      </c>
      <c r="M821" s="333"/>
      <c r="N821" s="333"/>
      <c r="O821" s="333"/>
      <c r="P821" s="329"/>
    </row>
    <row r="822" spans="2:16" ht="18" customHeight="1">
      <c r="B822" s="283"/>
      <c r="C822" s="305"/>
      <c r="D822" s="320" t="s">
        <v>250</v>
      </c>
      <c r="E822" s="198" t="str">
        <f>HYPERLINK("#LAYOUT_e4!lay초YFAM1E03","YFAM1E03")</f>
        <v>YFAM1E03</v>
      </c>
      <c r="F822" s="78" t="s">
        <v>0</v>
      </c>
      <c r="G822" s="179" t="s">
        <v>1471</v>
      </c>
      <c r="H822" s="233" t="s">
        <v>1</v>
      </c>
      <c r="I822" s="331"/>
      <c r="J822" s="331"/>
      <c r="K822" s="327"/>
      <c r="L822" s="233" t="s">
        <v>1</v>
      </c>
      <c r="M822" s="331"/>
      <c r="N822" s="331"/>
      <c r="O822" s="331"/>
      <c r="P822" s="327"/>
    </row>
    <row r="823" spans="2:16" ht="18" customHeight="1">
      <c r="B823" s="283"/>
      <c r="C823" s="304"/>
      <c r="D823" s="321"/>
      <c r="E823" s="201" t="str">
        <f>HYPERLINK("#LAYOUT_e4!lay초YFAM1E04","YFAM1E04")</f>
        <v>YFAM1E04</v>
      </c>
      <c r="F823" s="82" t="s">
        <v>0</v>
      </c>
      <c r="G823" s="180" t="s">
        <v>1470</v>
      </c>
      <c r="H823" s="235" t="s">
        <v>1811</v>
      </c>
      <c r="I823" s="333"/>
      <c r="J823" s="333"/>
      <c r="K823" s="329"/>
      <c r="L823" s="235" t="s">
        <v>1</v>
      </c>
      <c r="M823" s="333"/>
      <c r="N823" s="333"/>
      <c r="O823" s="333"/>
      <c r="P823" s="329"/>
    </row>
    <row r="824" spans="2:16" ht="18" customHeight="1">
      <c r="B824" s="283"/>
      <c r="C824" s="303" t="s">
        <v>1484</v>
      </c>
      <c r="D824" s="320" t="s">
        <v>248</v>
      </c>
      <c r="E824" s="198" t="str">
        <f>HYPERLINK("#LAYOUT_e4!lay초YFAM1F01","YFAM1F01")</f>
        <v>YFAM1F01</v>
      </c>
      <c r="F824" s="78" t="s">
        <v>0</v>
      </c>
      <c r="G824" s="179" t="s">
        <v>1471</v>
      </c>
      <c r="H824" s="233" t="s">
        <v>1</v>
      </c>
      <c r="I824" s="331"/>
      <c r="J824" s="331"/>
      <c r="K824" s="327"/>
      <c r="L824" s="233" t="s">
        <v>1</v>
      </c>
      <c r="M824" s="331"/>
      <c r="N824" s="331"/>
      <c r="O824" s="331"/>
      <c r="P824" s="327"/>
    </row>
    <row r="825" spans="2:16" ht="18" customHeight="1">
      <c r="B825" s="283"/>
      <c r="C825" s="305"/>
      <c r="D825" s="321"/>
      <c r="E825" s="201" t="str">
        <f>HYPERLINK("#LAYOUT_e4!lay초YFAM1F02","YFAM1F02")</f>
        <v>YFAM1F02</v>
      </c>
      <c r="F825" s="82" t="s">
        <v>0</v>
      </c>
      <c r="G825" s="180" t="s">
        <v>1470</v>
      </c>
      <c r="H825" s="235" t="s">
        <v>1811</v>
      </c>
      <c r="I825" s="333"/>
      <c r="J825" s="333"/>
      <c r="K825" s="329"/>
      <c r="L825" s="235" t="s">
        <v>1</v>
      </c>
      <c r="M825" s="333"/>
      <c r="N825" s="333"/>
      <c r="O825" s="333"/>
      <c r="P825" s="329"/>
    </row>
    <row r="826" spans="2:16" ht="18" customHeight="1">
      <c r="B826" s="283"/>
      <c r="C826" s="305"/>
      <c r="D826" s="320" t="s">
        <v>250</v>
      </c>
      <c r="E826" s="198" t="str">
        <f>HYPERLINK("#LAYOUT_e4!lay초YFAM1F03","YFAM1F03")</f>
        <v>YFAM1F03</v>
      </c>
      <c r="F826" s="78" t="s">
        <v>0</v>
      </c>
      <c r="G826" s="179" t="s">
        <v>1471</v>
      </c>
      <c r="H826" s="233" t="s">
        <v>1</v>
      </c>
      <c r="I826" s="331"/>
      <c r="J826" s="331"/>
      <c r="K826" s="327"/>
      <c r="L826" s="233" t="s">
        <v>1</v>
      </c>
      <c r="M826" s="331"/>
      <c r="N826" s="331"/>
      <c r="O826" s="331"/>
      <c r="P826" s="327"/>
    </row>
    <row r="827" spans="2:16" ht="18" customHeight="1">
      <c r="B827" s="285"/>
      <c r="C827" s="304"/>
      <c r="D827" s="321"/>
      <c r="E827" s="201" t="str">
        <f>HYPERLINK("#LAYOUT_e4!lay초YFAM1F04","YFAM1F04")</f>
        <v>YFAM1F04</v>
      </c>
      <c r="F827" s="82" t="s">
        <v>0</v>
      </c>
      <c r="G827" s="180" t="s">
        <v>1470</v>
      </c>
      <c r="H827" s="235" t="s">
        <v>1811</v>
      </c>
      <c r="I827" s="333"/>
      <c r="J827" s="333"/>
      <c r="K827" s="329"/>
      <c r="L827" s="235" t="s">
        <v>1</v>
      </c>
      <c r="M827" s="333"/>
      <c r="N827" s="333"/>
      <c r="O827" s="333"/>
      <c r="P827" s="329"/>
    </row>
    <row r="828" spans="2:16" ht="18" customHeight="1">
      <c r="B828" s="282" t="s">
        <v>251</v>
      </c>
      <c r="C828" s="309" t="s">
        <v>252</v>
      </c>
      <c r="D828" s="310"/>
      <c r="E828" s="287" t="str">
        <f>HYPERLINK("#LAYOUT_e4!lay초YFAM2A01","YFAM2A01")</f>
        <v>YFAM2A01</v>
      </c>
      <c r="F828" s="78">
        <v>1</v>
      </c>
      <c r="G828" s="179" t="s">
        <v>105</v>
      </c>
      <c r="H828" s="230">
        <v>0.57650583961065027</v>
      </c>
      <c r="I828" s="327">
        <v>3.5808879242457512</v>
      </c>
      <c r="J828" s="327">
        <v>1.1377535977758681E-2</v>
      </c>
      <c r="K828" s="327">
        <v>0.3177294631513819</v>
      </c>
      <c r="L828" s="230">
        <v>0.74108480598718451</v>
      </c>
      <c r="M828" s="327">
        <v>3.45127323376866</v>
      </c>
      <c r="N828" s="327">
        <v>0.63296932557346519</v>
      </c>
      <c r="O828" s="327">
        <v>1.282197422501905E-2</v>
      </c>
      <c r="P828" s="327">
        <v>0.37151431823953102</v>
      </c>
    </row>
    <row r="829" spans="2:16" ht="18" customHeight="1">
      <c r="B829" s="284"/>
      <c r="C829" s="311"/>
      <c r="D829" s="312"/>
      <c r="E829" s="289"/>
      <c r="F829" s="79">
        <v>2</v>
      </c>
      <c r="G829" s="178" t="s">
        <v>106</v>
      </c>
      <c r="H829" s="231">
        <v>2.9647420333604213</v>
      </c>
      <c r="I829" s="328"/>
      <c r="J829" s="328"/>
      <c r="K829" s="328"/>
      <c r="L829" s="231">
        <v>5.4197486741016574</v>
      </c>
      <c r="M829" s="328">
        <v>3.45127323376866</v>
      </c>
      <c r="N829" s="328">
        <v>0.63296932557346519</v>
      </c>
      <c r="O829" s="328">
        <v>1.282197422501905E-2</v>
      </c>
      <c r="P829" s="328">
        <v>0.37151431823953102</v>
      </c>
    </row>
    <row r="830" spans="2:16" ht="18" customHeight="1">
      <c r="B830" s="284"/>
      <c r="C830" s="311"/>
      <c r="D830" s="312"/>
      <c r="E830" s="289"/>
      <c r="F830" s="79">
        <v>3</v>
      </c>
      <c r="G830" s="178" t="s">
        <v>107</v>
      </c>
      <c r="H830" s="231">
        <v>34.252205989869573</v>
      </c>
      <c r="I830" s="328"/>
      <c r="J830" s="328"/>
      <c r="K830" s="328"/>
      <c r="L830" s="231">
        <v>41.809924856969971</v>
      </c>
      <c r="M830" s="328">
        <v>3.45127323376866</v>
      </c>
      <c r="N830" s="328">
        <v>0.63296932557346519</v>
      </c>
      <c r="O830" s="328">
        <v>1.282197422501905E-2</v>
      </c>
      <c r="P830" s="328">
        <v>0.37151431823953102</v>
      </c>
    </row>
    <row r="831" spans="2:16" ht="18" customHeight="1">
      <c r="B831" s="284"/>
      <c r="C831" s="313"/>
      <c r="D831" s="314"/>
      <c r="E831" s="288"/>
      <c r="F831" s="82">
        <v>4</v>
      </c>
      <c r="G831" s="180" t="s">
        <v>108</v>
      </c>
      <c r="H831" s="232">
        <v>62.206546137159357</v>
      </c>
      <c r="I831" s="329"/>
      <c r="J831" s="329"/>
      <c r="K831" s="329"/>
      <c r="L831" s="232">
        <v>52.029241662941203</v>
      </c>
      <c r="M831" s="329">
        <v>3.45127323376866</v>
      </c>
      <c r="N831" s="329">
        <v>0.63296932557346519</v>
      </c>
      <c r="O831" s="329">
        <v>1.282197422501905E-2</v>
      </c>
      <c r="P831" s="329">
        <v>0.37151431823953102</v>
      </c>
    </row>
    <row r="832" spans="2:16" ht="18" customHeight="1">
      <c r="B832" s="284"/>
      <c r="C832" s="309" t="s">
        <v>253</v>
      </c>
      <c r="D832" s="310"/>
      <c r="E832" s="287" t="str">
        <f>HYPERLINK("#LAYOUT_e4!lay초YFAM2A02","YFAM2A02")</f>
        <v>YFAM2A02</v>
      </c>
      <c r="F832" s="78">
        <v>1</v>
      </c>
      <c r="G832" s="179" t="s">
        <v>105</v>
      </c>
      <c r="H832" s="230">
        <v>0.26955897159545966</v>
      </c>
      <c r="I832" s="327">
        <v>3.5899698604585941</v>
      </c>
      <c r="J832" s="327">
        <v>1.1234622385361175E-2</v>
      </c>
      <c r="K832" s="327">
        <v>0.31294475502716423</v>
      </c>
      <c r="L832" s="230">
        <v>0.50272207678600922</v>
      </c>
      <c r="M832" s="327">
        <v>3.4759009703181842</v>
      </c>
      <c r="N832" s="327">
        <v>0.6195987304643058</v>
      </c>
      <c r="O832" s="327">
        <v>1.255112788391478E-2</v>
      </c>
      <c r="P832" s="327">
        <v>0.36108991571085663</v>
      </c>
    </row>
    <row r="833" spans="2:16" ht="18" customHeight="1">
      <c r="B833" s="284"/>
      <c r="C833" s="311"/>
      <c r="D833" s="312"/>
      <c r="E833" s="289"/>
      <c r="F833" s="79">
        <v>2</v>
      </c>
      <c r="G833" s="178" t="s">
        <v>106</v>
      </c>
      <c r="H833" s="231">
        <v>3.5420931152189499</v>
      </c>
      <c r="I833" s="328"/>
      <c r="J833" s="328"/>
      <c r="K833" s="328"/>
      <c r="L833" s="231">
        <v>5.2081247303132931</v>
      </c>
      <c r="M833" s="328">
        <v>3.4759009703181842</v>
      </c>
      <c r="N833" s="328">
        <v>0.6195987304643058</v>
      </c>
      <c r="O833" s="328">
        <v>1.255112788391478E-2</v>
      </c>
      <c r="P833" s="328">
        <v>0.36108991571085663</v>
      </c>
    </row>
    <row r="834" spans="2:16" ht="18" customHeight="1">
      <c r="B834" s="284"/>
      <c r="C834" s="311"/>
      <c r="D834" s="312"/>
      <c r="E834" s="289"/>
      <c r="F834" s="79">
        <v>3</v>
      </c>
      <c r="G834" s="178" t="s">
        <v>107</v>
      </c>
      <c r="H834" s="231">
        <v>33.110150808914597</v>
      </c>
      <c r="I834" s="328"/>
      <c r="J834" s="328"/>
      <c r="K834" s="328"/>
      <c r="L834" s="231">
        <v>40.485487277197656</v>
      </c>
      <c r="M834" s="328">
        <v>3.4759009703181842</v>
      </c>
      <c r="N834" s="328">
        <v>0.6195987304643058</v>
      </c>
      <c r="O834" s="328">
        <v>1.255112788391478E-2</v>
      </c>
      <c r="P834" s="328">
        <v>0.36108991571085663</v>
      </c>
    </row>
    <row r="835" spans="2:16" ht="18" customHeight="1">
      <c r="B835" s="284"/>
      <c r="C835" s="313"/>
      <c r="D835" s="314"/>
      <c r="E835" s="288"/>
      <c r="F835" s="82">
        <v>4</v>
      </c>
      <c r="G835" s="180" t="s">
        <v>108</v>
      </c>
      <c r="H835" s="232">
        <v>63.078197104270998</v>
      </c>
      <c r="I835" s="329"/>
      <c r="J835" s="329"/>
      <c r="K835" s="329"/>
      <c r="L835" s="232">
        <v>53.803665915703043</v>
      </c>
      <c r="M835" s="329">
        <v>3.4759009703181842</v>
      </c>
      <c r="N835" s="329">
        <v>0.6195987304643058</v>
      </c>
      <c r="O835" s="329">
        <v>1.255112788391478E-2</v>
      </c>
      <c r="P835" s="329">
        <v>0.36108991571085663</v>
      </c>
    </row>
    <row r="836" spans="2:16" ht="18" customHeight="1">
      <c r="B836" s="284"/>
      <c r="C836" s="309" t="s">
        <v>254</v>
      </c>
      <c r="D836" s="310"/>
      <c r="E836" s="287" t="str">
        <f>HYPERLINK("#LAYOUT_e4!lay초YFAM2A03","YFAM2A03")</f>
        <v>YFAM2A03</v>
      </c>
      <c r="F836" s="78">
        <v>1</v>
      </c>
      <c r="G836" s="179" t="s">
        <v>105</v>
      </c>
      <c r="H836" s="230">
        <v>0.34877828785575499</v>
      </c>
      <c r="I836" s="327">
        <v>3.6013842715700264</v>
      </c>
      <c r="J836" s="327">
        <v>1.1366736327035172E-2</v>
      </c>
      <c r="K836" s="327">
        <v>0.31562131308136759</v>
      </c>
      <c r="L836" s="230">
        <v>1.2250928067456903</v>
      </c>
      <c r="M836" s="327">
        <v>3.4411966852168008</v>
      </c>
      <c r="N836" s="327">
        <v>0.66113468493115235</v>
      </c>
      <c r="O836" s="327">
        <v>1.3392516109328338E-2</v>
      </c>
      <c r="P836" s="327">
        <v>0.38918194263239514</v>
      </c>
    </row>
    <row r="837" spans="2:16" ht="18" customHeight="1">
      <c r="B837" s="284"/>
      <c r="C837" s="311"/>
      <c r="D837" s="312"/>
      <c r="E837" s="289"/>
      <c r="F837" s="79">
        <v>2</v>
      </c>
      <c r="G837" s="178" t="s">
        <v>106</v>
      </c>
      <c r="H837" s="231">
        <v>3.802714785625207</v>
      </c>
      <c r="I837" s="328"/>
      <c r="J837" s="328"/>
      <c r="K837" s="328"/>
      <c r="L837" s="231">
        <v>5.8435986778013289</v>
      </c>
      <c r="M837" s="328">
        <v>3.4411966852168008</v>
      </c>
      <c r="N837" s="328">
        <v>0.66113468493115235</v>
      </c>
      <c r="O837" s="328">
        <v>1.3392516109328338E-2</v>
      </c>
      <c r="P837" s="328">
        <v>0.38918194263239514</v>
      </c>
    </row>
    <row r="838" spans="2:16" ht="18" customHeight="1">
      <c r="B838" s="284"/>
      <c r="C838" s="311"/>
      <c r="D838" s="312"/>
      <c r="E838" s="289"/>
      <c r="F838" s="79">
        <v>3</v>
      </c>
      <c r="G838" s="178" t="s">
        <v>107</v>
      </c>
      <c r="H838" s="231">
        <v>31.209808408177441</v>
      </c>
      <c r="I838" s="328"/>
      <c r="J838" s="328"/>
      <c r="K838" s="328"/>
      <c r="L838" s="231">
        <v>40.517855702480347</v>
      </c>
      <c r="M838" s="328">
        <v>3.4411966852168008</v>
      </c>
      <c r="N838" s="328">
        <v>0.66113468493115235</v>
      </c>
      <c r="O838" s="328">
        <v>1.3392516109328338E-2</v>
      </c>
      <c r="P838" s="328">
        <v>0.38918194263239514</v>
      </c>
    </row>
    <row r="839" spans="2:16" ht="18" customHeight="1">
      <c r="B839" s="284"/>
      <c r="C839" s="313"/>
      <c r="D839" s="314"/>
      <c r="E839" s="288"/>
      <c r="F839" s="82">
        <v>4</v>
      </c>
      <c r="G839" s="180" t="s">
        <v>108</v>
      </c>
      <c r="H839" s="232">
        <v>64.638698518341613</v>
      </c>
      <c r="I839" s="329"/>
      <c r="J839" s="329"/>
      <c r="K839" s="329"/>
      <c r="L839" s="232">
        <v>52.413452812972643</v>
      </c>
      <c r="M839" s="329">
        <v>3.4411966852168008</v>
      </c>
      <c r="N839" s="329">
        <v>0.66113468493115235</v>
      </c>
      <c r="O839" s="329">
        <v>1.3392516109328338E-2</v>
      </c>
      <c r="P839" s="329">
        <v>0.38918194263239514</v>
      </c>
    </row>
    <row r="840" spans="2:16" ht="18" customHeight="1">
      <c r="B840" s="284"/>
      <c r="C840" s="309" t="s">
        <v>255</v>
      </c>
      <c r="D840" s="310"/>
      <c r="E840" s="287" t="str">
        <f>HYPERLINK("#LAYOUT_e4!lay초YFAM2A04","YFAM2A04")</f>
        <v>YFAM2A04</v>
      </c>
      <c r="F840" s="78">
        <v>1</v>
      </c>
      <c r="G840" s="179" t="s">
        <v>105</v>
      </c>
      <c r="H840" s="230">
        <v>0.4416154413978633</v>
      </c>
      <c r="I840" s="327">
        <v>3.5766313986009179</v>
      </c>
      <c r="J840" s="327">
        <v>1.202586225958464E-2</v>
      </c>
      <c r="K840" s="327">
        <v>0.33623431993268404</v>
      </c>
      <c r="L840" s="230">
        <v>1.4292046332630159</v>
      </c>
      <c r="M840" s="327">
        <v>3.3966151405583944</v>
      </c>
      <c r="N840" s="327">
        <v>0.69593509056997682</v>
      </c>
      <c r="O840" s="327">
        <v>1.4097463230923771E-2</v>
      </c>
      <c r="P840" s="327">
        <v>0.41504446772872194</v>
      </c>
    </row>
    <row r="841" spans="2:16" ht="18" customHeight="1">
      <c r="B841" s="284"/>
      <c r="C841" s="311"/>
      <c r="D841" s="312"/>
      <c r="E841" s="289"/>
      <c r="F841" s="79">
        <v>2</v>
      </c>
      <c r="G841" s="178" t="s">
        <v>106</v>
      </c>
      <c r="H841" s="231">
        <v>5.3129358485546074</v>
      </c>
      <c r="I841" s="328"/>
      <c r="J841" s="328"/>
      <c r="K841" s="328"/>
      <c r="L841" s="231">
        <v>7.9531531491538505</v>
      </c>
      <c r="M841" s="328">
        <v>3.3966151405583944</v>
      </c>
      <c r="N841" s="328">
        <v>0.69593509056997682</v>
      </c>
      <c r="O841" s="328">
        <v>1.4097463230923771E-2</v>
      </c>
      <c r="P841" s="328">
        <v>0.41504446772872194</v>
      </c>
    </row>
    <row r="842" spans="2:16" ht="18" customHeight="1">
      <c r="B842" s="284"/>
      <c r="C842" s="311"/>
      <c r="D842" s="312"/>
      <c r="E842" s="289"/>
      <c r="F842" s="79">
        <v>3</v>
      </c>
      <c r="G842" s="178" t="s">
        <v>107</v>
      </c>
      <c r="H842" s="231">
        <v>30.38614211860332</v>
      </c>
      <c r="I842" s="328"/>
      <c r="J842" s="328"/>
      <c r="K842" s="328"/>
      <c r="L842" s="231">
        <v>40.14456574606497</v>
      </c>
      <c r="M842" s="328">
        <v>3.3966151405583944</v>
      </c>
      <c r="N842" s="328">
        <v>0.69593509056997682</v>
      </c>
      <c r="O842" s="328">
        <v>1.4097463230923771E-2</v>
      </c>
      <c r="P842" s="328">
        <v>0.41504446772872194</v>
      </c>
    </row>
    <row r="843" spans="2:16" ht="18" customHeight="1">
      <c r="B843" s="284"/>
      <c r="C843" s="313"/>
      <c r="D843" s="314"/>
      <c r="E843" s="288"/>
      <c r="F843" s="82">
        <v>4</v>
      </c>
      <c r="G843" s="180" t="s">
        <v>108</v>
      </c>
      <c r="H843" s="232">
        <v>63.859306591444223</v>
      </c>
      <c r="I843" s="329"/>
      <c r="J843" s="329"/>
      <c r="K843" s="329"/>
      <c r="L843" s="232">
        <v>50.473076471518198</v>
      </c>
      <c r="M843" s="329">
        <v>3.3966151405583944</v>
      </c>
      <c r="N843" s="329">
        <v>0.69593509056997682</v>
      </c>
      <c r="O843" s="329">
        <v>1.4097463230923771E-2</v>
      </c>
      <c r="P843" s="329">
        <v>0.41504446772872194</v>
      </c>
    </row>
    <row r="844" spans="2:16" ht="18" customHeight="1">
      <c r="B844" s="284"/>
      <c r="C844" s="309" t="s">
        <v>256</v>
      </c>
      <c r="D844" s="310"/>
      <c r="E844" s="287" t="str">
        <f>HYPERLINK("#LAYOUT_e4!lay초YFAM2B01","YFAM2B01")</f>
        <v>YFAM2B01</v>
      </c>
      <c r="F844" s="78">
        <v>1</v>
      </c>
      <c r="G844" s="179" t="s">
        <v>105</v>
      </c>
      <c r="H844" s="230">
        <v>27.438183074384238</v>
      </c>
      <c r="I844" s="327">
        <v>2.3614606918768435</v>
      </c>
      <c r="J844" s="327">
        <v>2.0496981038568497E-2</v>
      </c>
      <c r="K844" s="327">
        <v>0.86797892122768661</v>
      </c>
      <c r="L844" s="230">
        <v>22.543486692251992</v>
      </c>
      <c r="M844" s="327">
        <v>2.3407156896494805</v>
      </c>
      <c r="N844" s="327">
        <v>0.96532426744938671</v>
      </c>
      <c r="O844" s="327">
        <v>1.9554443439747486E-2</v>
      </c>
      <c r="P844" s="327">
        <v>0.83540446736936824</v>
      </c>
    </row>
    <row r="845" spans="2:16" ht="18" customHeight="1">
      <c r="B845" s="284"/>
      <c r="C845" s="311"/>
      <c r="D845" s="312"/>
      <c r="E845" s="289"/>
      <c r="F845" s="79">
        <v>2</v>
      </c>
      <c r="G845" s="178" t="s">
        <v>106</v>
      </c>
      <c r="H845" s="231">
        <v>24.741486573837637</v>
      </c>
      <c r="I845" s="328"/>
      <c r="J845" s="328"/>
      <c r="K845" s="328"/>
      <c r="L845" s="231">
        <v>33.639973787911799</v>
      </c>
      <c r="M845" s="328">
        <v>2.3407156896494805</v>
      </c>
      <c r="N845" s="328">
        <v>0.96532426744938671</v>
      </c>
      <c r="O845" s="328">
        <v>1.9554443439747486E-2</v>
      </c>
      <c r="P845" s="328">
        <v>0.83540446736936824</v>
      </c>
    </row>
    <row r="846" spans="2:16" ht="18" customHeight="1">
      <c r="B846" s="284"/>
      <c r="C846" s="311"/>
      <c r="D846" s="312"/>
      <c r="E846" s="289"/>
      <c r="F846" s="79">
        <v>3</v>
      </c>
      <c r="G846" s="178" t="s">
        <v>107</v>
      </c>
      <c r="H846" s="231">
        <v>32.056408441484912</v>
      </c>
      <c r="I846" s="328"/>
      <c r="J846" s="328"/>
      <c r="K846" s="328"/>
      <c r="L846" s="231">
        <v>31.018023382472954</v>
      </c>
      <c r="M846" s="328">
        <v>2.3407156896494805</v>
      </c>
      <c r="N846" s="328">
        <v>0.96532426744938671</v>
      </c>
      <c r="O846" s="328">
        <v>1.9554443439747486E-2</v>
      </c>
      <c r="P846" s="328">
        <v>0.83540446736936824</v>
      </c>
    </row>
    <row r="847" spans="2:16" ht="18" customHeight="1">
      <c r="B847" s="284"/>
      <c r="C847" s="313"/>
      <c r="D847" s="314"/>
      <c r="E847" s="288"/>
      <c r="F847" s="82">
        <v>4</v>
      </c>
      <c r="G847" s="180" t="s">
        <v>108</v>
      </c>
      <c r="H847" s="232">
        <v>15.763921910293222</v>
      </c>
      <c r="I847" s="329"/>
      <c r="J847" s="329"/>
      <c r="K847" s="329"/>
      <c r="L847" s="232">
        <v>12.798516137363261</v>
      </c>
      <c r="M847" s="329">
        <v>2.3407156896494805</v>
      </c>
      <c r="N847" s="329">
        <v>0.96532426744938671</v>
      </c>
      <c r="O847" s="329">
        <v>1.9554443439747486E-2</v>
      </c>
      <c r="P847" s="329">
        <v>0.83540446736936824</v>
      </c>
    </row>
    <row r="848" spans="2:16" ht="18" customHeight="1">
      <c r="B848" s="284"/>
      <c r="C848" s="309" t="s">
        <v>257</v>
      </c>
      <c r="D848" s="310"/>
      <c r="E848" s="287" t="str">
        <f>HYPERLINK("#LAYOUT_e4!lay초YFAM2B02","YFAM2B02")</f>
        <v>YFAM2B02</v>
      </c>
      <c r="F848" s="78">
        <v>1</v>
      </c>
      <c r="G848" s="179" t="s">
        <v>105</v>
      </c>
      <c r="H848" s="230">
        <v>64.040663367463452</v>
      </c>
      <c r="I848" s="327">
        <v>1.4468843884564995</v>
      </c>
      <c r="J848" s="327">
        <v>1.3278722255282658E-2</v>
      </c>
      <c r="K848" s="327">
        <v>0.91774590708301684</v>
      </c>
      <c r="L848" s="230">
        <v>51.800911380651804</v>
      </c>
      <c r="M848" s="327">
        <v>1.6446974363455027</v>
      </c>
      <c r="N848" s="327">
        <v>0.78376236210068606</v>
      </c>
      <c r="O848" s="327">
        <v>1.5876568420263307E-2</v>
      </c>
      <c r="P848" s="327">
        <v>0.96531848772992823</v>
      </c>
    </row>
    <row r="849" spans="2:16" ht="18" customHeight="1">
      <c r="B849" s="284"/>
      <c r="C849" s="311"/>
      <c r="D849" s="312"/>
      <c r="E849" s="289"/>
      <c r="F849" s="79">
        <v>2</v>
      </c>
      <c r="G849" s="178" t="s">
        <v>106</v>
      </c>
      <c r="H849" s="231">
        <v>29.117273370490341</v>
      </c>
      <c r="I849" s="328"/>
      <c r="J849" s="328"/>
      <c r="K849" s="328"/>
      <c r="L849" s="231">
        <v>34.906214734234261</v>
      </c>
      <c r="M849" s="328">
        <v>1.6446974363455027</v>
      </c>
      <c r="N849" s="328">
        <v>0.78376236210068606</v>
      </c>
      <c r="O849" s="328">
        <v>1.5876568420263307E-2</v>
      </c>
      <c r="P849" s="328">
        <v>0.96531848772992823</v>
      </c>
    </row>
    <row r="850" spans="2:16" ht="18" customHeight="1">
      <c r="B850" s="284"/>
      <c r="C850" s="311"/>
      <c r="D850" s="312"/>
      <c r="E850" s="289"/>
      <c r="F850" s="79">
        <v>3</v>
      </c>
      <c r="G850" s="178" t="s">
        <v>107</v>
      </c>
      <c r="H850" s="231">
        <v>4.9550243109773477</v>
      </c>
      <c r="I850" s="328"/>
      <c r="J850" s="328"/>
      <c r="K850" s="328"/>
      <c r="L850" s="231">
        <v>10.315092755025743</v>
      </c>
      <c r="M850" s="328">
        <v>1.6446974363455027</v>
      </c>
      <c r="N850" s="328">
        <v>0.78376236210068606</v>
      </c>
      <c r="O850" s="328">
        <v>1.5876568420263307E-2</v>
      </c>
      <c r="P850" s="328">
        <v>0.96531848772992823</v>
      </c>
    </row>
    <row r="851" spans="2:16" ht="18" customHeight="1">
      <c r="B851" s="284"/>
      <c r="C851" s="313"/>
      <c r="D851" s="314"/>
      <c r="E851" s="288"/>
      <c r="F851" s="82">
        <v>4</v>
      </c>
      <c r="G851" s="180" t="s">
        <v>108</v>
      </c>
      <c r="H851" s="232">
        <v>1.8870389510688594</v>
      </c>
      <c r="I851" s="329"/>
      <c r="J851" s="329"/>
      <c r="K851" s="329"/>
      <c r="L851" s="232">
        <v>2.9777811300881742</v>
      </c>
      <c r="M851" s="329">
        <v>1.6446974363455027</v>
      </c>
      <c r="N851" s="329">
        <v>0.78376236210068606</v>
      </c>
      <c r="O851" s="329">
        <v>1.5876568420263307E-2</v>
      </c>
      <c r="P851" s="329">
        <v>0.96531848772992823</v>
      </c>
    </row>
    <row r="852" spans="2:16" ht="18" customHeight="1">
      <c r="B852" s="284"/>
      <c r="C852" s="309" t="s">
        <v>258</v>
      </c>
      <c r="D852" s="310"/>
      <c r="E852" s="287" t="str">
        <f>HYPERLINK("#LAYOUT_e4!lay초YFAM2B03","YFAM2B03")</f>
        <v>YFAM2B03</v>
      </c>
      <c r="F852" s="78">
        <v>1</v>
      </c>
      <c r="G852" s="179" t="s">
        <v>105</v>
      </c>
      <c r="H852" s="230">
        <v>73.669705291396383</v>
      </c>
      <c r="I852" s="327">
        <v>1.3215297784528848</v>
      </c>
      <c r="J852" s="327">
        <v>1.1648598480308083E-2</v>
      </c>
      <c r="K852" s="327">
        <v>0.88144805135947024</v>
      </c>
      <c r="L852" s="230">
        <v>59.374432906331407</v>
      </c>
      <c r="M852" s="327">
        <v>1.5481164278500061</v>
      </c>
      <c r="N852" s="327">
        <v>0.76879701669362943</v>
      </c>
      <c r="O852" s="327">
        <v>1.5573417437545561E-2</v>
      </c>
      <c r="P852" s="327">
        <v>1.0059590582068569</v>
      </c>
    </row>
    <row r="853" spans="2:16" ht="18" customHeight="1">
      <c r="B853" s="284"/>
      <c r="C853" s="311"/>
      <c r="D853" s="312"/>
      <c r="E853" s="289"/>
      <c r="F853" s="79">
        <v>2</v>
      </c>
      <c r="G853" s="178" t="s">
        <v>106</v>
      </c>
      <c r="H853" s="231">
        <v>21.457896440358287</v>
      </c>
      <c r="I853" s="328"/>
      <c r="J853" s="328"/>
      <c r="K853" s="328"/>
      <c r="L853" s="231">
        <v>29.409491319773554</v>
      </c>
      <c r="M853" s="328">
        <v>1.5481164278500061</v>
      </c>
      <c r="N853" s="328">
        <v>0.76879701669362943</v>
      </c>
      <c r="O853" s="328">
        <v>1.5573417437545561E-2</v>
      </c>
      <c r="P853" s="328">
        <v>1.0059590582068569</v>
      </c>
    </row>
    <row r="854" spans="2:16" ht="18" customHeight="1">
      <c r="B854" s="284"/>
      <c r="C854" s="311"/>
      <c r="D854" s="312"/>
      <c r="E854" s="289"/>
      <c r="F854" s="79">
        <v>3</v>
      </c>
      <c r="G854" s="178" t="s">
        <v>107</v>
      </c>
      <c r="H854" s="231">
        <v>3.9221133998044491</v>
      </c>
      <c r="I854" s="328"/>
      <c r="J854" s="328"/>
      <c r="K854" s="328"/>
      <c r="L854" s="231">
        <v>8.2460758564580026</v>
      </c>
      <c r="M854" s="328">
        <v>1.5481164278500061</v>
      </c>
      <c r="N854" s="328">
        <v>0.76879701669362943</v>
      </c>
      <c r="O854" s="328">
        <v>1.5573417437545561E-2</v>
      </c>
      <c r="P854" s="328">
        <v>1.0059590582068569</v>
      </c>
    </row>
    <row r="855" spans="2:16" ht="18" customHeight="1">
      <c r="B855" s="284"/>
      <c r="C855" s="313"/>
      <c r="D855" s="314"/>
      <c r="E855" s="288"/>
      <c r="F855" s="82">
        <v>4</v>
      </c>
      <c r="G855" s="180" t="s">
        <v>108</v>
      </c>
      <c r="H855" s="232">
        <v>0.95028486844086724</v>
      </c>
      <c r="I855" s="329"/>
      <c r="J855" s="329"/>
      <c r="K855" s="329"/>
      <c r="L855" s="232">
        <v>2.9699999174370757</v>
      </c>
      <c r="M855" s="329">
        <v>1.5481164278500061</v>
      </c>
      <c r="N855" s="329">
        <v>0.76879701669362943</v>
      </c>
      <c r="O855" s="329">
        <v>1.5573417437545561E-2</v>
      </c>
      <c r="P855" s="329">
        <v>1.0059590582068569</v>
      </c>
    </row>
    <row r="856" spans="2:16" ht="18" customHeight="1">
      <c r="B856" s="284"/>
      <c r="C856" s="309" t="s">
        <v>259</v>
      </c>
      <c r="D856" s="310"/>
      <c r="E856" s="287" t="str">
        <f>HYPERLINK("#LAYOUT_e4!lay초YFAM2B04","YFAM2B04")</f>
        <v>YFAM2B04</v>
      </c>
      <c r="F856" s="78">
        <v>1</v>
      </c>
      <c r="G856" s="179" t="s">
        <v>105</v>
      </c>
      <c r="H856" s="230">
        <v>70.006063064463319</v>
      </c>
      <c r="I856" s="327">
        <v>1.3682531067228503</v>
      </c>
      <c r="J856" s="327">
        <v>1.2367239514052809E-2</v>
      </c>
      <c r="K856" s="327">
        <v>0.90387074242966647</v>
      </c>
      <c r="L856" s="230">
        <v>55.423180200998026</v>
      </c>
      <c r="M856" s="327">
        <v>1.595907534806821</v>
      </c>
      <c r="N856" s="327">
        <v>0.77450255069135698</v>
      </c>
      <c r="O856" s="327">
        <v>1.5688993669920728E-2</v>
      </c>
      <c r="P856" s="327">
        <v>0.98307660862192947</v>
      </c>
    </row>
    <row r="857" spans="2:16" ht="18" customHeight="1">
      <c r="B857" s="284"/>
      <c r="C857" s="311"/>
      <c r="D857" s="312"/>
      <c r="E857" s="289"/>
      <c r="F857" s="79">
        <v>2</v>
      </c>
      <c r="G857" s="178" t="s">
        <v>106</v>
      </c>
      <c r="H857" s="231">
        <v>24.628255956139263</v>
      </c>
      <c r="I857" s="328"/>
      <c r="J857" s="328"/>
      <c r="K857" s="328"/>
      <c r="L857" s="231">
        <v>32.489268022529743</v>
      </c>
      <c r="M857" s="328">
        <v>1.595907534806821</v>
      </c>
      <c r="N857" s="328">
        <v>0.77450255069135698</v>
      </c>
      <c r="O857" s="328">
        <v>1.5688993669920728E-2</v>
      </c>
      <c r="P857" s="328">
        <v>0.98307660862192947</v>
      </c>
    </row>
    <row r="858" spans="2:16" ht="18" customHeight="1">
      <c r="B858" s="284"/>
      <c r="C858" s="311"/>
      <c r="D858" s="312"/>
      <c r="E858" s="289"/>
      <c r="F858" s="79">
        <v>3</v>
      </c>
      <c r="G858" s="178" t="s">
        <v>107</v>
      </c>
      <c r="H858" s="231">
        <v>3.8999882220452302</v>
      </c>
      <c r="I858" s="328"/>
      <c r="J858" s="328"/>
      <c r="K858" s="328"/>
      <c r="L858" s="231">
        <v>9.1611698712642227</v>
      </c>
      <c r="M858" s="328">
        <v>1.595907534806821</v>
      </c>
      <c r="N858" s="328">
        <v>0.77450255069135698</v>
      </c>
      <c r="O858" s="328">
        <v>1.5688993669920728E-2</v>
      </c>
      <c r="P858" s="328">
        <v>0.98307660862192947</v>
      </c>
    </row>
    <row r="859" spans="2:16" ht="18" customHeight="1">
      <c r="B859" s="284"/>
      <c r="C859" s="313"/>
      <c r="D859" s="314"/>
      <c r="E859" s="288"/>
      <c r="F859" s="82">
        <v>4</v>
      </c>
      <c r="G859" s="180" t="s">
        <v>108</v>
      </c>
      <c r="H859" s="232">
        <v>1.4656927573522183</v>
      </c>
      <c r="I859" s="329"/>
      <c r="J859" s="329"/>
      <c r="K859" s="329"/>
      <c r="L859" s="232">
        <v>2.9263819052080162</v>
      </c>
      <c r="M859" s="329">
        <v>1.595907534806821</v>
      </c>
      <c r="N859" s="329">
        <v>0.77450255069135698</v>
      </c>
      <c r="O859" s="329">
        <v>1.5688993669920728E-2</v>
      </c>
      <c r="P859" s="329">
        <v>0.98307660862192947</v>
      </c>
    </row>
    <row r="860" spans="2:16" ht="18" customHeight="1">
      <c r="B860" s="284"/>
      <c r="C860" s="309" t="s">
        <v>260</v>
      </c>
      <c r="D860" s="310"/>
      <c r="E860" s="287" t="str">
        <f>HYPERLINK("#LAYOUT_e4!lay초YFAM2C01","YFAM2C01")</f>
        <v>YFAM2C01</v>
      </c>
      <c r="F860" s="78">
        <v>1</v>
      </c>
      <c r="G860" s="179" t="s">
        <v>105</v>
      </c>
      <c r="H860" s="230">
        <v>1.0759766732157656</v>
      </c>
      <c r="I860" s="327">
        <v>3.5829013157193557</v>
      </c>
      <c r="J860" s="327">
        <v>1.1801019844153564E-2</v>
      </c>
      <c r="K860" s="327">
        <v>0.32937049626174875</v>
      </c>
      <c r="L860" s="230">
        <v>0.93436460206362237</v>
      </c>
      <c r="M860" s="327">
        <v>3.4138111891786753</v>
      </c>
      <c r="N860" s="327">
        <v>0.62734265552690804</v>
      </c>
      <c r="O860" s="327">
        <v>1.2707995529062049E-2</v>
      </c>
      <c r="P860" s="327">
        <v>0.37225244235371591</v>
      </c>
    </row>
    <row r="861" spans="2:16" ht="18" customHeight="1">
      <c r="B861" s="284"/>
      <c r="C861" s="311"/>
      <c r="D861" s="312"/>
      <c r="E861" s="289"/>
      <c r="F861" s="79">
        <v>2</v>
      </c>
      <c r="G861" s="178" t="s">
        <v>106</v>
      </c>
      <c r="H861" s="231">
        <v>2.7618096256353195</v>
      </c>
      <c r="I861" s="328"/>
      <c r="J861" s="328"/>
      <c r="K861" s="328"/>
      <c r="L861" s="231">
        <v>4.73819746400825</v>
      </c>
      <c r="M861" s="328">
        <v>3.4138111891786753</v>
      </c>
      <c r="N861" s="328">
        <v>0.62734265552690804</v>
      </c>
      <c r="O861" s="328">
        <v>1.2707995529062049E-2</v>
      </c>
      <c r="P861" s="328">
        <v>0.37225244235371591</v>
      </c>
    </row>
    <row r="862" spans="2:16" ht="18" customHeight="1">
      <c r="B862" s="284"/>
      <c r="C862" s="311"/>
      <c r="D862" s="312"/>
      <c r="E862" s="289"/>
      <c r="F862" s="79">
        <v>3</v>
      </c>
      <c r="G862" s="178" t="s">
        <v>107</v>
      </c>
      <c r="H862" s="231">
        <v>32.958319157144643</v>
      </c>
      <c r="I862" s="328"/>
      <c r="J862" s="328"/>
      <c r="K862" s="328"/>
      <c r="L862" s="231">
        <v>46.339392347926406</v>
      </c>
      <c r="M862" s="328">
        <v>3.4138111891786753</v>
      </c>
      <c r="N862" s="328">
        <v>0.62734265552690804</v>
      </c>
      <c r="O862" s="328">
        <v>1.2707995529062049E-2</v>
      </c>
      <c r="P862" s="328">
        <v>0.37225244235371591</v>
      </c>
    </row>
    <row r="863" spans="2:16" ht="18" customHeight="1">
      <c r="B863" s="284"/>
      <c r="C863" s="313"/>
      <c r="D863" s="314"/>
      <c r="E863" s="288"/>
      <c r="F863" s="82">
        <v>4</v>
      </c>
      <c r="G863" s="180" t="s">
        <v>108</v>
      </c>
      <c r="H863" s="232">
        <v>63.203894544004278</v>
      </c>
      <c r="I863" s="329"/>
      <c r="J863" s="329"/>
      <c r="K863" s="329"/>
      <c r="L863" s="232">
        <v>47.988045586001725</v>
      </c>
      <c r="M863" s="329">
        <v>3.4138111891786753</v>
      </c>
      <c r="N863" s="329">
        <v>0.62734265552690804</v>
      </c>
      <c r="O863" s="329">
        <v>1.2707995529062049E-2</v>
      </c>
      <c r="P863" s="329">
        <v>0.37225244235371591</v>
      </c>
    </row>
    <row r="864" spans="2:16" ht="18" customHeight="1">
      <c r="B864" s="284"/>
      <c r="C864" s="309" t="s">
        <v>261</v>
      </c>
      <c r="D864" s="310"/>
      <c r="E864" s="287" t="str">
        <f>HYPERLINK("#LAYOUT_e4!lay초YFAM2C02","YFAM2C02")</f>
        <v>YFAM2C02</v>
      </c>
      <c r="F864" s="78">
        <v>1</v>
      </c>
      <c r="G864" s="179" t="s">
        <v>105</v>
      </c>
      <c r="H864" s="230">
        <v>0.86591750936047518</v>
      </c>
      <c r="I864" s="327">
        <v>3.5007635984981005</v>
      </c>
      <c r="J864" s="327">
        <v>1.2294391413804033E-2</v>
      </c>
      <c r="K864" s="327">
        <v>0.35119170626313012</v>
      </c>
      <c r="L864" s="230">
        <v>1.0399226718808532</v>
      </c>
      <c r="M864" s="327">
        <v>3.3953429966792523</v>
      </c>
      <c r="N864" s="327">
        <v>0.66164446857880088</v>
      </c>
      <c r="O864" s="327">
        <v>1.3402842727896401E-2</v>
      </c>
      <c r="P864" s="327">
        <v>0.39474193744210179</v>
      </c>
    </row>
    <row r="865" spans="2:16" ht="18" customHeight="1">
      <c r="B865" s="284"/>
      <c r="C865" s="311"/>
      <c r="D865" s="312"/>
      <c r="E865" s="289"/>
      <c r="F865" s="79">
        <v>2</v>
      </c>
      <c r="G865" s="178" t="s">
        <v>106</v>
      </c>
      <c r="H865" s="231">
        <v>4.5973900747791241</v>
      </c>
      <c r="I865" s="328"/>
      <c r="J865" s="328"/>
      <c r="K865" s="328"/>
      <c r="L865" s="231">
        <v>6.807574731948228</v>
      </c>
      <c r="M865" s="328">
        <v>3.3953429966792523</v>
      </c>
      <c r="N865" s="328">
        <v>0.66164446857880088</v>
      </c>
      <c r="O865" s="328">
        <v>1.3402842727896401E-2</v>
      </c>
      <c r="P865" s="328">
        <v>0.39474193744210179</v>
      </c>
    </row>
    <row r="866" spans="2:16" ht="18" customHeight="1">
      <c r="B866" s="284"/>
      <c r="C866" s="311"/>
      <c r="D866" s="312"/>
      <c r="E866" s="289"/>
      <c r="F866" s="79">
        <v>3</v>
      </c>
      <c r="G866" s="178" t="s">
        <v>107</v>
      </c>
      <c r="H866" s="231">
        <v>38.131107472547129</v>
      </c>
      <c r="I866" s="328"/>
      <c r="J866" s="328"/>
      <c r="K866" s="328"/>
      <c r="L866" s="231">
        <v>43.730782852536947</v>
      </c>
      <c r="M866" s="328">
        <v>3.3953429966792523</v>
      </c>
      <c r="N866" s="328">
        <v>0.66164446857880088</v>
      </c>
      <c r="O866" s="328">
        <v>1.3402842727896401E-2</v>
      </c>
      <c r="P866" s="328">
        <v>0.39474193744210179</v>
      </c>
    </row>
    <row r="867" spans="2:16" ht="18" customHeight="1">
      <c r="B867" s="284"/>
      <c r="C867" s="313"/>
      <c r="D867" s="314"/>
      <c r="E867" s="288"/>
      <c r="F867" s="82">
        <v>4</v>
      </c>
      <c r="G867" s="180" t="s">
        <v>108</v>
      </c>
      <c r="H867" s="232">
        <v>56.405584943313286</v>
      </c>
      <c r="I867" s="329"/>
      <c r="J867" s="329"/>
      <c r="K867" s="329"/>
      <c r="L867" s="232">
        <v>48.421719743633993</v>
      </c>
      <c r="M867" s="329">
        <v>3.3953429966792523</v>
      </c>
      <c r="N867" s="329">
        <v>0.66164446857880088</v>
      </c>
      <c r="O867" s="329">
        <v>1.3402842727896401E-2</v>
      </c>
      <c r="P867" s="329">
        <v>0.39474193744210179</v>
      </c>
    </row>
    <row r="868" spans="2:16" ht="18" customHeight="1">
      <c r="B868" s="284"/>
      <c r="C868" s="309" t="s">
        <v>262</v>
      </c>
      <c r="D868" s="310"/>
      <c r="E868" s="287" t="str">
        <f>HYPERLINK("#LAYOUT_e4!lay초YFAM2C03","YFAM2C03")</f>
        <v>YFAM2C03</v>
      </c>
      <c r="F868" s="78">
        <v>1</v>
      </c>
      <c r="G868" s="179" t="s">
        <v>105</v>
      </c>
      <c r="H868" s="230">
        <v>0.98040152708867045</v>
      </c>
      <c r="I868" s="327">
        <v>3.4389403267321632</v>
      </c>
      <c r="J868" s="327">
        <v>1.267529141878493E-2</v>
      </c>
      <c r="K868" s="327">
        <v>0.36858131326836863</v>
      </c>
      <c r="L868" s="230">
        <v>1.4007749274830623</v>
      </c>
      <c r="M868" s="327">
        <v>3.3351348197688053</v>
      </c>
      <c r="N868" s="327">
        <v>0.68194900477933518</v>
      </c>
      <c r="O868" s="327">
        <v>1.3814148978129531E-2</v>
      </c>
      <c r="P868" s="327">
        <v>0.41420061630633404</v>
      </c>
    </row>
    <row r="869" spans="2:16" ht="18" customHeight="1">
      <c r="B869" s="284"/>
      <c r="C869" s="311"/>
      <c r="D869" s="312"/>
      <c r="E869" s="289"/>
      <c r="F869" s="79">
        <v>2</v>
      </c>
      <c r="G869" s="178" t="s">
        <v>106</v>
      </c>
      <c r="H869" s="231">
        <v>5.6796001391240445</v>
      </c>
      <c r="I869" s="328"/>
      <c r="J869" s="328"/>
      <c r="K869" s="328"/>
      <c r="L869" s="231">
        <v>7.8998823205608701</v>
      </c>
      <c r="M869" s="328">
        <v>3.3351348197688053</v>
      </c>
      <c r="N869" s="328">
        <v>0.68194900477933518</v>
      </c>
      <c r="O869" s="328">
        <v>1.3814148978129531E-2</v>
      </c>
      <c r="P869" s="328">
        <v>0.41420061630633404</v>
      </c>
    </row>
    <row r="870" spans="2:16" ht="18" customHeight="1">
      <c r="B870" s="284"/>
      <c r="C870" s="311"/>
      <c r="D870" s="312"/>
      <c r="E870" s="289"/>
      <c r="F870" s="79">
        <v>3</v>
      </c>
      <c r="G870" s="178" t="s">
        <v>107</v>
      </c>
      <c r="H870" s="231">
        <v>41.805562467267038</v>
      </c>
      <c r="I870" s="328"/>
      <c r="J870" s="328"/>
      <c r="K870" s="328"/>
      <c r="L870" s="231">
        <v>46.484428599549197</v>
      </c>
      <c r="M870" s="328">
        <v>3.3351348197688053</v>
      </c>
      <c r="N870" s="328">
        <v>0.68194900477933518</v>
      </c>
      <c r="O870" s="328">
        <v>1.3814148978129531E-2</v>
      </c>
      <c r="P870" s="328">
        <v>0.41420061630633404</v>
      </c>
    </row>
    <row r="871" spans="2:16" ht="18" customHeight="1">
      <c r="B871" s="284"/>
      <c r="C871" s="313"/>
      <c r="D871" s="314"/>
      <c r="E871" s="288"/>
      <c r="F871" s="82">
        <v>4</v>
      </c>
      <c r="G871" s="180" t="s">
        <v>108</v>
      </c>
      <c r="H871" s="232">
        <v>51.534435866520248</v>
      </c>
      <c r="I871" s="329"/>
      <c r="J871" s="329"/>
      <c r="K871" s="329"/>
      <c r="L871" s="232">
        <v>44.214914152406877</v>
      </c>
      <c r="M871" s="329">
        <v>3.3351348197688053</v>
      </c>
      <c r="N871" s="329">
        <v>0.68194900477933518</v>
      </c>
      <c r="O871" s="329">
        <v>1.3814148978129531E-2</v>
      </c>
      <c r="P871" s="329">
        <v>0.41420061630633404</v>
      </c>
    </row>
    <row r="872" spans="2:16" ht="18" customHeight="1">
      <c r="B872" s="284"/>
      <c r="C872" s="309" t="s">
        <v>263</v>
      </c>
      <c r="D872" s="310"/>
      <c r="E872" s="287" t="str">
        <f>HYPERLINK("#LAYOUT_e4!lay초YFAM2C04","YFAM2C04")</f>
        <v>YFAM2C04</v>
      </c>
      <c r="F872" s="78">
        <v>1</v>
      </c>
      <c r="G872" s="179" t="s">
        <v>105</v>
      </c>
      <c r="H872" s="230">
        <v>0.77016622889161246</v>
      </c>
      <c r="I872" s="327">
        <v>3.4931639630070279</v>
      </c>
      <c r="J872" s="327">
        <v>1.1953029751535039E-2</v>
      </c>
      <c r="K872" s="327">
        <v>0.34218347258012721</v>
      </c>
      <c r="L872" s="230">
        <v>1.6610681363296735</v>
      </c>
      <c r="M872" s="327">
        <v>3.2950589864963291</v>
      </c>
      <c r="N872" s="327">
        <v>0.68996459843362001</v>
      </c>
      <c r="O872" s="327">
        <v>1.3976519777283742E-2</v>
      </c>
      <c r="P872" s="327">
        <v>0.42416599625565826</v>
      </c>
    </row>
    <row r="873" spans="2:16" ht="18" customHeight="1">
      <c r="B873" s="284"/>
      <c r="C873" s="311"/>
      <c r="D873" s="312"/>
      <c r="E873" s="289"/>
      <c r="F873" s="79">
        <v>2</v>
      </c>
      <c r="G873" s="178" t="s">
        <v>106</v>
      </c>
      <c r="H873" s="231">
        <v>3.8084399908266553</v>
      </c>
      <c r="I873" s="328"/>
      <c r="J873" s="328"/>
      <c r="K873" s="328"/>
      <c r="L873" s="231">
        <v>8.4096267411359982</v>
      </c>
      <c r="M873" s="328">
        <v>3.2950589864963291</v>
      </c>
      <c r="N873" s="328">
        <v>0.68996459843362001</v>
      </c>
      <c r="O873" s="328">
        <v>1.3976519777283742E-2</v>
      </c>
      <c r="P873" s="328">
        <v>0.42416599625565826</v>
      </c>
    </row>
    <row r="874" spans="2:16" ht="18" customHeight="1">
      <c r="B874" s="284"/>
      <c r="C874" s="311"/>
      <c r="D874" s="312"/>
      <c r="E874" s="289"/>
      <c r="F874" s="79">
        <v>3</v>
      </c>
      <c r="G874" s="178" t="s">
        <v>107</v>
      </c>
      <c r="H874" s="231">
        <v>40.756225030966526</v>
      </c>
      <c r="I874" s="328"/>
      <c r="J874" s="328"/>
      <c r="K874" s="328"/>
      <c r="L874" s="231">
        <v>48.691643459107347</v>
      </c>
      <c r="M874" s="328">
        <v>3.2950589864963291</v>
      </c>
      <c r="N874" s="328">
        <v>0.68996459843362001</v>
      </c>
      <c r="O874" s="328">
        <v>1.3976519777283742E-2</v>
      </c>
      <c r="P874" s="328">
        <v>0.42416599625565826</v>
      </c>
    </row>
    <row r="875" spans="2:16" ht="18" customHeight="1">
      <c r="B875" s="284"/>
      <c r="C875" s="313"/>
      <c r="D875" s="314"/>
      <c r="E875" s="288"/>
      <c r="F875" s="82">
        <v>4</v>
      </c>
      <c r="G875" s="180" t="s">
        <v>108</v>
      </c>
      <c r="H875" s="232">
        <v>54.665168749315214</v>
      </c>
      <c r="I875" s="329"/>
      <c r="J875" s="329"/>
      <c r="K875" s="329"/>
      <c r="L875" s="232">
        <v>41.237661663426969</v>
      </c>
      <c r="M875" s="329">
        <v>3.2950589864963291</v>
      </c>
      <c r="N875" s="329">
        <v>0.68996459843362001</v>
      </c>
      <c r="O875" s="329">
        <v>1.3976519777283742E-2</v>
      </c>
      <c r="P875" s="329">
        <v>0.42416599625565826</v>
      </c>
    </row>
    <row r="876" spans="2:16" ht="18" customHeight="1">
      <c r="B876" s="284"/>
      <c r="C876" s="309" t="s">
        <v>264</v>
      </c>
      <c r="D876" s="310"/>
      <c r="E876" s="287" t="str">
        <f>HYPERLINK("#LAYOUT_e4!lay초YFAM2D01","YFAM2D01")</f>
        <v>YFAM2D01</v>
      </c>
      <c r="F876" s="78">
        <v>1</v>
      </c>
      <c r="G876" s="179" t="s">
        <v>105</v>
      </c>
      <c r="H876" s="230">
        <v>12.527517861985245</v>
      </c>
      <c r="I876" s="327">
        <v>2.5858692006304977</v>
      </c>
      <c r="J876" s="327">
        <v>1.7652645555817224E-2</v>
      </c>
      <c r="K876" s="327">
        <v>0.68265810008924954</v>
      </c>
      <c r="L876" s="230">
        <v>8.7666896471049327</v>
      </c>
      <c r="M876" s="327">
        <v>2.6247151254909995</v>
      </c>
      <c r="N876" s="327">
        <v>0.85710721405494383</v>
      </c>
      <c r="O876" s="327">
        <v>1.7362305190277101E-2</v>
      </c>
      <c r="P876" s="327">
        <v>0.661492937715638</v>
      </c>
    </row>
    <row r="877" spans="2:16" ht="18" customHeight="1">
      <c r="B877" s="284"/>
      <c r="C877" s="311"/>
      <c r="D877" s="312"/>
      <c r="E877" s="289"/>
      <c r="F877" s="79">
        <v>2</v>
      </c>
      <c r="G877" s="178" t="s">
        <v>106</v>
      </c>
      <c r="H877" s="231">
        <v>32.302753465885068</v>
      </c>
      <c r="I877" s="328"/>
      <c r="J877" s="328"/>
      <c r="K877" s="328"/>
      <c r="L877" s="231">
        <v>36.222677973073054</v>
      </c>
      <c r="M877" s="328">
        <v>2.6247151254909995</v>
      </c>
      <c r="N877" s="328">
        <v>0.85710721405494383</v>
      </c>
      <c r="O877" s="328">
        <v>1.7362305190277101E-2</v>
      </c>
      <c r="P877" s="328">
        <v>0.661492937715638</v>
      </c>
    </row>
    <row r="878" spans="2:16" ht="18" customHeight="1">
      <c r="B878" s="284"/>
      <c r="C878" s="311"/>
      <c r="D878" s="312"/>
      <c r="E878" s="289"/>
      <c r="F878" s="79">
        <v>3</v>
      </c>
      <c r="G878" s="178" t="s">
        <v>107</v>
      </c>
      <c r="H878" s="231">
        <v>39.225019419222093</v>
      </c>
      <c r="I878" s="328"/>
      <c r="J878" s="328"/>
      <c r="K878" s="328"/>
      <c r="L878" s="231">
        <v>38.783062563439536</v>
      </c>
      <c r="M878" s="328">
        <v>2.6247151254909995</v>
      </c>
      <c r="N878" s="328">
        <v>0.85710721405494383</v>
      </c>
      <c r="O878" s="328">
        <v>1.7362305190277101E-2</v>
      </c>
      <c r="P878" s="328">
        <v>0.661492937715638</v>
      </c>
    </row>
    <row r="879" spans="2:16" ht="18" customHeight="1">
      <c r="B879" s="284"/>
      <c r="C879" s="313"/>
      <c r="D879" s="314"/>
      <c r="E879" s="288"/>
      <c r="F879" s="82">
        <v>4</v>
      </c>
      <c r="G879" s="180" t="s">
        <v>108</v>
      </c>
      <c r="H879" s="232">
        <v>15.944709252907565</v>
      </c>
      <c r="I879" s="329"/>
      <c r="J879" s="329"/>
      <c r="K879" s="329"/>
      <c r="L879" s="232">
        <v>16.227569816382459</v>
      </c>
      <c r="M879" s="329">
        <v>2.6247151254909995</v>
      </c>
      <c r="N879" s="329">
        <v>0.85710721405494383</v>
      </c>
      <c r="O879" s="329">
        <v>1.7362305190277101E-2</v>
      </c>
      <c r="P879" s="329">
        <v>0.661492937715638</v>
      </c>
    </row>
    <row r="880" spans="2:16" ht="18" customHeight="1">
      <c r="B880" s="284"/>
      <c r="C880" s="309" t="s">
        <v>265</v>
      </c>
      <c r="D880" s="310"/>
      <c r="E880" s="287" t="str">
        <f>HYPERLINK("#LAYOUT_e4!lay초YFAM2D02","YFAM2D02")</f>
        <v>YFAM2D02</v>
      </c>
      <c r="F880" s="78">
        <v>1</v>
      </c>
      <c r="G880" s="179" t="s">
        <v>105</v>
      </c>
      <c r="H880" s="230">
        <v>25.622493595907322</v>
      </c>
      <c r="I880" s="327">
        <v>2.1930835924818188</v>
      </c>
      <c r="J880" s="327">
        <v>1.8016427082185659E-2</v>
      </c>
      <c r="K880" s="327">
        <v>0.82151118835362025</v>
      </c>
      <c r="L880" s="230">
        <v>20.87161893571022</v>
      </c>
      <c r="M880" s="327">
        <v>2.2511085575548155</v>
      </c>
      <c r="N880" s="327">
        <v>0.87389210548780083</v>
      </c>
      <c r="O880" s="327">
        <v>1.7702314471337986E-2</v>
      </c>
      <c r="P880" s="327">
        <v>0.78638208770200257</v>
      </c>
    </row>
    <row r="881" spans="2:16" ht="18" customHeight="1">
      <c r="B881" s="284"/>
      <c r="C881" s="311"/>
      <c r="D881" s="312"/>
      <c r="E881" s="289"/>
      <c r="F881" s="79">
        <v>2</v>
      </c>
      <c r="G881" s="178" t="s">
        <v>106</v>
      </c>
      <c r="H881" s="231">
        <v>38.328335342732572</v>
      </c>
      <c r="I881" s="328"/>
      <c r="J881" s="328"/>
      <c r="K881" s="328"/>
      <c r="L881" s="231">
        <v>41.040336948323741</v>
      </c>
      <c r="M881" s="328">
        <v>2.2511085575548155</v>
      </c>
      <c r="N881" s="328">
        <v>0.87389210548780083</v>
      </c>
      <c r="O881" s="328">
        <v>1.7702314471337986E-2</v>
      </c>
      <c r="P881" s="328">
        <v>0.78638208770200257</v>
      </c>
    </row>
    <row r="882" spans="2:16" ht="18" customHeight="1">
      <c r="B882" s="284"/>
      <c r="C882" s="311"/>
      <c r="D882" s="312"/>
      <c r="E882" s="289"/>
      <c r="F882" s="79">
        <v>3</v>
      </c>
      <c r="G882" s="178" t="s">
        <v>107</v>
      </c>
      <c r="H882" s="231">
        <v>27.167489278629333</v>
      </c>
      <c r="I882" s="328"/>
      <c r="J882" s="328"/>
      <c r="K882" s="328"/>
      <c r="L882" s="231">
        <v>30.193613540740998</v>
      </c>
      <c r="M882" s="328">
        <v>2.2511085575548155</v>
      </c>
      <c r="N882" s="328">
        <v>0.87389210548780083</v>
      </c>
      <c r="O882" s="328">
        <v>1.7702314471337986E-2</v>
      </c>
      <c r="P882" s="328">
        <v>0.78638208770200257</v>
      </c>
    </row>
    <row r="883" spans="2:16" ht="18" customHeight="1">
      <c r="B883" s="284"/>
      <c r="C883" s="313"/>
      <c r="D883" s="314"/>
      <c r="E883" s="288"/>
      <c r="F883" s="82">
        <v>4</v>
      </c>
      <c r="G883" s="180" t="s">
        <v>108</v>
      </c>
      <c r="H883" s="232">
        <v>8.8816817827307748</v>
      </c>
      <c r="I883" s="329"/>
      <c r="J883" s="329"/>
      <c r="K883" s="329"/>
      <c r="L883" s="232">
        <v>7.8944305752250488</v>
      </c>
      <c r="M883" s="329">
        <v>2.2511085575548155</v>
      </c>
      <c r="N883" s="329">
        <v>0.87389210548780083</v>
      </c>
      <c r="O883" s="329">
        <v>1.7702314471337986E-2</v>
      </c>
      <c r="P883" s="329">
        <v>0.78638208770200257</v>
      </c>
    </row>
    <row r="884" spans="2:16" ht="18" customHeight="1">
      <c r="B884" s="284"/>
      <c r="C884" s="309" t="s">
        <v>266</v>
      </c>
      <c r="D884" s="310"/>
      <c r="E884" s="287" t="str">
        <f>HYPERLINK("#LAYOUT_e4!lay초YFAM2D03","YFAM2D03")</f>
        <v>YFAM2D03</v>
      </c>
      <c r="F884" s="78">
        <v>1</v>
      </c>
      <c r="G884" s="179" t="s">
        <v>105</v>
      </c>
      <c r="H884" s="230">
        <v>33.898783089802123</v>
      </c>
      <c r="I884" s="327">
        <v>1.9804751348326544</v>
      </c>
      <c r="J884" s="327">
        <v>1.7344871465856136E-2</v>
      </c>
      <c r="K884" s="327">
        <v>0.87579344778402102</v>
      </c>
      <c r="L884" s="230">
        <v>27.302996699788832</v>
      </c>
      <c r="M884" s="327">
        <v>2.0632228328769284</v>
      </c>
      <c r="N884" s="327">
        <v>0.85485488648189512</v>
      </c>
      <c r="O884" s="327">
        <v>1.7316680094524219E-2</v>
      </c>
      <c r="P884" s="327">
        <v>0.83930246498765637</v>
      </c>
    </row>
    <row r="885" spans="2:16" ht="18" customHeight="1">
      <c r="B885" s="284"/>
      <c r="C885" s="311"/>
      <c r="D885" s="312"/>
      <c r="E885" s="289"/>
      <c r="F885" s="79">
        <v>2</v>
      </c>
      <c r="G885" s="178" t="s">
        <v>106</v>
      </c>
      <c r="H885" s="231">
        <v>40.451488495252789</v>
      </c>
      <c r="I885" s="328"/>
      <c r="J885" s="328"/>
      <c r="K885" s="328"/>
      <c r="L885" s="231">
        <v>45.331291775567436</v>
      </c>
      <c r="M885" s="328">
        <v>2.0632228328769284</v>
      </c>
      <c r="N885" s="328">
        <v>0.85485488648189512</v>
      </c>
      <c r="O885" s="328">
        <v>1.7316680094524219E-2</v>
      </c>
      <c r="P885" s="328">
        <v>0.83930246498765637</v>
      </c>
    </row>
    <row r="886" spans="2:16" ht="18" customHeight="1">
      <c r="B886" s="284"/>
      <c r="C886" s="311"/>
      <c r="D886" s="312"/>
      <c r="E886" s="289"/>
      <c r="F886" s="79">
        <v>3</v>
      </c>
      <c r="G886" s="178" t="s">
        <v>107</v>
      </c>
      <c r="H886" s="231">
        <v>19.353160256820903</v>
      </c>
      <c r="I886" s="328"/>
      <c r="J886" s="328"/>
      <c r="K886" s="328"/>
      <c r="L886" s="231">
        <v>21.106143061805714</v>
      </c>
      <c r="M886" s="328">
        <v>2.0632228328769284</v>
      </c>
      <c r="N886" s="328">
        <v>0.85485488648189512</v>
      </c>
      <c r="O886" s="328">
        <v>1.7316680094524219E-2</v>
      </c>
      <c r="P886" s="328">
        <v>0.83930246498765637</v>
      </c>
    </row>
    <row r="887" spans="2:16" ht="18" customHeight="1">
      <c r="B887" s="284"/>
      <c r="C887" s="313"/>
      <c r="D887" s="314"/>
      <c r="E887" s="288"/>
      <c r="F887" s="82">
        <v>4</v>
      </c>
      <c r="G887" s="180" t="s">
        <v>108</v>
      </c>
      <c r="H887" s="232">
        <v>6.2965681581241597</v>
      </c>
      <c r="I887" s="329"/>
      <c r="J887" s="329"/>
      <c r="K887" s="329"/>
      <c r="L887" s="232">
        <v>6.2595684628380059</v>
      </c>
      <c r="M887" s="329">
        <v>2.0632228328769284</v>
      </c>
      <c r="N887" s="329">
        <v>0.85485488648189512</v>
      </c>
      <c r="O887" s="329">
        <v>1.7316680094524219E-2</v>
      </c>
      <c r="P887" s="329">
        <v>0.83930246498765637</v>
      </c>
    </row>
    <row r="888" spans="2:16" ht="18" customHeight="1">
      <c r="B888" s="284"/>
      <c r="C888" s="309" t="s">
        <v>267</v>
      </c>
      <c r="D888" s="310"/>
      <c r="E888" s="287" t="str">
        <f>HYPERLINK("#LAYOUT_e4!lay초YFAM2D04","YFAM2D04")</f>
        <v>YFAM2D04</v>
      </c>
      <c r="F888" s="78">
        <v>1</v>
      </c>
      <c r="G888" s="179" t="s">
        <v>105</v>
      </c>
      <c r="H888" s="230">
        <v>47.603193854333604</v>
      </c>
      <c r="I888" s="327">
        <v>1.6744726844754243</v>
      </c>
      <c r="J888" s="327">
        <v>1.4995364588490736E-2</v>
      </c>
      <c r="K888" s="327">
        <v>0.89552757280053608</v>
      </c>
      <c r="L888" s="230">
        <v>40.216562522951165</v>
      </c>
      <c r="M888" s="327">
        <v>1.7882368661809036</v>
      </c>
      <c r="N888" s="327">
        <v>0.78787324755282817</v>
      </c>
      <c r="O888" s="327">
        <v>1.5959842072207849E-2</v>
      </c>
      <c r="P888" s="327">
        <v>0.89249038391054536</v>
      </c>
    </row>
    <row r="889" spans="2:16" ht="18" customHeight="1">
      <c r="B889" s="284"/>
      <c r="C889" s="311"/>
      <c r="D889" s="312"/>
      <c r="E889" s="289"/>
      <c r="F889" s="79">
        <v>2</v>
      </c>
      <c r="G889" s="178" t="s">
        <v>106</v>
      </c>
      <c r="H889" s="231">
        <v>40.617300399484535</v>
      </c>
      <c r="I889" s="328"/>
      <c r="J889" s="328"/>
      <c r="K889" s="328"/>
      <c r="L889" s="231">
        <v>44.381440628779806</v>
      </c>
      <c r="M889" s="328">
        <v>1.7882368661809036</v>
      </c>
      <c r="N889" s="328">
        <v>0.78787324755282817</v>
      </c>
      <c r="O889" s="328">
        <v>1.5959842072207849E-2</v>
      </c>
      <c r="P889" s="328">
        <v>0.89249038391054536</v>
      </c>
    </row>
    <row r="890" spans="2:16" ht="18" customHeight="1">
      <c r="B890" s="284"/>
      <c r="C890" s="311"/>
      <c r="D890" s="312"/>
      <c r="E890" s="289"/>
      <c r="F890" s="79">
        <v>3</v>
      </c>
      <c r="G890" s="178" t="s">
        <v>107</v>
      </c>
      <c r="H890" s="231">
        <v>8.5085491904854127</v>
      </c>
      <c r="I890" s="328"/>
      <c r="J890" s="328"/>
      <c r="K890" s="328"/>
      <c r="L890" s="231">
        <v>11.763744555497016</v>
      </c>
      <c r="M890" s="328">
        <v>1.7882368661809036</v>
      </c>
      <c r="N890" s="328">
        <v>0.78787324755282817</v>
      </c>
      <c r="O890" s="328">
        <v>1.5959842072207849E-2</v>
      </c>
      <c r="P890" s="328">
        <v>0.89249038391054536</v>
      </c>
    </row>
    <row r="891" spans="2:16" ht="18" customHeight="1">
      <c r="B891" s="284"/>
      <c r="C891" s="313"/>
      <c r="D891" s="314"/>
      <c r="E891" s="288"/>
      <c r="F891" s="82">
        <v>4</v>
      </c>
      <c r="G891" s="180" t="s">
        <v>108</v>
      </c>
      <c r="H891" s="232">
        <v>3.2709565556964595</v>
      </c>
      <c r="I891" s="329"/>
      <c r="J891" s="329"/>
      <c r="K891" s="329"/>
      <c r="L891" s="232">
        <v>3.6382522927720249</v>
      </c>
      <c r="M891" s="329">
        <v>1.7882368661809036</v>
      </c>
      <c r="N891" s="329">
        <v>0.78787324755282817</v>
      </c>
      <c r="O891" s="329">
        <v>1.5959842072207849E-2</v>
      </c>
      <c r="P891" s="329">
        <v>0.89249038391054536</v>
      </c>
    </row>
    <row r="892" spans="2:16" ht="18" customHeight="1">
      <c r="B892" s="284"/>
      <c r="C892" s="309" t="s">
        <v>268</v>
      </c>
      <c r="D892" s="310"/>
      <c r="E892" s="287" t="str">
        <f>HYPERLINK("#LAYOUT_e4!lay초YFAM2E01","YFAM2E01")</f>
        <v>YFAM2E01</v>
      </c>
      <c r="F892" s="78">
        <v>1</v>
      </c>
      <c r="G892" s="179" t="s">
        <v>105</v>
      </c>
      <c r="H892" s="230">
        <v>3.9899212543907314</v>
      </c>
      <c r="I892" s="327">
        <v>3.067798986890137</v>
      </c>
      <c r="J892" s="327">
        <v>1.5183483612088589E-2</v>
      </c>
      <c r="K892" s="327">
        <v>0.49493085032537476</v>
      </c>
      <c r="L892" s="230">
        <v>3.3536641449287723</v>
      </c>
      <c r="M892" s="327">
        <v>2.9682732188048697</v>
      </c>
      <c r="N892" s="327">
        <v>0.69469693646711184</v>
      </c>
      <c r="O892" s="327">
        <v>1.4072382110319453E-2</v>
      </c>
      <c r="P892" s="327">
        <v>0.47409322097328654</v>
      </c>
    </row>
    <row r="893" spans="2:16" ht="18" customHeight="1">
      <c r="B893" s="284"/>
      <c r="C893" s="311"/>
      <c r="D893" s="312"/>
      <c r="E893" s="289"/>
      <c r="F893" s="79">
        <v>2</v>
      </c>
      <c r="G893" s="178" t="s">
        <v>106</v>
      </c>
      <c r="H893" s="231">
        <v>14.909246173678675</v>
      </c>
      <c r="I893" s="328"/>
      <c r="J893" s="328"/>
      <c r="K893" s="328"/>
      <c r="L893" s="231">
        <v>15.695966137147321</v>
      </c>
      <c r="M893" s="328">
        <v>2.9682732188048697</v>
      </c>
      <c r="N893" s="328">
        <v>0.69469693646711184</v>
      </c>
      <c r="O893" s="328">
        <v>1.4072382110319453E-2</v>
      </c>
      <c r="P893" s="328">
        <v>0.47409322097328654</v>
      </c>
    </row>
    <row r="894" spans="2:16" ht="18" customHeight="1">
      <c r="B894" s="284"/>
      <c r="C894" s="311"/>
      <c r="D894" s="312"/>
      <c r="E894" s="289"/>
      <c r="F894" s="79">
        <v>3</v>
      </c>
      <c r="G894" s="178" t="s">
        <v>107</v>
      </c>
      <c r="H894" s="231">
        <v>51.431845200453004</v>
      </c>
      <c r="I894" s="328"/>
      <c r="J894" s="328"/>
      <c r="K894" s="328"/>
      <c r="L894" s="231">
        <v>61.719753410432794</v>
      </c>
      <c r="M894" s="328">
        <v>2.9682732188048697</v>
      </c>
      <c r="N894" s="328">
        <v>0.69469693646711184</v>
      </c>
      <c r="O894" s="328">
        <v>1.4072382110319453E-2</v>
      </c>
      <c r="P894" s="328">
        <v>0.47409322097328654</v>
      </c>
    </row>
    <row r="895" spans="2:16" ht="18" customHeight="1">
      <c r="B895" s="284"/>
      <c r="C895" s="313"/>
      <c r="D895" s="314"/>
      <c r="E895" s="288"/>
      <c r="F895" s="82">
        <v>4</v>
      </c>
      <c r="G895" s="180" t="s">
        <v>108</v>
      </c>
      <c r="H895" s="232">
        <v>29.668987371477595</v>
      </c>
      <c r="I895" s="329"/>
      <c r="J895" s="329"/>
      <c r="K895" s="329"/>
      <c r="L895" s="232">
        <v>19.230616307491118</v>
      </c>
      <c r="M895" s="329">
        <v>2.9682732188048697</v>
      </c>
      <c r="N895" s="329">
        <v>0.69469693646711184</v>
      </c>
      <c r="O895" s="329">
        <v>1.4072382110319453E-2</v>
      </c>
      <c r="P895" s="329">
        <v>0.47409322097328654</v>
      </c>
    </row>
    <row r="896" spans="2:16" ht="18" customHeight="1">
      <c r="B896" s="284"/>
      <c r="C896" s="309" t="s">
        <v>269</v>
      </c>
      <c r="D896" s="310"/>
      <c r="E896" s="287" t="str">
        <f>HYPERLINK("#LAYOUT_e4!lay초YFAM2E02","YFAM2E02")</f>
        <v>YFAM2E02</v>
      </c>
      <c r="F896" s="78">
        <v>1</v>
      </c>
      <c r="G896" s="179" t="s">
        <v>105</v>
      </c>
      <c r="H896" s="230">
        <v>1.6190969115513154</v>
      </c>
      <c r="I896" s="327">
        <v>3.3627005096521203</v>
      </c>
      <c r="J896" s="327">
        <v>1.3035720376453118E-2</v>
      </c>
      <c r="K896" s="327">
        <v>0.38765630001946549</v>
      </c>
      <c r="L896" s="230">
        <v>2.1165858743481278</v>
      </c>
      <c r="M896" s="327">
        <v>3.2095170538285402</v>
      </c>
      <c r="N896" s="327">
        <v>0.68578895458609845</v>
      </c>
      <c r="O896" s="327">
        <v>1.3891934323261511E-2</v>
      </c>
      <c r="P896" s="327">
        <v>0.43283566001589602</v>
      </c>
    </row>
    <row r="897" spans="2:16" ht="18" customHeight="1">
      <c r="B897" s="284"/>
      <c r="C897" s="311"/>
      <c r="D897" s="312"/>
      <c r="E897" s="289"/>
      <c r="F897" s="79">
        <v>2</v>
      </c>
      <c r="G897" s="178" t="s">
        <v>106</v>
      </c>
      <c r="H897" s="231">
        <v>5.7271465148546801</v>
      </c>
      <c r="I897" s="328"/>
      <c r="J897" s="328"/>
      <c r="K897" s="328"/>
      <c r="L897" s="231">
        <v>8.8749346974313266</v>
      </c>
      <c r="M897" s="328">
        <v>3.2095170538285402</v>
      </c>
      <c r="N897" s="328">
        <v>0.68578895458609845</v>
      </c>
      <c r="O897" s="328">
        <v>1.3891934323261511E-2</v>
      </c>
      <c r="P897" s="328">
        <v>0.43283566001589602</v>
      </c>
    </row>
    <row r="898" spans="2:16" ht="18" customHeight="1">
      <c r="B898" s="284"/>
      <c r="C898" s="311"/>
      <c r="D898" s="312"/>
      <c r="E898" s="289"/>
      <c r="F898" s="79">
        <v>3</v>
      </c>
      <c r="G898" s="178" t="s">
        <v>107</v>
      </c>
      <c r="H898" s="231">
        <v>47.41836527042193</v>
      </c>
      <c r="I898" s="328"/>
      <c r="J898" s="328"/>
      <c r="K898" s="328"/>
      <c r="L898" s="231">
        <v>54.948667599240054</v>
      </c>
      <c r="M898" s="328">
        <v>3.2095170538285402</v>
      </c>
      <c r="N898" s="328">
        <v>0.68578895458609845</v>
      </c>
      <c r="O898" s="328">
        <v>1.3891934323261511E-2</v>
      </c>
      <c r="P898" s="328">
        <v>0.43283566001589602</v>
      </c>
    </row>
    <row r="899" spans="2:16" ht="18" customHeight="1">
      <c r="B899" s="284"/>
      <c r="C899" s="313"/>
      <c r="D899" s="314"/>
      <c r="E899" s="288"/>
      <c r="F899" s="82">
        <v>4</v>
      </c>
      <c r="G899" s="180" t="s">
        <v>108</v>
      </c>
      <c r="H899" s="232">
        <v>45.235391303172065</v>
      </c>
      <c r="I899" s="329"/>
      <c r="J899" s="329"/>
      <c r="K899" s="329"/>
      <c r="L899" s="232">
        <v>34.059811828980493</v>
      </c>
      <c r="M899" s="329">
        <v>3.2095170538285402</v>
      </c>
      <c r="N899" s="329">
        <v>0.68578895458609845</v>
      </c>
      <c r="O899" s="329">
        <v>1.3891934323261511E-2</v>
      </c>
      <c r="P899" s="329">
        <v>0.43283566001589602</v>
      </c>
    </row>
    <row r="900" spans="2:16" ht="18" customHeight="1">
      <c r="B900" s="284"/>
      <c r="C900" s="309" t="s">
        <v>270</v>
      </c>
      <c r="D900" s="310"/>
      <c r="E900" s="287" t="str">
        <f>HYPERLINK("#LAYOUT_e4!lay초YFAM2E03","YFAM2E03")</f>
        <v>YFAM2E03</v>
      </c>
      <c r="F900" s="78">
        <v>1</v>
      </c>
      <c r="G900" s="179" t="s">
        <v>105</v>
      </c>
      <c r="H900" s="230">
        <v>0.76269725939417099</v>
      </c>
      <c r="I900" s="327">
        <v>3.4865117220736921</v>
      </c>
      <c r="J900" s="327">
        <v>1.1914925336121641E-2</v>
      </c>
      <c r="K900" s="327">
        <v>0.34174344691532943</v>
      </c>
      <c r="L900" s="230">
        <v>1.8439368085953536</v>
      </c>
      <c r="M900" s="327">
        <v>3.2510449443724903</v>
      </c>
      <c r="N900" s="327">
        <v>0.66692466677315276</v>
      </c>
      <c r="O900" s="327">
        <v>1.3509802990290847E-2</v>
      </c>
      <c r="P900" s="327">
        <v>0.41555263681223842</v>
      </c>
    </row>
    <row r="901" spans="2:16" ht="18" customHeight="1">
      <c r="B901" s="284"/>
      <c r="C901" s="311"/>
      <c r="D901" s="312"/>
      <c r="E901" s="289"/>
      <c r="F901" s="79">
        <v>2</v>
      </c>
      <c r="G901" s="178" t="s">
        <v>106</v>
      </c>
      <c r="H901" s="231">
        <v>3.7191024871139717</v>
      </c>
      <c r="I901" s="328"/>
      <c r="J901" s="328"/>
      <c r="K901" s="328"/>
      <c r="L901" s="231">
        <v>7.2974203790213199</v>
      </c>
      <c r="M901" s="328">
        <v>3.2510449443724903</v>
      </c>
      <c r="N901" s="328">
        <v>0.66692466677315276</v>
      </c>
      <c r="O901" s="328">
        <v>1.3509802990290847E-2</v>
      </c>
      <c r="P901" s="328">
        <v>0.41555263681223842</v>
      </c>
    </row>
    <row r="902" spans="2:16" ht="18" customHeight="1">
      <c r="B902" s="284"/>
      <c r="C902" s="311"/>
      <c r="D902" s="312"/>
      <c r="E902" s="289"/>
      <c r="F902" s="79">
        <v>3</v>
      </c>
      <c r="G902" s="178" t="s">
        <v>107</v>
      </c>
      <c r="H902" s="231">
        <v>41.622531040217694</v>
      </c>
      <c r="I902" s="328"/>
      <c r="J902" s="328"/>
      <c r="K902" s="328"/>
      <c r="L902" s="231">
        <v>54.768854378923663</v>
      </c>
      <c r="M902" s="328">
        <v>3.2510449443724903</v>
      </c>
      <c r="N902" s="328">
        <v>0.66692466677315276</v>
      </c>
      <c r="O902" s="328">
        <v>1.3509802990290847E-2</v>
      </c>
      <c r="P902" s="328">
        <v>0.41555263681223842</v>
      </c>
    </row>
    <row r="903" spans="2:16" ht="18" customHeight="1">
      <c r="B903" s="284"/>
      <c r="C903" s="313"/>
      <c r="D903" s="314"/>
      <c r="E903" s="288"/>
      <c r="F903" s="82">
        <v>4</v>
      </c>
      <c r="G903" s="180" t="s">
        <v>108</v>
      </c>
      <c r="H903" s="232">
        <v>53.895669213274147</v>
      </c>
      <c r="I903" s="329"/>
      <c r="J903" s="329"/>
      <c r="K903" s="329"/>
      <c r="L903" s="232">
        <v>36.089788433459674</v>
      </c>
      <c r="M903" s="329">
        <v>3.2510449443724903</v>
      </c>
      <c r="N903" s="329">
        <v>0.66692466677315276</v>
      </c>
      <c r="O903" s="329">
        <v>1.3509802990290847E-2</v>
      </c>
      <c r="P903" s="329">
        <v>0.41555263681223842</v>
      </c>
    </row>
    <row r="904" spans="2:16" ht="18" customHeight="1">
      <c r="B904" s="284"/>
      <c r="C904" s="309" t="s">
        <v>271</v>
      </c>
      <c r="D904" s="310"/>
      <c r="E904" s="287" t="str">
        <f>HYPERLINK("#LAYOUT_e4!lay초YFAM2E04","YFAM2E04")</f>
        <v>YFAM2E04</v>
      </c>
      <c r="F904" s="78">
        <v>1</v>
      </c>
      <c r="G904" s="179" t="s">
        <v>105</v>
      </c>
      <c r="H904" s="230">
        <v>1.9220971394377455</v>
      </c>
      <c r="I904" s="327">
        <v>3.3032998535409339</v>
      </c>
      <c r="J904" s="327">
        <v>1.3629377945167581E-2</v>
      </c>
      <c r="K904" s="327">
        <v>0.41259887232331421</v>
      </c>
      <c r="L904" s="230">
        <v>3.5301204312617926</v>
      </c>
      <c r="M904" s="327">
        <v>3.0956403556619674</v>
      </c>
      <c r="N904" s="327">
        <v>0.75789592841686737</v>
      </c>
      <c r="O904" s="327">
        <v>1.5352595563147987E-2</v>
      </c>
      <c r="P904" s="327">
        <v>0.49594248036816962</v>
      </c>
    </row>
    <row r="905" spans="2:16" ht="18" customHeight="1">
      <c r="B905" s="284"/>
      <c r="C905" s="311"/>
      <c r="D905" s="312"/>
      <c r="E905" s="289"/>
      <c r="F905" s="79">
        <v>2</v>
      </c>
      <c r="G905" s="178" t="s">
        <v>106</v>
      </c>
      <c r="H905" s="231">
        <v>7.8727765578777573</v>
      </c>
      <c r="I905" s="328"/>
      <c r="J905" s="328"/>
      <c r="K905" s="328"/>
      <c r="L905" s="231">
        <v>13.793501610691012</v>
      </c>
      <c r="M905" s="328">
        <v>3.0956403556619674</v>
      </c>
      <c r="N905" s="328">
        <v>0.75789592841686737</v>
      </c>
      <c r="O905" s="328">
        <v>1.5352595563147987E-2</v>
      </c>
      <c r="P905" s="328">
        <v>0.49594248036816962</v>
      </c>
    </row>
    <row r="906" spans="2:16" ht="18" customHeight="1">
      <c r="B906" s="284"/>
      <c r="C906" s="311"/>
      <c r="D906" s="312"/>
      <c r="E906" s="289"/>
      <c r="F906" s="79">
        <v>3</v>
      </c>
      <c r="G906" s="178" t="s">
        <v>107</v>
      </c>
      <c r="H906" s="231">
        <v>48.158170111835084</v>
      </c>
      <c r="I906" s="328"/>
      <c r="J906" s="328"/>
      <c r="K906" s="328"/>
      <c r="L906" s="231">
        <v>52.258599918636811</v>
      </c>
      <c r="M906" s="328">
        <v>3.0956403556619674</v>
      </c>
      <c r="N906" s="328">
        <v>0.75789592841686737</v>
      </c>
      <c r="O906" s="328">
        <v>1.5352595563147987E-2</v>
      </c>
      <c r="P906" s="328">
        <v>0.49594248036816962</v>
      </c>
    </row>
    <row r="907" spans="2:16" ht="18" customHeight="1">
      <c r="B907" s="284"/>
      <c r="C907" s="313"/>
      <c r="D907" s="314"/>
      <c r="E907" s="288"/>
      <c r="F907" s="82">
        <v>4</v>
      </c>
      <c r="G907" s="180" t="s">
        <v>108</v>
      </c>
      <c r="H907" s="232">
        <v>42.046956190849407</v>
      </c>
      <c r="I907" s="329"/>
      <c r="J907" s="329"/>
      <c r="K907" s="329"/>
      <c r="L907" s="232">
        <v>30.417778039410361</v>
      </c>
      <c r="M907" s="329">
        <v>3.0956403556619674</v>
      </c>
      <c r="N907" s="329">
        <v>0.75789592841686737</v>
      </c>
      <c r="O907" s="329">
        <v>1.5352595563147987E-2</v>
      </c>
      <c r="P907" s="329">
        <v>0.49594248036816962</v>
      </c>
    </row>
    <row r="908" spans="2:16" ht="18" customHeight="1">
      <c r="B908" s="284"/>
      <c r="C908" s="309" t="s">
        <v>272</v>
      </c>
      <c r="D908" s="310"/>
      <c r="E908" s="287" t="str">
        <f>HYPERLINK("#LAYOUT_e4!lay초YFAM2F01","YFAM2F01")</f>
        <v>YFAM2F01</v>
      </c>
      <c r="F908" s="78">
        <v>1</v>
      </c>
      <c r="G908" s="179" t="s">
        <v>105</v>
      </c>
      <c r="H908" s="230">
        <v>32.138710309907609</v>
      </c>
      <c r="I908" s="327">
        <v>2.0383223475021168</v>
      </c>
      <c r="J908" s="327">
        <v>1.7475595202417239E-2</v>
      </c>
      <c r="K908" s="327">
        <v>0.85735189156086578</v>
      </c>
      <c r="L908" s="230">
        <v>25.214309409634978</v>
      </c>
      <c r="M908" s="327">
        <v>2.1139904752627015</v>
      </c>
      <c r="N908" s="327">
        <v>0.84915108456163024</v>
      </c>
      <c r="O908" s="327">
        <v>1.7201138948608505E-2</v>
      </c>
      <c r="P908" s="327">
        <v>0.81368100518385522</v>
      </c>
    </row>
    <row r="909" spans="2:16" ht="18" customHeight="1">
      <c r="B909" s="284"/>
      <c r="C909" s="311"/>
      <c r="D909" s="312"/>
      <c r="E909" s="289"/>
      <c r="F909" s="79">
        <v>2</v>
      </c>
      <c r="G909" s="178" t="s">
        <v>106</v>
      </c>
      <c r="H909" s="231">
        <v>37.702101587402822</v>
      </c>
      <c r="I909" s="328"/>
      <c r="J909" s="328"/>
      <c r="K909" s="328"/>
      <c r="L909" s="231">
        <v>43.946276165774648</v>
      </c>
      <c r="M909" s="328">
        <v>2.1139904752627015</v>
      </c>
      <c r="N909" s="328">
        <v>0.84915108456163024</v>
      </c>
      <c r="O909" s="328">
        <v>1.7201138948608505E-2</v>
      </c>
      <c r="P909" s="328">
        <v>0.81368100518385522</v>
      </c>
    </row>
    <row r="910" spans="2:16" ht="18" customHeight="1">
      <c r="B910" s="284"/>
      <c r="C910" s="311"/>
      <c r="D910" s="312"/>
      <c r="E910" s="289"/>
      <c r="F910" s="79">
        <v>3</v>
      </c>
      <c r="G910" s="178" t="s">
        <v>107</v>
      </c>
      <c r="H910" s="231">
        <v>24.34743114525871</v>
      </c>
      <c r="I910" s="328"/>
      <c r="J910" s="328"/>
      <c r="K910" s="328"/>
      <c r="L910" s="231">
        <v>25.065471913275957</v>
      </c>
      <c r="M910" s="328">
        <v>2.1139904752627015</v>
      </c>
      <c r="N910" s="328">
        <v>0.84915108456163024</v>
      </c>
      <c r="O910" s="328">
        <v>1.7201138948608505E-2</v>
      </c>
      <c r="P910" s="328">
        <v>0.81368100518385522</v>
      </c>
    </row>
    <row r="911" spans="2:16" ht="18" customHeight="1">
      <c r="B911" s="284"/>
      <c r="C911" s="313"/>
      <c r="D911" s="314"/>
      <c r="E911" s="288"/>
      <c r="F911" s="82">
        <v>4</v>
      </c>
      <c r="G911" s="180" t="s">
        <v>108</v>
      </c>
      <c r="H911" s="232">
        <v>5.8117569574308492</v>
      </c>
      <c r="I911" s="329"/>
      <c r="J911" s="329"/>
      <c r="K911" s="329"/>
      <c r="L911" s="232">
        <v>5.7739425113144014</v>
      </c>
      <c r="M911" s="329">
        <v>2.1139904752627015</v>
      </c>
      <c r="N911" s="329">
        <v>0.84915108456163024</v>
      </c>
      <c r="O911" s="329">
        <v>1.7201138948608505E-2</v>
      </c>
      <c r="P911" s="329">
        <v>0.81368100518385522</v>
      </c>
    </row>
    <row r="912" spans="2:16" ht="18" customHeight="1">
      <c r="B912" s="284"/>
      <c r="C912" s="309" t="s">
        <v>273</v>
      </c>
      <c r="D912" s="310"/>
      <c r="E912" s="287" t="str">
        <f>HYPERLINK("#LAYOUT_e4!lay초YFAM2F02","YFAM2F02")</f>
        <v>YFAM2F02</v>
      </c>
      <c r="F912" s="78">
        <v>1</v>
      </c>
      <c r="G912" s="179" t="s">
        <v>105</v>
      </c>
      <c r="H912" s="230">
        <v>24.13575189216083</v>
      </c>
      <c r="I912" s="327">
        <v>2.2082421541593793</v>
      </c>
      <c r="J912" s="327">
        <v>1.6786314982554125E-2</v>
      </c>
      <c r="K912" s="327">
        <v>0.76016640434727301</v>
      </c>
      <c r="L912" s="230">
        <v>18.652505189031643</v>
      </c>
      <c r="M912" s="327">
        <v>2.3205038126407418</v>
      </c>
      <c r="N912" s="327">
        <v>0.84021773420094514</v>
      </c>
      <c r="O912" s="327">
        <v>1.7020177275680677E-2</v>
      </c>
      <c r="P912" s="327">
        <v>0.73346905025386089</v>
      </c>
    </row>
    <row r="913" spans="2:16" ht="18" customHeight="1">
      <c r="B913" s="284"/>
      <c r="C913" s="311"/>
      <c r="D913" s="312"/>
      <c r="E913" s="289"/>
      <c r="F913" s="79">
        <v>2</v>
      </c>
      <c r="G913" s="178" t="s">
        <v>106</v>
      </c>
      <c r="H913" s="231">
        <v>35.240643239420322</v>
      </c>
      <c r="I913" s="328"/>
      <c r="J913" s="328"/>
      <c r="K913" s="328"/>
      <c r="L913" s="231">
        <v>36.386854954221249</v>
      </c>
      <c r="M913" s="328">
        <v>2.3205038126407418</v>
      </c>
      <c r="N913" s="328">
        <v>0.84021773420094514</v>
      </c>
      <c r="O913" s="328">
        <v>1.7020177275680677E-2</v>
      </c>
      <c r="P913" s="328">
        <v>0.73346905025386089</v>
      </c>
    </row>
    <row r="914" spans="2:16" ht="18" customHeight="1">
      <c r="B914" s="284"/>
      <c r="C914" s="311"/>
      <c r="D914" s="312"/>
      <c r="E914" s="289"/>
      <c r="F914" s="79">
        <v>3</v>
      </c>
      <c r="G914" s="178" t="s">
        <v>107</v>
      </c>
      <c r="H914" s="231">
        <v>36.287242428736576</v>
      </c>
      <c r="I914" s="328"/>
      <c r="J914" s="328"/>
      <c r="K914" s="328"/>
      <c r="L914" s="231">
        <v>39.218393260389341</v>
      </c>
      <c r="M914" s="328">
        <v>2.3205038126407418</v>
      </c>
      <c r="N914" s="328">
        <v>0.84021773420094514</v>
      </c>
      <c r="O914" s="328">
        <v>1.7020177275680677E-2</v>
      </c>
      <c r="P914" s="328">
        <v>0.73346905025386089</v>
      </c>
    </row>
    <row r="915" spans="2:16" ht="18" customHeight="1">
      <c r="B915" s="284"/>
      <c r="C915" s="313"/>
      <c r="D915" s="314"/>
      <c r="E915" s="288"/>
      <c r="F915" s="82">
        <v>4</v>
      </c>
      <c r="G915" s="180" t="s">
        <v>108</v>
      </c>
      <c r="H915" s="232">
        <v>4.3363624396822402</v>
      </c>
      <c r="I915" s="329"/>
      <c r="J915" s="329"/>
      <c r="K915" s="329"/>
      <c r="L915" s="232">
        <v>5.7422465963577922</v>
      </c>
      <c r="M915" s="329">
        <v>2.3205038126407418</v>
      </c>
      <c r="N915" s="329">
        <v>0.84021773420094514</v>
      </c>
      <c r="O915" s="329">
        <v>1.7020177275680677E-2</v>
      </c>
      <c r="P915" s="329">
        <v>0.73346905025386089</v>
      </c>
    </row>
    <row r="916" spans="2:16" ht="18" customHeight="1">
      <c r="B916" s="284"/>
      <c r="C916" s="309" t="s">
        <v>274</v>
      </c>
      <c r="D916" s="310"/>
      <c r="E916" s="287" t="str">
        <f>HYPERLINK("#LAYOUT_e4!lay초YFAM2F03","YFAM2F03")</f>
        <v>YFAM2F03</v>
      </c>
      <c r="F916" s="78">
        <v>1</v>
      </c>
      <c r="G916" s="179" t="s">
        <v>105</v>
      </c>
      <c r="H916" s="230">
        <v>41.122848999475714</v>
      </c>
      <c r="I916" s="327">
        <v>1.745331959916018</v>
      </c>
      <c r="J916" s="327">
        <v>1.4565793010153564E-2</v>
      </c>
      <c r="K916" s="327">
        <v>0.83455716990677486</v>
      </c>
      <c r="L916" s="230">
        <v>33.502402485786</v>
      </c>
      <c r="M916" s="327">
        <v>1.8922807043340064</v>
      </c>
      <c r="N916" s="327">
        <v>0.79261362618079823</v>
      </c>
      <c r="O916" s="327">
        <v>1.6055867282481023E-2</v>
      </c>
      <c r="P916" s="327">
        <v>0.84849289250306714</v>
      </c>
    </row>
    <row r="917" spans="2:16" ht="18" customHeight="1">
      <c r="B917" s="284"/>
      <c r="C917" s="311"/>
      <c r="D917" s="312"/>
      <c r="E917" s="289"/>
      <c r="F917" s="79">
        <v>2</v>
      </c>
      <c r="G917" s="178" t="s">
        <v>106</v>
      </c>
      <c r="H917" s="231">
        <v>45.719200625884639</v>
      </c>
      <c r="I917" s="328"/>
      <c r="J917" s="328"/>
      <c r="K917" s="328"/>
      <c r="L917" s="231">
        <v>47.629787702144547</v>
      </c>
      <c r="M917" s="328">
        <v>1.8922807043340064</v>
      </c>
      <c r="N917" s="328">
        <v>0.79261362618079823</v>
      </c>
      <c r="O917" s="328">
        <v>1.6055867282481023E-2</v>
      </c>
      <c r="P917" s="328">
        <v>0.84849289250306714</v>
      </c>
    </row>
    <row r="918" spans="2:16" ht="18" customHeight="1">
      <c r="B918" s="284"/>
      <c r="C918" s="311"/>
      <c r="D918" s="312"/>
      <c r="E918" s="289"/>
      <c r="F918" s="79">
        <v>3</v>
      </c>
      <c r="G918" s="178" t="s">
        <v>107</v>
      </c>
      <c r="H918" s="231">
        <v>10.659855758199795</v>
      </c>
      <c r="I918" s="328"/>
      <c r="J918" s="328"/>
      <c r="K918" s="328"/>
      <c r="L918" s="231">
        <v>15.00514670495256</v>
      </c>
      <c r="M918" s="328">
        <v>1.8922807043340064</v>
      </c>
      <c r="N918" s="328">
        <v>0.79261362618079823</v>
      </c>
      <c r="O918" s="328">
        <v>1.6055867282481023E-2</v>
      </c>
      <c r="P918" s="328">
        <v>0.84849289250306714</v>
      </c>
    </row>
    <row r="919" spans="2:16" ht="18" customHeight="1">
      <c r="B919" s="284"/>
      <c r="C919" s="313"/>
      <c r="D919" s="314"/>
      <c r="E919" s="288"/>
      <c r="F919" s="82">
        <v>4</v>
      </c>
      <c r="G919" s="180" t="s">
        <v>108</v>
      </c>
      <c r="H919" s="232">
        <v>2.4980946164398596</v>
      </c>
      <c r="I919" s="329"/>
      <c r="J919" s="329"/>
      <c r="K919" s="329"/>
      <c r="L919" s="232">
        <v>3.8626631071168824</v>
      </c>
      <c r="M919" s="329">
        <v>1.8922807043340064</v>
      </c>
      <c r="N919" s="329">
        <v>0.79261362618079823</v>
      </c>
      <c r="O919" s="329">
        <v>1.6055867282481023E-2</v>
      </c>
      <c r="P919" s="329">
        <v>0.84849289250306714</v>
      </c>
    </row>
    <row r="920" spans="2:16" ht="18" customHeight="1">
      <c r="B920" s="284"/>
      <c r="C920" s="309" t="s">
        <v>275</v>
      </c>
      <c r="D920" s="310"/>
      <c r="E920" s="287" t="str">
        <f>HYPERLINK("#LAYOUT_e4!lay초YFAM2F04","YFAM2F04")</f>
        <v>YFAM2F04</v>
      </c>
      <c r="F920" s="78">
        <v>1</v>
      </c>
      <c r="G920" s="179" t="s">
        <v>105</v>
      </c>
      <c r="H920" s="230">
        <v>54.402661426075404</v>
      </c>
      <c r="I920" s="327">
        <v>1.5583453862325798</v>
      </c>
      <c r="J920" s="327">
        <v>1.3694737037737336E-2</v>
      </c>
      <c r="K920" s="327">
        <v>0.87879985776743708</v>
      </c>
      <c r="L920" s="230">
        <v>44.324762933713949</v>
      </c>
      <c r="M920" s="327">
        <v>1.7473024290464538</v>
      </c>
      <c r="N920" s="327">
        <v>0.79673438281741116</v>
      </c>
      <c r="O920" s="327">
        <v>1.6139340893677519E-2</v>
      </c>
      <c r="P920" s="327">
        <v>0.92367186271727186</v>
      </c>
    </row>
    <row r="921" spans="2:16" ht="18" customHeight="1">
      <c r="B921" s="284"/>
      <c r="C921" s="311"/>
      <c r="D921" s="312"/>
      <c r="E921" s="289"/>
      <c r="F921" s="79">
        <v>2</v>
      </c>
      <c r="G921" s="178" t="s">
        <v>106</v>
      </c>
      <c r="H921" s="231">
        <v>37.230368356005791</v>
      </c>
      <c r="I921" s="328"/>
      <c r="J921" s="328"/>
      <c r="K921" s="328"/>
      <c r="L921" s="231">
        <v>39.849409882129677</v>
      </c>
      <c r="M921" s="328">
        <v>1.7473024290464538</v>
      </c>
      <c r="N921" s="328">
        <v>0.79673438281741116</v>
      </c>
      <c r="O921" s="328">
        <v>1.6139340893677519E-2</v>
      </c>
      <c r="P921" s="328">
        <v>0.92367186271727186</v>
      </c>
    </row>
    <row r="922" spans="2:16" ht="18" customHeight="1">
      <c r="B922" s="284"/>
      <c r="C922" s="311"/>
      <c r="D922" s="312"/>
      <c r="E922" s="289"/>
      <c r="F922" s="79">
        <v>3</v>
      </c>
      <c r="G922" s="178" t="s">
        <v>107</v>
      </c>
      <c r="H922" s="231">
        <v>6.4967403865020996</v>
      </c>
      <c r="I922" s="328"/>
      <c r="J922" s="328"/>
      <c r="K922" s="328"/>
      <c r="L922" s="231">
        <v>12.596648529953761</v>
      </c>
      <c r="M922" s="328">
        <v>1.7473024290464538</v>
      </c>
      <c r="N922" s="328">
        <v>0.79673438281741116</v>
      </c>
      <c r="O922" s="328">
        <v>1.6139340893677519E-2</v>
      </c>
      <c r="P922" s="328">
        <v>0.92367186271727186</v>
      </c>
    </row>
    <row r="923" spans="2:16" ht="18" customHeight="1">
      <c r="B923" s="286"/>
      <c r="C923" s="313"/>
      <c r="D923" s="314"/>
      <c r="E923" s="288"/>
      <c r="F923" s="82">
        <v>4</v>
      </c>
      <c r="G923" s="180" t="s">
        <v>108</v>
      </c>
      <c r="H923" s="232">
        <v>1.8702298314167363</v>
      </c>
      <c r="I923" s="329"/>
      <c r="J923" s="329"/>
      <c r="K923" s="329"/>
      <c r="L923" s="232">
        <v>3.2291786542026162</v>
      </c>
      <c r="M923" s="329">
        <v>1.7473024290464538</v>
      </c>
      <c r="N923" s="329">
        <v>0.79673438281741116</v>
      </c>
      <c r="O923" s="329">
        <v>1.6139340893677519E-2</v>
      </c>
      <c r="P923" s="329">
        <v>0.92367186271727186</v>
      </c>
    </row>
    <row r="924" spans="2:16" ht="18" customHeight="1">
      <c r="B924" s="282" t="s">
        <v>136</v>
      </c>
      <c r="C924" s="309" t="s">
        <v>276</v>
      </c>
      <c r="D924" s="310"/>
      <c r="E924" s="287" t="str">
        <f>HYPERLINK("#LAYOUT_e4!lay초YEDU2A01","YEDU2A01")</f>
        <v>YEDU2A01</v>
      </c>
      <c r="F924" s="78">
        <v>1</v>
      </c>
      <c r="G924" s="179" t="s">
        <v>105</v>
      </c>
      <c r="H924" s="230">
        <v>1.9450834327822515</v>
      </c>
      <c r="I924" s="327">
        <v>3.1576146632088768</v>
      </c>
      <c r="J924" s="327">
        <v>1.3687744201791766E-2</v>
      </c>
      <c r="K924" s="327">
        <v>0.43348367871720639</v>
      </c>
      <c r="L924" s="230">
        <v>1.7938258351193277</v>
      </c>
      <c r="M924" s="327">
        <v>3.0979058405448199</v>
      </c>
      <c r="N924" s="327">
        <v>0.65702202124171594</v>
      </c>
      <c r="O924" s="327">
        <v>1.3309206435870857E-2</v>
      </c>
      <c r="P924" s="327">
        <v>0.42961946298310361</v>
      </c>
    </row>
    <row r="925" spans="2:16" ht="18" customHeight="1">
      <c r="B925" s="284"/>
      <c r="C925" s="311"/>
      <c r="D925" s="312"/>
      <c r="E925" s="289"/>
      <c r="F925" s="79">
        <v>2</v>
      </c>
      <c r="G925" s="178" t="s">
        <v>106</v>
      </c>
      <c r="H925" s="231">
        <v>11.938406319909475</v>
      </c>
      <c r="I925" s="328"/>
      <c r="J925" s="328"/>
      <c r="K925" s="328"/>
      <c r="L925" s="231">
        <v>11.777548219070813</v>
      </c>
      <c r="M925" s="328">
        <v>3.0979058405448199</v>
      </c>
      <c r="N925" s="328">
        <v>0.65702202124171594</v>
      </c>
      <c r="O925" s="328">
        <v>1.3309206435870857E-2</v>
      </c>
      <c r="P925" s="328">
        <v>0.42961946298310361</v>
      </c>
    </row>
    <row r="926" spans="2:16" ht="18" customHeight="1">
      <c r="B926" s="284"/>
      <c r="C926" s="311"/>
      <c r="D926" s="312"/>
      <c r="E926" s="289"/>
      <c r="F926" s="79">
        <v>3</v>
      </c>
      <c r="G926" s="178" t="s">
        <v>107</v>
      </c>
      <c r="H926" s="231">
        <v>54.52647074094368</v>
      </c>
      <c r="I926" s="328"/>
      <c r="J926" s="328"/>
      <c r="K926" s="328"/>
      <c r="L926" s="231">
        <v>61.272842002018997</v>
      </c>
      <c r="M926" s="328">
        <v>3.0979058405448199</v>
      </c>
      <c r="N926" s="328">
        <v>0.65702202124171594</v>
      </c>
      <c r="O926" s="328">
        <v>1.3309206435870857E-2</v>
      </c>
      <c r="P926" s="328">
        <v>0.42961946298310361</v>
      </c>
    </row>
    <row r="927" spans="2:16" ht="18" customHeight="1">
      <c r="B927" s="284"/>
      <c r="C927" s="313"/>
      <c r="D927" s="314"/>
      <c r="E927" s="288"/>
      <c r="F927" s="82">
        <v>4</v>
      </c>
      <c r="G927" s="180" t="s">
        <v>108</v>
      </c>
      <c r="H927" s="232">
        <v>31.590039506364608</v>
      </c>
      <c r="I927" s="329"/>
      <c r="J927" s="329"/>
      <c r="K927" s="329"/>
      <c r="L927" s="232">
        <v>25.155783943790873</v>
      </c>
      <c r="M927" s="329">
        <v>3.0979058405448199</v>
      </c>
      <c r="N927" s="329">
        <v>0.65702202124171594</v>
      </c>
      <c r="O927" s="329">
        <v>1.3309206435870857E-2</v>
      </c>
      <c r="P927" s="329">
        <v>0.42961946298310361</v>
      </c>
    </row>
    <row r="928" spans="2:16" ht="18" customHeight="1">
      <c r="B928" s="284"/>
      <c r="C928" s="309" t="s">
        <v>277</v>
      </c>
      <c r="D928" s="310"/>
      <c r="E928" s="287" t="str">
        <f>HYPERLINK("#LAYOUT_e4!lay초YEDU2A02","YEDU2A02")</f>
        <v>YEDU2A02</v>
      </c>
      <c r="F928" s="78">
        <v>1</v>
      </c>
      <c r="G928" s="179" t="s">
        <v>105</v>
      </c>
      <c r="H928" s="230">
        <v>9.3095719949226563</v>
      </c>
      <c r="I928" s="327">
        <v>2.6986111897581204</v>
      </c>
      <c r="J928" s="327">
        <v>1.652927351887943E-2</v>
      </c>
      <c r="K928" s="327">
        <v>0.61251037502593919</v>
      </c>
      <c r="L928" s="230">
        <v>4.8833391710946685</v>
      </c>
      <c r="M928" s="327">
        <v>2.8534372019140282</v>
      </c>
      <c r="N928" s="327">
        <v>0.78446720294737105</v>
      </c>
      <c r="O928" s="327">
        <v>1.5890846286194249E-2</v>
      </c>
      <c r="P928" s="327">
        <v>0.55690191028332414</v>
      </c>
    </row>
    <row r="929" spans="2:16" ht="18" customHeight="1">
      <c r="B929" s="284"/>
      <c r="C929" s="311"/>
      <c r="D929" s="312"/>
      <c r="E929" s="289"/>
      <c r="F929" s="79">
        <v>2</v>
      </c>
      <c r="G929" s="178" t="s">
        <v>106</v>
      </c>
      <c r="H929" s="231">
        <v>27.282645137244483</v>
      </c>
      <c r="I929" s="328"/>
      <c r="J929" s="328"/>
      <c r="K929" s="328"/>
      <c r="L929" s="231">
        <v>24.508968755373328</v>
      </c>
      <c r="M929" s="328">
        <v>2.8534372019140282</v>
      </c>
      <c r="N929" s="328">
        <v>0.78446720294737105</v>
      </c>
      <c r="O929" s="328">
        <v>1.5890846286194249E-2</v>
      </c>
      <c r="P929" s="328">
        <v>0.55690191028332414</v>
      </c>
    </row>
    <row r="930" spans="2:16" ht="18" customHeight="1">
      <c r="B930" s="284"/>
      <c r="C930" s="311"/>
      <c r="D930" s="312"/>
      <c r="E930" s="289"/>
      <c r="F930" s="79">
        <v>3</v>
      </c>
      <c r="G930" s="178" t="s">
        <v>107</v>
      </c>
      <c r="H930" s="231">
        <v>47.644874764929114</v>
      </c>
      <c r="I930" s="328"/>
      <c r="J930" s="328"/>
      <c r="K930" s="328"/>
      <c r="L930" s="231">
        <v>50.988324784567283</v>
      </c>
      <c r="M930" s="328">
        <v>2.8534372019140282</v>
      </c>
      <c r="N930" s="328">
        <v>0.78446720294737105</v>
      </c>
      <c r="O930" s="328">
        <v>1.5890846286194249E-2</v>
      </c>
      <c r="P930" s="328">
        <v>0.55690191028332414</v>
      </c>
    </row>
    <row r="931" spans="2:16" ht="18" customHeight="1">
      <c r="B931" s="284"/>
      <c r="C931" s="313"/>
      <c r="D931" s="314"/>
      <c r="E931" s="288"/>
      <c r="F931" s="82">
        <v>4</v>
      </c>
      <c r="G931" s="180" t="s">
        <v>108</v>
      </c>
      <c r="H931" s="232">
        <v>15.762908102903776</v>
      </c>
      <c r="I931" s="329"/>
      <c r="J931" s="329"/>
      <c r="K931" s="329"/>
      <c r="L931" s="232">
        <v>19.619367288964725</v>
      </c>
      <c r="M931" s="329">
        <v>2.8534372019140282</v>
      </c>
      <c r="N931" s="329">
        <v>0.78446720294737105</v>
      </c>
      <c r="O931" s="329">
        <v>1.5890846286194249E-2</v>
      </c>
      <c r="P931" s="329">
        <v>0.55690191028332414</v>
      </c>
    </row>
    <row r="932" spans="2:16" ht="18" customHeight="1">
      <c r="B932" s="284"/>
      <c r="C932" s="309" t="s">
        <v>278</v>
      </c>
      <c r="D932" s="310"/>
      <c r="E932" s="287" t="str">
        <f>HYPERLINK("#LAYOUT_e4!lay초YEDU2A03","YEDU2A03")</f>
        <v>YEDU2A03</v>
      </c>
      <c r="F932" s="78">
        <v>1</v>
      </c>
      <c r="G932" s="179" t="s">
        <v>105</v>
      </c>
      <c r="H932" s="230">
        <v>5.5400242467144203</v>
      </c>
      <c r="I932" s="327">
        <v>2.8487760064776224</v>
      </c>
      <c r="J932" s="327">
        <v>1.5575649770723671E-2</v>
      </c>
      <c r="K932" s="327">
        <v>0.54674884003892732</v>
      </c>
      <c r="L932" s="230">
        <v>3.4735190599628556</v>
      </c>
      <c r="M932" s="327">
        <v>2.8914456962245856</v>
      </c>
      <c r="N932" s="327">
        <v>0.72204935797786485</v>
      </c>
      <c r="O932" s="327">
        <v>1.4626456422348697E-2</v>
      </c>
      <c r="P932" s="327">
        <v>0.50585271033956236</v>
      </c>
    </row>
    <row r="933" spans="2:16" ht="18" customHeight="1">
      <c r="B933" s="284"/>
      <c r="C933" s="311"/>
      <c r="D933" s="312"/>
      <c r="E933" s="289"/>
      <c r="F933" s="79">
        <v>2</v>
      </c>
      <c r="G933" s="178" t="s">
        <v>106</v>
      </c>
      <c r="H933" s="231">
        <v>23.695454557983059</v>
      </c>
      <c r="I933" s="328"/>
      <c r="J933" s="328"/>
      <c r="K933" s="328"/>
      <c r="L933" s="231">
        <v>21.653426958729774</v>
      </c>
      <c r="M933" s="328">
        <v>2.8914456962245856</v>
      </c>
      <c r="N933" s="328">
        <v>0.72204935797786485</v>
      </c>
      <c r="O933" s="328">
        <v>1.4626456422348697E-2</v>
      </c>
      <c r="P933" s="328">
        <v>0.50585271033956236</v>
      </c>
    </row>
    <row r="934" spans="2:16" ht="18" customHeight="1">
      <c r="B934" s="284"/>
      <c r="C934" s="311"/>
      <c r="D934" s="312"/>
      <c r="E934" s="289"/>
      <c r="F934" s="79">
        <v>3</v>
      </c>
      <c r="G934" s="178" t="s">
        <v>107</v>
      </c>
      <c r="H934" s="231">
        <v>51.111417496125966</v>
      </c>
      <c r="I934" s="328"/>
      <c r="J934" s="328"/>
      <c r="K934" s="328"/>
      <c r="L934" s="231">
        <v>57.128019280194152</v>
      </c>
      <c r="M934" s="328">
        <v>2.8914456962245856</v>
      </c>
      <c r="N934" s="328">
        <v>0.72204935797786485</v>
      </c>
      <c r="O934" s="328">
        <v>1.4626456422348697E-2</v>
      </c>
      <c r="P934" s="328">
        <v>0.50585271033956236</v>
      </c>
    </row>
    <row r="935" spans="2:16" ht="18" customHeight="1">
      <c r="B935" s="284"/>
      <c r="C935" s="313"/>
      <c r="D935" s="314"/>
      <c r="E935" s="288"/>
      <c r="F935" s="82">
        <v>4</v>
      </c>
      <c r="G935" s="180" t="s">
        <v>108</v>
      </c>
      <c r="H935" s="232">
        <v>19.65310369917659</v>
      </c>
      <c r="I935" s="329"/>
      <c r="J935" s="329"/>
      <c r="K935" s="329"/>
      <c r="L935" s="232">
        <v>17.745034701113212</v>
      </c>
      <c r="M935" s="329">
        <v>2.8914456962245856</v>
      </c>
      <c r="N935" s="329">
        <v>0.72204935797786485</v>
      </c>
      <c r="O935" s="329">
        <v>1.4626456422348697E-2</v>
      </c>
      <c r="P935" s="329">
        <v>0.50585271033956236</v>
      </c>
    </row>
    <row r="936" spans="2:16" ht="18" customHeight="1">
      <c r="B936" s="284"/>
      <c r="C936" s="309" t="s">
        <v>279</v>
      </c>
      <c r="D936" s="310"/>
      <c r="E936" s="287" t="str">
        <f>HYPERLINK("#LAYOUT_e4!lay초YEDU2A04","YEDU2A04")</f>
        <v>YEDU2A04</v>
      </c>
      <c r="F936" s="78">
        <v>1</v>
      </c>
      <c r="G936" s="179" t="s">
        <v>105</v>
      </c>
      <c r="H936" s="230">
        <v>16.043593539446203</v>
      </c>
      <c r="I936" s="327">
        <v>2.5082789315432659</v>
      </c>
      <c r="J936" s="327">
        <v>1.8153697888914796E-2</v>
      </c>
      <c r="K936" s="327">
        <v>0.72375116102998149</v>
      </c>
      <c r="L936" s="230">
        <v>10.163764957725055</v>
      </c>
      <c r="M936" s="327">
        <v>2.6647443113230445</v>
      </c>
      <c r="N936" s="327">
        <v>0.86046312205827247</v>
      </c>
      <c r="O936" s="327">
        <v>1.7430285365906045E-2</v>
      </c>
      <c r="P936" s="327">
        <v>0.65410723617426192</v>
      </c>
    </row>
    <row r="937" spans="2:16" ht="18" customHeight="1">
      <c r="B937" s="284"/>
      <c r="C937" s="311"/>
      <c r="D937" s="312"/>
      <c r="E937" s="289"/>
      <c r="F937" s="79">
        <v>2</v>
      </c>
      <c r="G937" s="178" t="s">
        <v>106</v>
      </c>
      <c r="H937" s="231">
        <v>31.485997402278663</v>
      </c>
      <c r="I937" s="328"/>
      <c r="J937" s="328"/>
      <c r="K937" s="328"/>
      <c r="L937" s="231">
        <v>28.895956878902368</v>
      </c>
      <c r="M937" s="328">
        <v>2.6647443113230445</v>
      </c>
      <c r="N937" s="328">
        <v>0.86046312205827247</v>
      </c>
      <c r="O937" s="328">
        <v>1.7430285365906045E-2</v>
      </c>
      <c r="P937" s="328">
        <v>0.65410723617426192</v>
      </c>
    </row>
    <row r="938" spans="2:16" ht="18" customHeight="1">
      <c r="B938" s="284"/>
      <c r="C938" s="311"/>
      <c r="D938" s="312"/>
      <c r="E938" s="289"/>
      <c r="F938" s="79">
        <v>3</v>
      </c>
      <c r="G938" s="178" t="s">
        <v>107</v>
      </c>
      <c r="H938" s="231">
        <v>38.069331422775043</v>
      </c>
      <c r="I938" s="328"/>
      <c r="J938" s="328"/>
      <c r="K938" s="328"/>
      <c r="L938" s="231">
        <v>45.242360236715967</v>
      </c>
      <c r="M938" s="328">
        <v>2.6647443113230445</v>
      </c>
      <c r="N938" s="328">
        <v>0.86046312205827247</v>
      </c>
      <c r="O938" s="328">
        <v>1.7430285365906045E-2</v>
      </c>
      <c r="P938" s="328">
        <v>0.65410723617426192</v>
      </c>
    </row>
    <row r="939" spans="2:16" ht="18" customHeight="1">
      <c r="B939" s="284"/>
      <c r="C939" s="313"/>
      <c r="D939" s="314"/>
      <c r="E939" s="288"/>
      <c r="F939" s="82">
        <v>4</v>
      </c>
      <c r="G939" s="180" t="s">
        <v>108</v>
      </c>
      <c r="H939" s="232">
        <v>14.4010776355001</v>
      </c>
      <c r="I939" s="329"/>
      <c r="J939" s="329"/>
      <c r="K939" s="329"/>
      <c r="L939" s="232">
        <v>15.697917926656636</v>
      </c>
      <c r="M939" s="329">
        <v>2.6647443113230445</v>
      </c>
      <c r="N939" s="329">
        <v>0.86046312205827247</v>
      </c>
      <c r="O939" s="329">
        <v>1.7430285365906045E-2</v>
      </c>
      <c r="P939" s="329">
        <v>0.65410723617426192</v>
      </c>
    </row>
    <row r="940" spans="2:16" ht="18" customHeight="1">
      <c r="B940" s="284"/>
      <c r="C940" s="309" t="s">
        <v>280</v>
      </c>
      <c r="D940" s="310"/>
      <c r="E940" s="287" t="str">
        <f>HYPERLINK("#LAYOUT_e4!lay초YEDU2A05","YEDU2A05")</f>
        <v>YEDU2A05</v>
      </c>
      <c r="F940" s="78">
        <v>1</v>
      </c>
      <c r="G940" s="179" t="s">
        <v>105</v>
      </c>
      <c r="H940" s="230">
        <v>1.9156062497979904</v>
      </c>
      <c r="I940" s="327">
        <v>3.1739193624764743</v>
      </c>
      <c r="J940" s="327">
        <v>1.2753363516380374E-2</v>
      </c>
      <c r="K940" s="327">
        <v>0.40181750258549304</v>
      </c>
      <c r="L940" s="230">
        <v>2.3773685420705362</v>
      </c>
      <c r="M940" s="327">
        <v>3.0817314271357956</v>
      </c>
      <c r="N940" s="327">
        <v>0.66519174406822357</v>
      </c>
      <c r="O940" s="327">
        <v>1.3474699408870973E-2</v>
      </c>
      <c r="P940" s="327">
        <v>0.43724444285511754</v>
      </c>
    </row>
    <row r="941" spans="2:16" ht="18" customHeight="1">
      <c r="B941" s="284"/>
      <c r="C941" s="311"/>
      <c r="D941" s="312"/>
      <c r="E941" s="289"/>
      <c r="F941" s="79">
        <v>2</v>
      </c>
      <c r="G941" s="178" t="s">
        <v>106</v>
      </c>
      <c r="H941" s="231">
        <v>8.2626813708095721</v>
      </c>
      <c r="I941" s="328"/>
      <c r="J941" s="328"/>
      <c r="K941" s="328"/>
      <c r="L941" s="231">
        <v>11.230248768700152</v>
      </c>
      <c r="M941" s="328">
        <v>3.0817314271357956</v>
      </c>
      <c r="N941" s="328">
        <v>0.66519174406822357</v>
      </c>
      <c r="O941" s="328">
        <v>1.3474699408870973E-2</v>
      </c>
      <c r="P941" s="328">
        <v>0.43724444285511754</v>
      </c>
    </row>
    <row r="942" spans="2:16" ht="18" customHeight="1">
      <c r="B942" s="284"/>
      <c r="C942" s="311"/>
      <c r="D942" s="312"/>
      <c r="E942" s="289"/>
      <c r="F942" s="79">
        <v>3</v>
      </c>
      <c r="G942" s="178" t="s">
        <v>107</v>
      </c>
      <c r="H942" s="231">
        <v>60.335882261336565</v>
      </c>
      <c r="I942" s="328"/>
      <c r="J942" s="328"/>
      <c r="K942" s="328"/>
      <c r="L942" s="231">
        <v>62.234254122809283</v>
      </c>
      <c r="M942" s="328">
        <v>3.0817314271357956</v>
      </c>
      <c r="N942" s="328">
        <v>0.66519174406822357</v>
      </c>
      <c r="O942" s="328">
        <v>1.3474699408870973E-2</v>
      </c>
      <c r="P942" s="328">
        <v>0.43724444285511754</v>
      </c>
    </row>
    <row r="943" spans="2:16" ht="18" customHeight="1">
      <c r="B943" s="284"/>
      <c r="C943" s="313"/>
      <c r="D943" s="314"/>
      <c r="E943" s="288"/>
      <c r="F943" s="82">
        <v>4</v>
      </c>
      <c r="G943" s="180" t="s">
        <v>108</v>
      </c>
      <c r="H943" s="232">
        <v>29.485830118055897</v>
      </c>
      <c r="I943" s="329"/>
      <c r="J943" s="329"/>
      <c r="K943" s="329"/>
      <c r="L943" s="232">
        <v>24.158128566420014</v>
      </c>
      <c r="M943" s="329">
        <v>3.0817314271357956</v>
      </c>
      <c r="N943" s="329">
        <v>0.66519174406822357</v>
      </c>
      <c r="O943" s="329">
        <v>1.3474699408870973E-2</v>
      </c>
      <c r="P943" s="329">
        <v>0.43724444285511754</v>
      </c>
    </row>
    <row r="944" spans="2:16" ht="18" customHeight="1">
      <c r="B944" s="284"/>
      <c r="C944" s="309" t="s">
        <v>281</v>
      </c>
      <c r="D944" s="310"/>
      <c r="E944" s="287" t="str">
        <f>HYPERLINK("#LAYOUT_e4!lay초YEDU2A06","YEDU2A06")</f>
        <v>YEDU2A06</v>
      </c>
      <c r="F944" s="78">
        <v>1</v>
      </c>
      <c r="G944" s="179" t="s">
        <v>105</v>
      </c>
      <c r="H944" s="230">
        <v>3.0003529989372772</v>
      </c>
      <c r="I944" s="327">
        <v>3.0537862511474949</v>
      </c>
      <c r="J944" s="327">
        <v>1.3881710878479881E-2</v>
      </c>
      <c r="K944" s="327">
        <v>0.45457375653792642</v>
      </c>
      <c r="L944" s="230">
        <v>2.7955731401488482</v>
      </c>
      <c r="M944" s="327">
        <v>3.040882000414868</v>
      </c>
      <c r="N944" s="327">
        <v>0.68973107462899108</v>
      </c>
      <c r="O944" s="327">
        <v>1.3971789317081479E-2</v>
      </c>
      <c r="P944" s="327">
        <v>0.45946502742215284</v>
      </c>
    </row>
    <row r="945" spans="2:16" ht="18" customHeight="1">
      <c r="B945" s="284"/>
      <c r="C945" s="311"/>
      <c r="D945" s="312"/>
      <c r="E945" s="289"/>
      <c r="F945" s="79">
        <v>2</v>
      </c>
      <c r="G945" s="178" t="s">
        <v>106</v>
      </c>
      <c r="H945" s="231">
        <v>13.563333654291037</v>
      </c>
      <c r="I945" s="328"/>
      <c r="J945" s="328"/>
      <c r="K945" s="328"/>
      <c r="L945" s="231">
        <v>13.429434677313505</v>
      </c>
      <c r="M945" s="328">
        <v>3.040882000414868</v>
      </c>
      <c r="N945" s="328">
        <v>0.68973107462899108</v>
      </c>
      <c r="O945" s="328">
        <v>1.3971789317081479E-2</v>
      </c>
      <c r="P945" s="328">
        <v>0.45946502742215284</v>
      </c>
    </row>
    <row r="946" spans="2:16" ht="18" customHeight="1">
      <c r="B946" s="284"/>
      <c r="C946" s="311"/>
      <c r="D946" s="312"/>
      <c r="E946" s="289"/>
      <c r="F946" s="79">
        <v>3</v>
      </c>
      <c r="G946" s="178" t="s">
        <v>107</v>
      </c>
      <c r="H946" s="231">
        <v>58.493648579853328</v>
      </c>
      <c r="I946" s="328"/>
      <c r="J946" s="328"/>
      <c r="K946" s="328"/>
      <c r="L946" s="231">
        <v>60.666211183440311</v>
      </c>
      <c r="M946" s="328">
        <v>3.040882000414868</v>
      </c>
      <c r="N946" s="328">
        <v>0.68973107462899108</v>
      </c>
      <c r="O946" s="328">
        <v>1.3971789317081479E-2</v>
      </c>
      <c r="P946" s="328">
        <v>0.45946502742215284</v>
      </c>
    </row>
    <row r="947" spans="2:16" ht="18" customHeight="1">
      <c r="B947" s="284"/>
      <c r="C947" s="313"/>
      <c r="D947" s="314"/>
      <c r="E947" s="288"/>
      <c r="F947" s="82">
        <v>4</v>
      </c>
      <c r="G947" s="180" t="s">
        <v>108</v>
      </c>
      <c r="H947" s="232">
        <v>24.942664766918359</v>
      </c>
      <c r="I947" s="329"/>
      <c r="J947" s="329"/>
      <c r="K947" s="329"/>
      <c r="L947" s="232">
        <v>23.108780999097359</v>
      </c>
      <c r="M947" s="329">
        <v>3.040882000414868</v>
      </c>
      <c r="N947" s="329">
        <v>0.68973107462899108</v>
      </c>
      <c r="O947" s="329">
        <v>1.3971789317081479E-2</v>
      </c>
      <c r="P947" s="329">
        <v>0.45946502742215284</v>
      </c>
    </row>
    <row r="948" spans="2:16" ht="18" customHeight="1">
      <c r="B948" s="284"/>
      <c r="C948" s="309" t="s">
        <v>282</v>
      </c>
      <c r="D948" s="310"/>
      <c r="E948" s="287" t="str">
        <f>HYPERLINK("#LAYOUT_e4!lay초YEDU2A07","YEDU2A07")</f>
        <v>YEDU2A07</v>
      </c>
      <c r="F948" s="78">
        <v>1</v>
      </c>
      <c r="G948" s="179" t="s">
        <v>105</v>
      </c>
      <c r="H948" s="230">
        <v>2.4111404728807138</v>
      </c>
      <c r="I948" s="327">
        <v>3.0739494549103443</v>
      </c>
      <c r="J948" s="327">
        <v>1.3451032895858632E-2</v>
      </c>
      <c r="K948" s="327">
        <v>0.43758145972022622</v>
      </c>
      <c r="L948" s="230">
        <v>2.9743671558822822</v>
      </c>
      <c r="M948" s="327">
        <v>3.0370961228512039</v>
      </c>
      <c r="N948" s="327">
        <v>0.67079132369979677</v>
      </c>
      <c r="O948" s="327">
        <v>1.3588129337946798E-2</v>
      </c>
      <c r="P948" s="327">
        <v>0.44740531047763998</v>
      </c>
    </row>
    <row r="949" spans="2:16" ht="18" customHeight="1">
      <c r="B949" s="284"/>
      <c r="C949" s="311"/>
      <c r="D949" s="312"/>
      <c r="E949" s="289"/>
      <c r="F949" s="79">
        <v>2</v>
      </c>
      <c r="G949" s="178" t="s">
        <v>106</v>
      </c>
      <c r="H949" s="231">
        <v>12.91774819121731</v>
      </c>
      <c r="I949" s="328"/>
      <c r="J949" s="328"/>
      <c r="K949" s="328"/>
      <c r="L949" s="231">
        <v>11.779716640923917</v>
      </c>
      <c r="M949" s="328">
        <v>3.0370961228512039</v>
      </c>
      <c r="N949" s="328">
        <v>0.67079132369979677</v>
      </c>
      <c r="O949" s="328">
        <v>1.3588129337946798E-2</v>
      </c>
      <c r="P949" s="328">
        <v>0.44740531047763998</v>
      </c>
    </row>
    <row r="950" spans="2:16" ht="18" customHeight="1">
      <c r="B950" s="284"/>
      <c r="C950" s="311"/>
      <c r="D950" s="312"/>
      <c r="E950" s="289"/>
      <c r="F950" s="79">
        <v>3</v>
      </c>
      <c r="G950" s="178" t="s">
        <v>107</v>
      </c>
      <c r="H950" s="231">
        <v>59.536136707885646</v>
      </c>
      <c r="I950" s="328"/>
      <c r="J950" s="328"/>
      <c r="K950" s="328"/>
      <c r="L950" s="231">
        <v>63.807852965385663</v>
      </c>
      <c r="M950" s="328">
        <v>3.0370961228512039</v>
      </c>
      <c r="N950" s="328">
        <v>0.67079132369979677</v>
      </c>
      <c r="O950" s="328">
        <v>1.3588129337946798E-2</v>
      </c>
      <c r="P950" s="328">
        <v>0.44740531047763998</v>
      </c>
    </row>
    <row r="951" spans="2:16" ht="18" customHeight="1">
      <c r="B951" s="284"/>
      <c r="C951" s="313"/>
      <c r="D951" s="314"/>
      <c r="E951" s="288"/>
      <c r="F951" s="82">
        <v>4</v>
      </c>
      <c r="G951" s="180" t="s">
        <v>108</v>
      </c>
      <c r="H951" s="232">
        <v>25.134974628016341</v>
      </c>
      <c r="I951" s="329"/>
      <c r="J951" s="329"/>
      <c r="K951" s="329"/>
      <c r="L951" s="232">
        <v>21.438063237808127</v>
      </c>
      <c r="M951" s="329">
        <v>3.0370961228512039</v>
      </c>
      <c r="N951" s="329">
        <v>0.67079132369979677</v>
      </c>
      <c r="O951" s="329">
        <v>1.3588129337946798E-2</v>
      </c>
      <c r="P951" s="329">
        <v>0.44740531047763998</v>
      </c>
    </row>
    <row r="952" spans="2:16" ht="18" customHeight="1">
      <c r="B952" s="284"/>
      <c r="C952" s="309" t="s">
        <v>283</v>
      </c>
      <c r="D952" s="310"/>
      <c r="E952" s="287" t="str">
        <f>HYPERLINK("#LAYOUT_e4!lay초YEDU2A08","YEDU2A08")</f>
        <v>YEDU2A08</v>
      </c>
      <c r="F952" s="78">
        <v>1</v>
      </c>
      <c r="G952" s="179" t="s">
        <v>105</v>
      </c>
      <c r="H952" s="230">
        <v>1.3314447351368031</v>
      </c>
      <c r="I952" s="327">
        <v>3.3732744439721163</v>
      </c>
      <c r="J952" s="327">
        <v>1.2482565065307314E-2</v>
      </c>
      <c r="K952" s="327">
        <v>0.37004297375249356</v>
      </c>
      <c r="L952" s="230">
        <v>1.4394642003370082</v>
      </c>
      <c r="M952" s="327">
        <v>3.2363361106477337</v>
      </c>
      <c r="N952" s="327">
        <v>0.63649609231328796</v>
      </c>
      <c r="O952" s="327">
        <v>1.28934154630201E-2</v>
      </c>
      <c r="P952" s="327">
        <v>0.39839543923142029</v>
      </c>
    </row>
    <row r="953" spans="2:16" ht="18" customHeight="1">
      <c r="B953" s="284"/>
      <c r="C953" s="311"/>
      <c r="D953" s="312"/>
      <c r="E953" s="289"/>
      <c r="F953" s="79">
        <v>2</v>
      </c>
      <c r="G953" s="178" t="s">
        <v>106</v>
      </c>
      <c r="H953" s="231">
        <v>4.6112544305522496</v>
      </c>
      <c r="I953" s="328"/>
      <c r="J953" s="328"/>
      <c r="K953" s="328"/>
      <c r="L953" s="231">
        <v>6.9055914947967283</v>
      </c>
      <c r="M953" s="328">
        <v>3.2363361106477337</v>
      </c>
      <c r="N953" s="328">
        <v>0.63649609231328796</v>
      </c>
      <c r="O953" s="328">
        <v>1.28934154630201E-2</v>
      </c>
      <c r="P953" s="328">
        <v>0.39839543923142029</v>
      </c>
    </row>
    <row r="954" spans="2:16" ht="18" customHeight="1">
      <c r="B954" s="284"/>
      <c r="C954" s="311"/>
      <c r="D954" s="312"/>
      <c r="E954" s="289"/>
      <c r="F954" s="79">
        <v>3</v>
      </c>
      <c r="G954" s="178" t="s">
        <v>107</v>
      </c>
      <c r="H954" s="231">
        <v>49.455712536270681</v>
      </c>
      <c r="I954" s="328"/>
      <c r="J954" s="328"/>
      <c r="K954" s="328"/>
      <c r="L954" s="231">
        <v>58.236813344623592</v>
      </c>
      <c r="M954" s="328">
        <v>3.2363361106477337</v>
      </c>
      <c r="N954" s="328">
        <v>0.63649609231328796</v>
      </c>
      <c r="O954" s="328">
        <v>1.28934154630201E-2</v>
      </c>
      <c r="P954" s="328">
        <v>0.39839543923142029</v>
      </c>
    </row>
    <row r="955" spans="2:16" ht="18" customHeight="1">
      <c r="B955" s="284"/>
      <c r="C955" s="313"/>
      <c r="D955" s="314"/>
      <c r="E955" s="288"/>
      <c r="F955" s="82">
        <v>4</v>
      </c>
      <c r="G955" s="180" t="s">
        <v>108</v>
      </c>
      <c r="H955" s="232">
        <v>44.601588298040269</v>
      </c>
      <c r="I955" s="329"/>
      <c r="J955" s="329"/>
      <c r="K955" s="329"/>
      <c r="L955" s="232">
        <v>33.418130960242678</v>
      </c>
      <c r="M955" s="329">
        <v>3.2363361106477337</v>
      </c>
      <c r="N955" s="329">
        <v>0.63649609231328796</v>
      </c>
      <c r="O955" s="329">
        <v>1.28934154630201E-2</v>
      </c>
      <c r="P955" s="329">
        <v>0.39839543923142029</v>
      </c>
    </row>
    <row r="956" spans="2:16" ht="18" customHeight="1">
      <c r="B956" s="284"/>
      <c r="C956" s="309" t="s">
        <v>284</v>
      </c>
      <c r="D956" s="310"/>
      <c r="E956" s="287" t="str">
        <f>HYPERLINK("#LAYOUT_e4!lay초YEDU2A09","YEDU2A09")</f>
        <v>YEDU2A09</v>
      </c>
      <c r="F956" s="78">
        <v>1</v>
      </c>
      <c r="G956" s="179" t="s">
        <v>105</v>
      </c>
      <c r="H956" s="230">
        <v>21.523265308374143</v>
      </c>
      <c r="I956" s="327">
        <v>2.318643655137131</v>
      </c>
      <c r="J956" s="327">
        <v>1.8589775826768424E-2</v>
      </c>
      <c r="K956" s="327">
        <v>0.80175217030790191</v>
      </c>
      <c r="L956" s="230">
        <v>22.310514697327935</v>
      </c>
      <c r="M956" s="327">
        <v>2.2048043834552868</v>
      </c>
      <c r="N956" s="327">
        <v>0.88692507140529675</v>
      </c>
      <c r="O956" s="327">
        <v>1.7966321503461218E-2</v>
      </c>
      <c r="P956" s="327">
        <v>0.8148714524644165</v>
      </c>
    </row>
    <row r="957" spans="2:16" ht="18" customHeight="1">
      <c r="B957" s="284"/>
      <c r="C957" s="311"/>
      <c r="D957" s="312"/>
      <c r="E957" s="289"/>
      <c r="F957" s="79">
        <v>2</v>
      </c>
      <c r="G957" s="178" t="s">
        <v>106</v>
      </c>
      <c r="H957" s="231">
        <v>37.739388169485721</v>
      </c>
      <c r="I957" s="328"/>
      <c r="J957" s="328"/>
      <c r="K957" s="328"/>
      <c r="L957" s="231">
        <v>43.760704842794887</v>
      </c>
      <c r="M957" s="328">
        <v>2.2048043834552868</v>
      </c>
      <c r="N957" s="328">
        <v>0.88692507140529675</v>
      </c>
      <c r="O957" s="328">
        <v>1.7966321503461218E-2</v>
      </c>
      <c r="P957" s="328">
        <v>0.8148714524644165</v>
      </c>
    </row>
    <row r="958" spans="2:16" ht="18" customHeight="1">
      <c r="B958" s="284"/>
      <c r="C958" s="311"/>
      <c r="D958" s="312"/>
      <c r="E958" s="289"/>
      <c r="F958" s="79">
        <v>3</v>
      </c>
      <c r="G958" s="178" t="s">
        <v>107</v>
      </c>
      <c r="H958" s="231">
        <v>28.08706222219114</v>
      </c>
      <c r="I958" s="328"/>
      <c r="J958" s="328"/>
      <c r="K958" s="328"/>
      <c r="L958" s="231">
        <v>25.066607876897944</v>
      </c>
      <c r="M958" s="328">
        <v>2.2048043834552868</v>
      </c>
      <c r="N958" s="328">
        <v>0.88692507140529675</v>
      </c>
      <c r="O958" s="328">
        <v>1.7966321503461218E-2</v>
      </c>
      <c r="P958" s="328">
        <v>0.8148714524644165</v>
      </c>
    </row>
    <row r="959" spans="2:16" ht="18" customHeight="1">
      <c r="B959" s="284"/>
      <c r="C959" s="313"/>
      <c r="D959" s="314"/>
      <c r="E959" s="288"/>
      <c r="F959" s="82">
        <v>4</v>
      </c>
      <c r="G959" s="180" t="s">
        <v>108</v>
      </c>
      <c r="H959" s="232">
        <v>12.650284299948977</v>
      </c>
      <c r="I959" s="329"/>
      <c r="J959" s="329"/>
      <c r="K959" s="329"/>
      <c r="L959" s="232">
        <v>8.8621725829792179</v>
      </c>
      <c r="M959" s="329">
        <v>2.2048043834552868</v>
      </c>
      <c r="N959" s="329">
        <v>0.88692507140529675</v>
      </c>
      <c r="O959" s="329">
        <v>1.7966321503461218E-2</v>
      </c>
      <c r="P959" s="329">
        <v>0.8148714524644165</v>
      </c>
    </row>
    <row r="960" spans="2:16" ht="18" customHeight="1">
      <c r="B960" s="284"/>
      <c r="C960" s="309" t="s">
        <v>285</v>
      </c>
      <c r="D960" s="310"/>
      <c r="E960" s="287" t="str">
        <f>HYPERLINK("#LAYOUT_e4!lay초YEDU2A10","YEDU2A10")</f>
        <v>YEDU2A10</v>
      </c>
      <c r="F960" s="78">
        <v>1</v>
      </c>
      <c r="G960" s="179" t="s">
        <v>105</v>
      </c>
      <c r="H960" s="230">
        <v>47.806081397656818</v>
      </c>
      <c r="I960" s="327">
        <v>1.635231829904938</v>
      </c>
      <c r="J960" s="327">
        <v>1.377465526230344E-2</v>
      </c>
      <c r="K960" s="327">
        <v>0.84236711947468568</v>
      </c>
      <c r="L960" s="230">
        <v>41.474755181271163</v>
      </c>
      <c r="M960" s="327">
        <v>1.7611333026911549</v>
      </c>
      <c r="N960" s="327">
        <v>0.76630538986608054</v>
      </c>
      <c r="O960" s="327">
        <v>1.5522944889081619E-2</v>
      </c>
      <c r="P960" s="327">
        <v>0.88141794067270685</v>
      </c>
    </row>
    <row r="961" spans="2:16" ht="18" customHeight="1">
      <c r="B961" s="284"/>
      <c r="C961" s="311"/>
      <c r="D961" s="312"/>
      <c r="E961" s="289"/>
      <c r="F961" s="79">
        <v>2</v>
      </c>
      <c r="G961" s="178" t="s">
        <v>106</v>
      </c>
      <c r="H961" s="231">
        <v>42.673041142677853</v>
      </c>
      <c r="I961" s="328"/>
      <c r="J961" s="328"/>
      <c r="K961" s="328"/>
      <c r="L961" s="231">
        <v>43.607753442664553</v>
      </c>
      <c r="M961" s="328">
        <v>1.7611333026911549</v>
      </c>
      <c r="N961" s="328">
        <v>0.76630538986608054</v>
      </c>
      <c r="O961" s="328">
        <v>1.5522944889081619E-2</v>
      </c>
      <c r="P961" s="328">
        <v>0.88141794067270685</v>
      </c>
    </row>
    <row r="962" spans="2:16" ht="18" customHeight="1">
      <c r="B962" s="284"/>
      <c r="C962" s="311"/>
      <c r="D962" s="312"/>
      <c r="E962" s="289"/>
      <c r="F962" s="79">
        <v>3</v>
      </c>
      <c r="G962" s="178" t="s">
        <v>107</v>
      </c>
      <c r="H962" s="231">
        <v>7.7124905311777052</v>
      </c>
      <c r="I962" s="328"/>
      <c r="J962" s="328"/>
      <c r="K962" s="328"/>
      <c r="L962" s="231">
        <v>12.246897301742358</v>
      </c>
      <c r="M962" s="328">
        <v>1.7611333026911549</v>
      </c>
      <c r="N962" s="328">
        <v>0.76630538986608054</v>
      </c>
      <c r="O962" s="328">
        <v>1.5522944889081619E-2</v>
      </c>
      <c r="P962" s="328">
        <v>0.88141794067270685</v>
      </c>
    </row>
    <row r="963" spans="2:16" ht="18" customHeight="1">
      <c r="B963" s="284"/>
      <c r="C963" s="313"/>
      <c r="D963" s="314"/>
      <c r="E963" s="288"/>
      <c r="F963" s="82">
        <v>4</v>
      </c>
      <c r="G963" s="180" t="s">
        <v>108</v>
      </c>
      <c r="H963" s="232">
        <v>1.8083869284876295</v>
      </c>
      <c r="I963" s="329"/>
      <c r="J963" s="329"/>
      <c r="K963" s="329"/>
      <c r="L963" s="232">
        <v>2.6705940743219498</v>
      </c>
      <c r="M963" s="329">
        <v>1.7611333026911549</v>
      </c>
      <c r="N963" s="329">
        <v>0.76630538986608054</v>
      </c>
      <c r="O963" s="329">
        <v>1.5522944889081619E-2</v>
      </c>
      <c r="P963" s="329">
        <v>0.88141794067270685</v>
      </c>
    </row>
    <row r="964" spans="2:16" ht="18" customHeight="1">
      <c r="B964" s="284"/>
      <c r="C964" s="309" t="s">
        <v>286</v>
      </c>
      <c r="D964" s="310"/>
      <c r="E964" s="287" t="str">
        <f>HYPERLINK("#LAYOUT_e4!lay초YEDU2A11","YEDU2A11")</f>
        <v>YEDU2A11</v>
      </c>
      <c r="F964" s="78">
        <v>1</v>
      </c>
      <c r="G964" s="179" t="s">
        <v>105</v>
      </c>
      <c r="H964" s="230">
        <v>44.403835542809077</v>
      </c>
      <c r="I964" s="327">
        <v>1.695641563797271</v>
      </c>
      <c r="J964" s="327">
        <v>1.4196029105025395E-2</v>
      </c>
      <c r="K964" s="327">
        <v>0.83720695506156262</v>
      </c>
      <c r="L964" s="230">
        <v>37.294108365518689</v>
      </c>
      <c r="M964" s="327">
        <v>1.7958852346030765</v>
      </c>
      <c r="N964" s="327">
        <v>0.73604362806452894</v>
      </c>
      <c r="O964" s="327">
        <v>1.4909936463323191E-2</v>
      </c>
      <c r="P964" s="327">
        <v>0.83022768805260305</v>
      </c>
    </row>
    <row r="965" spans="2:16" ht="18" customHeight="1">
      <c r="B965" s="284"/>
      <c r="C965" s="311"/>
      <c r="D965" s="312"/>
      <c r="E965" s="289"/>
      <c r="F965" s="79">
        <v>2</v>
      </c>
      <c r="G965" s="178" t="s">
        <v>106</v>
      </c>
      <c r="H965" s="231">
        <v>43.332961364667121</v>
      </c>
      <c r="I965" s="328"/>
      <c r="J965" s="328"/>
      <c r="K965" s="328"/>
      <c r="L965" s="231">
        <v>47.894927396088882</v>
      </c>
      <c r="M965" s="328">
        <v>1.7958852346030765</v>
      </c>
      <c r="N965" s="328">
        <v>0.73604362806452894</v>
      </c>
      <c r="O965" s="328">
        <v>1.4909936463323191E-2</v>
      </c>
      <c r="P965" s="328">
        <v>0.83022768805260305</v>
      </c>
    </row>
    <row r="966" spans="2:16" ht="18" customHeight="1">
      <c r="B966" s="284"/>
      <c r="C966" s="311"/>
      <c r="D966" s="312"/>
      <c r="E966" s="289"/>
      <c r="F966" s="79">
        <v>3</v>
      </c>
      <c r="G966" s="178" t="s">
        <v>107</v>
      </c>
      <c r="H966" s="231">
        <v>10.558414262509338</v>
      </c>
      <c r="I966" s="328"/>
      <c r="J966" s="328"/>
      <c r="K966" s="328"/>
      <c r="L966" s="231">
        <v>12.739296650959313</v>
      </c>
      <c r="M966" s="328">
        <v>1.7958852346030765</v>
      </c>
      <c r="N966" s="328">
        <v>0.73604362806452894</v>
      </c>
      <c r="O966" s="328">
        <v>1.4909936463323191E-2</v>
      </c>
      <c r="P966" s="328">
        <v>0.83022768805260305</v>
      </c>
    </row>
    <row r="967" spans="2:16" ht="18" customHeight="1">
      <c r="B967" s="284"/>
      <c r="C967" s="313"/>
      <c r="D967" s="314"/>
      <c r="E967" s="288"/>
      <c r="F967" s="82">
        <v>4</v>
      </c>
      <c r="G967" s="180" t="s">
        <v>108</v>
      </c>
      <c r="H967" s="232">
        <v>1.7047888300144538</v>
      </c>
      <c r="I967" s="329"/>
      <c r="J967" s="329"/>
      <c r="K967" s="329"/>
      <c r="L967" s="232">
        <v>2.0716675874331312</v>
      </c>
      <c r="M967" s="329">
        <v>1.7958852346030765</v>
      </c>
      <c r="N967" s="329">
        <v>0.73604362806452894</v>
      </c>
      <c r="O967" s="329">
        <v>1.4909936463323191E-2</v>
      </c>
      <c r="P967" s="329">
        <v>0.83022768805260305</v>
      </c>
    </row>
    <row r="968" spans="2:16" ht="18" customHeight="1">
      <c r="B968" s="284"/>
      <c r="C968" s="309" t="s">
        <v>287</v>
      </c>
      <c r="D968" s="310"/>
      <c r="E968" s="287" t="str">
        <f>HYPERLINK("#LAYOUT_e4!lay초YEDU2A12","YEDU2A12")</f>
        <v>YEDU2A12</v>
      </c>
      <c r="F968" s="78">
        <v>1</v>
      </c>
      <c r="G968" s="179" t="s">
        <v>105</v>
      </c>
      <c r="H968" s="230">
        <v>56.438863138224846</v>
      </c>
      <c r="I968" s="327">
        <v>1.5219112264866543</v>
      </c>
      <c r="J968" s="327">
        <v>1.3125630035912035E-2</v>
      </c>
      <c r="K968" s="327">
        <v>0.86244386712440968</v>
      </c>
      <c r="L968" s="230">
        <v>46.449373801186184</v>
      </c>
      <c r="M968" s="327">
        <v>1.6801993647169591</v>
      </c>
      <c r="N968" s="327">
        <v>0.74364851815677391</v>
      </c>
      <c r="O968" s="327">
        <v>1.5063987695835172E-2</v>
      </c>
      <c r="P968" s="327">
        <v>0.89655954002653748</v>
      </c>
    </row>
    <row r="969" spans="2:16" ht="18" customHeight="1">
      <c r="B969" s="284"/>
      <c r="C969" s="311"/>
      <c r="D969" s="312"/>
      <c r="E969" s="289"/>
      <c r="F969" s="79">
        <v>2</v>
      </c>
      <c r="G969" s="178" t="s">
        <v>106</v>
      </c>
      <c r="H969" s="231">
        <v>36.273536328602908</v>
      </c>
      <c r="I969" s="328"/>
      <c r="J969" s="328"/>
      <c r="K969" s="328"/>
      <c r="L969" s="231">
        <v>41.37490594684246</v>
      </c>
      <c r="M969" s="328">
        <v>1.6801993647169591</v>
      </c>
      <c r="N969" s="328">
        <v>0.74364851815677391</v>
      </c>
      <c r="O969" s="328">
        <v>1.5063987695835172E-2</v>
      </c>
      <c r="P969" s="328">
        <v>0.89655954002653748</v>
      </c>
    </row>
    <row r="970" spans="2:16" ht="18" customHeight="1">
      <c r="B970" s="284"/>
      <c r="C970" s="311"/>
      <c r="D970" s="312"/>
      <c r="E970" s="289"/>
      <c r="F970" s="79">
        <v>3</v>
      </c>
      <c r="G970" s="178" t="s">
        <v>107</v>
      </c>
      <c r="H970" s="231">
        <v>5.945215279452241</v>
      </c>
      <c r="I970" s="328"/>
      <c r="J970" s="328"/>
      <c r="K970" s="328"/>
      <c r="L970" s="231">
        <v>9.8821302310605308</v>
      </c>
      <c r="M970" s="328">
        <v>1.6801993647169591</v>
      </c>
      <c r="N970" s="328">
        <v>0.74364851815677391</v>
      </c>
      <c r="O970" s="328">
        <v>1.5063987695835172E-2</v>
      </c>
      <c r="P970" s="328">
        <v>0.89655954002653748</v>
      </c>
    </row>
    <row r="971" spans="2:16" ht="18" customHeight="1">
      <c r="B971" s="284"/>
      <c r="C971" s="313"/>
      <c r="D971" s="314"/>
      <c r="E971" s="288"/>
      <c r="F971" s="82">
        <v>4</v>
      </c>
      <c r="G971" s="180" t="s">
        <v>108</v>
      </c>
      <c r="H971" s="232">
        <v>1.3423852537200098</v>
      </c>
      <c r="I971" s="329"/>
      <c r="J971" s="329"/>
      <c r="K971" s="329"/>
      <c r="L971" s="232">
        <v>2.2935900209108402</v>
      </c>
      <c r="M971" s="329">
        <v>1.6801993647169591</v>
      </c>
      <c r="N971" s="329">
        <v>0.74364851815677391</v>
      </c>
      <c r="O971" s="329">
        <v>1.5063987695835172E-2</v>
      </c>
      <c r="P971" s="329">
        <v>0.89655954002653748</v>
      </c>
    </row>
    <row r="972" spans="2:16" ht="18" customHeight="1">
      <c r="B972" s="284"/>
      <c r="C972" s="309" t="s">
        <v>288</v>
      </c>
      <c r="D972" s="310"/>
      <c r="E972" s="287" t="str">
        <f>HYPERLINK("#LAYOUT_e4!lay초YEDU2A13","YEDU2A13")</f>
        <v>YEDU2A13</v>
      </c>
      <c r="F972" s="78">
        <v>1</v>
      </c>
      <c r="G972" s="179" t="s">
        <v>105</v>
      </c>
      <c r="H972" s="230">
        <v>37.692695496698555</v>
      </c>
      <c r="I972" s="327">
        <v>1.8338831500184145</v>
      </c>
      <c r="J972" s="327">
        <v>1.5451181114006028E-2</v>
      </c>
      <c r="K972" s="327">
        <v>0.84253901966714051</v>
      </c>
      <c r="L972" s="230">
        <v>34.829707299514077</v>
      </c>
      <c r="M972" s="327">
        <v>1.8482669399013136</v>
      </c>
      <c r="N972" s="327">
        <v>0.75684760602218248</v>
      </c>
      <c r="O972" s="327">
        <v>1.533135983784331E-2</v>
      </c>
      <c r="P972" s="327">
        <v>0.82949921934230497</v>
      </c>
    </row>
    <row r="973" spans="2:16" ht="18" customHeight="1">
      <c r="B973" s="284"/>
      <c r="C973" s="311"/>
      <c r="D973" s="312"/>
      <c r="E973" s="289"/>
      <c r="F973" s="79">
        <v>2</v>
      </c>
      <c r="G973" s="178" t="s">
        <v>106</v>
      </c>
      <c r="H973" s="231">
        <v>44.326872815191642</v>
      </c>
      <c r="I973" s="328"/>
      <c r="J973" s="328"/>
      <c r="K973" s="328"/>
      <c r="L973" s="231">
        <v>48.051145599959298</v>
      </c>
      <c r="M973" s="328">
        <v>1.8482669399013136</v>
      </c>
      <c r="N973" s="328">
        <v>0.75684760602218248</v>
      </c>
      <c r="O973" s="328">
        <v>1.533135983784331E-2</v>
      </c>
      <c r="P973" s="328">
        <v>0.82949921934230497</v>
      </c>
    </row>
    <row r="974" spans="2:16" ht="18" customHeight="1">
      <c r="B974" s="284"/>
      <c r="C974" s="311"/>
      <c r="D974" s="312"/>
      <c r="E974" s="289"/>
      <c r="F974" s="79">
        <v>3</v>
      </c>
      <c r="G974" s="178" t="s">
        <v>107</v>
      </c>
      <c r="H974" s="231">
        <v>14.87985287767847</v>
      </c>
      <c r="I974" s="328"/>
      <c r="J974" s="328"/>
      <c r="K974" s="328"/>
      <c r="L974" s="231">
        <v>14.581892911408621</v>
      </c>
      <c r="M974" s="328">
        <v>1.8482669399013136</v>
      </c>
      <c r="N974" s="328">
        <v>0.75684760602218248</v>
      </c>
      <c r="O974" s="328">
        <v>1.533135983784331E-2</v>
      </c>
      <c r="P974" s="328">
        <v>0.82949921934230497</v>
      </c>
    </row>
    <row r="975" spans="2:16" ht="18" customHeight="1">
      <c r="B975" s="286"/>
      <c r="C975" s="313"/>
      <c r="D975" s="314"/>
      <c r="E975" s="288"/>
      <c r="F975" s="82">
        <v>4</v>
      </c>
      <c r="G975" s="180" t="s">
        <v>108</v>
      </c>
      <c r="H975" s="232">
        <v>3.1005788104313421</v>
      </c>
      <c r="I975" s="329"/>
      <c r="J975" s="329"/>
      <c r="K975" s="329"/>
      <c r="L975" s="232">
        <v>2.5372541891179838</v>
      </c>
      <c r="M975" s="329">
        <v>1.8482669399013136</v>
      </c>
      <c r="N975" s="329">
        <v>0.75684760602218248</v>
      </c>
      <c r="O975" s="329">
        <v>1.533135983784331E-2</v>
      </c>
      <c r="P975" s="329">
        <v>0.82949921934230497</v>
      </c>
    </row>
    <row r="976" spans="2:16" ht="18" customHeight="1">
      <c r="B976" s="282" t="s">
        <v>136</v>
      </c>
      <c r="C976" s="309" t="s">
        <v>289</v>
      </c>
      <c r="D976" s="310"/>
      <c r="E976" s="287" t="str">
        <f>HYPERLINK("#LAYOUT_e4!lay초YEDU3A01","YEDU3A01")</f>
        <v>YEDU3A01</v>
      </c>
      <c r="F976" s="78">
        <v>1</v>
      </c>
      <c r="G976" s="179" t="s">
        <v>105</v>
      </c>
      <c r="H976" s="230">
        <v>10.458468841634392</v>
      </c>
      <c r="I976" s="327">
        <v>2.5231714872897122</v>
      </c>
      <c r="J976" s="327">
        <v>1.5926383022480162E-2</v>
      </c>
      <c r="K976" s="327">
        <v>0.63120493801979494</v>
      </c>
      <c r="L976" s="230">
        <v>8.7038085950648494</v>
      </c>
      <c r="M976" s="327">
        <v>2.494925023849067</v>
      </c>
      <c r="N976" s="327">
        <v>0.75467799687843817</v>
      </c>
      <c r="O976" s="327">
        <v>1.5287410358152096E-2</v>
      </c>
      <c r="P976" s="327">
        <v>0.61274027123136998</v>
      </c>
    </row>
    <row r="977" spans="2:16" ht="18" customHeight="1">
      <c r="B977" s="284"/>
      <c r="C977" s="311"/>
      <c r="D977" s="312"/>
      <c r="E977" s="289"/>
      <c r="F977" s="79">
        <v>2</v>
      </c>
      <c r="G977" s="178" t="s">
        <v>106</v>
      </c>
      <c r="H977" s="231">
        <v>36.884843443374074</v>
      </c>
      <c r="I977" s="328"/>
      <c r="J977" s="328"/>
      <c r="K977" s="328"/>
      <c r="L977" s="231">
        <v>40.362618301895161</v>
      </c>
      <c r="M977" s="328">
        <v>2.494925023849067</v>
      </c>
      <c r="N977" s="328">
        <v>0.75467799687843817</v>
      </c>
      <c r="O977" s="328">
        <v>1.5287410358152096E-2</v>
      </c>
      <c r="P977" s="328">
        <v>0.61274027123136998</v>
      </c>
    </row>
    <row r="978" spans="2:16" ht="18" customHeight="1">
      <c r="B978" s="284"/>
      <c r="C978" s="311"/>
      <c r="D978" s="312"/>
      <c r="E978" s="289"/>
      <c r="F978" s="79">
        <v>3</v>
      </c>
      <c r="G978" s="178" t="s">
        <v>107</v>
      </c>
      <c r="H978" s="231">
        <v>42.537757859374622</v>
      </c>
      <c r="I978" s="328"/>
      <c r="J978" s="328"/>
      <c r="K978" s="328"/>
      <c r="L978" s="231">
        <v>43.670835226108473</v>
      </c>
      <c r="M978" s="328">
        <v>2.494925023849067</v>
      </c>
      <c r="N978" s="328">
        <v>0.75467799687843817</v>
      </c>
      <c r="O978" s="328">
        <v>1.5287410358152096E-2</v>
      </c>
      <c r="P978" s="328">
        <v>0.61274027123136998</v>
      </c>
    </row>
    <row r="979" spans="2:16" ht="18" customHeight="1">
      <c r="B979" s="284"/>
      <c r="C979" s="313"/>
      <c r="D979" s="314"/>
      <c r="E979" s="288"/>
      <c r="F979" s="82">
        <v>4</v>
      </c>
      <c r="G979" s="180" t="s">
        <v>108</v>
      </c>
      <c r="H979" s="232">
        <v>10.11892985561691</v>
      </c>
      <c r="I979" s="329"/>
      <c r="J979" s="329"/>
      <c r="K979" s="329"/>
      <c r="L979" s="232">
        <v>7.2627378769315332</v>
      </c>
      <c r="M979" s="329">
        <v>2.494925023849067</v>
      </c>
      <c r="N979" s="329">
        <v>0.75467799687843817</v>
      </c>
      <c r="O979" s="329">
        <v>1.5287410358152096E-2</v>
      </c>
      <c r="P979" s="329">
        <v>0.61274027123136998</v>
      </c>
    </row>
    <row r="980" spans="2:16" ht="18" customHeight="1">
      <c r="B980" s="284"/>
      <c r="C980" s="309" t="s">
        <v>290</v>
      </c>
      <c r="D980" s="310"/>
      <c r="E980" s="287" t="str">
        <f>HYPERLINK("#LAYOUT_e4!lay초YEDU3A02","YEDU3A02")</f>
        <v>YEDU3A02</v>
      </c>
      <c r="F980" s="78">
        <v>1</v>
      </c>
      <c r="G980" s="179" t="s">
        <v>105</v>
      </c>
      <c r="H980" s="230">
        <v>9.1335293101004389</v>
      </c>
      <c r="I980" s="327">
        <v>2.6784650214099464</v>
      </c>
      <c r="J980" s="327">
        <v>1.6220955366352926E-2</v>
      </c>
      <c r="K980" s="327">
        <v>0.60560639159716168</v>
      </c>
      <c r="L980" s="230">
        <v>7.2468740466203618</v>
      </c>
      <c r="M980" s="327">
        <v>2.7194810491196475</v>
      </c>
      <c r="N980" s="327">
        <v>0.79604242883456611</v>
      </c>
      <c r="O980" s="327">
        <v>1.612532407520862E-2</v>
      </c>
      <c r="P980" s="327">
        <v>0.59295592739757197</v>
      </c>
    </row>
    <row r="981" spans="2:16" ht="18" customHeight="1">
      <c r="B981" s="284"/>
      <c r="C981" s="311"/>
      <c r="D981" s="312"/>
      <c r="E981" s="289"/>
      <c r="F981" s="79">
        <v>2</v>
      </c>
      <c r="G981" s="178" t="s">
        <v>106</v>
      </c>
      <c r="H981" s="231">
        <v>28.129855029580984</v>
      </c>
      <c r="I981" s="328"/>
      <c r="J981" s="328"/>
      <c r="K981" s="328"/>
      <c r="L981" s="231">
        <v>27.891045615723169</v>
      </c>
      <c r="M981" s="328">
        <v>2.7194810491196475</v>
      </c>
      <c r="N981" s="328">
        <v>0.79604242883456611</v>
      </c>
      <c r="O981" s="328">
        <v>1.612532407520862E-2</v>
      </c>
      <c r="P981" s="328">
        <v>0.59295592739757197</v>
      </c>
    </row>
    <row r="982" spans="2:16" ht="18" customHeight="1">
      <c r="B982" s="284"/>
      <c r="C982" s="311"/>
      <c r="D982" s="312"/>
      <c r="E982" s="289"/>
      <c r="F982" s="79">
        <v>3</v>
      </c>
      <c r="G982" s="178" t="s">
        <v>107</v>
      </c>
      <c r="H982" s="231">
        <v>48.493199869539033</v>
      </c>
      <c r="I982" s="328"/>
      <c r="J982" s="328"/>
      <c r="K982" s="328"/>
      <c r="L982" s="231">
        <v>50.529181716728608</v>
      </c>
      <c r="M982" s="328">
        <v>2.7194810491196475</v>
      </c>
      <c r="N982" s="328">
        <v>0.79604242883456611</v>
      </c>
      <c r="O982" s="328">
        <v>1.612532407520862E-2</v>
      </c>
      <c r="P982" s="328">
        <v>0.59295592739757197</v>
      </c>
    </row>
    <row r="983" spans="2:16" ht="18" customHeight="1">
      <c r="B983" s="284"/>
      <c r="C983" s="313"/>
      <c r="D983" s="314"/>
      <c r="E983" s="288"/>
      <c r="F983" s="82">
        <v>4</v>
      </c>
      <c r="G983" s="180" t="s">
        <v>108</v>
      </c>
      <c r="H983" s="232">
        <v>14.243415790779542</v>
      </c>
      <c r="I983" s="329"/>
      <c r="J983" s="329"/>
      <c r="K983" s="329"/>
      <c r="L983" s="232">
        <v>14.332898620927859</v>
      </c>
      <c r="M983" s="329">
        <v>2.7194810491196475</v>
      </c>
      <c r="N983" s="329">
        <v>0.79604242883456611</v>
      </c>
      <c r="O983" s="329">
        <v>1.612532407520862E-2</v>
      </c>
      <c r="P983" s="329">
        <v>0.59295592739757197</v>
      </c>
    </row>
    <row r="984" spans="2:16" ht="18" customHeight="1">
      <c r="B984" s="284"/>
      <c r="C984" s="309" t="s">
        <v>291</v>
      </c>
      <c r="D984" s="310"/>
      <c r="E984" s="287" t="str">
        <f>HYPERLINK("#LAYOUT_e4!lay초YEDU3A03","YEDU3A03")</f>
        <v>YEDU3A03</v>
      </c>
      <c r="F984" s="78">
        <v>1</v>
      </c>
      <c r="G984" s="179" t="s">
        <v>105</v>
      </c>
      <c r="H984" s="230">
        <v>1.426686336957969</v>
      </c>
      <c r="I984" s="327">
        <v>3.3375358755423115</v>
      </c>
      <c r="J984" s="327">
        <v>1.2956145790523295E-2</v>
      </c>
      <c r="K984" s="327">
        <v>0.388194952014353</v>
      </c>
      <c r="L984" s="230">
        <v>2.6768707295545369</v>
      </c>
      <c r="M984" s="327">
        <v>3.1216237523927268</v>
      </c>
      <c r="N984" s="327">
        <v>0.71610679557181001</v>
      </c>
      <c r="O984" s="327">
        <v>1.4506078737487002E-2</v>
      </c>
      <c r="P984" s="327">
        <v>0.46469657742602977</v>
      </c>
    </row>
    <row r="985" spans="2:16" ht="18" customHeight="1">
      <c r="B985" s="284"/>
      <c r="C985" s="311"/>
      <c r="D985" s="312"/>
      <c r="E985" s="289"/>
      <c r="F985" s="79">
        <v>2</v>
      </c>
      <c r="G985" s="178" t="s">
        <v>106</v>
      </c>
      <c r="H985" s="231">
        <v>6.4120518769279933</v>
      </c>
      <c r="I985" s="328"/>
      <c r="J985" s="328"/>
      <c r="K985" s="328"/>
      <c r="L985" s="231">
        <v>12.257742866193984</v>
      </c>
      <c r="M985" s="328">
        <v>3.1216237523927268</v>
      </c>
      <c r="N985" s="328">
        <v>0.71610679557181001</v>
      </c>
      <c r="O985" s="328">
        <v>1.4506078737487002E-2</v>
      </c>
      <c r="P985" s="328">
        <v>0.46469657742602977</v>
      </c>
    </row>
    <row r="986" spans="2:16" ht="18" customHeight="1">
      <c r="B986" s="284"/>
      <c r="C986" s="311"/>
      <c r="D986" s="312"/>
      <c r="E986" s="289"/>
      <c r="F986" s="79">
        <v>3</v>
      </c>
      <c r="G986" s="178" t="s">
        <v>107</v>
      </c>
      <c r="H986" s="231">
        <v>49.14224968103634</v>
      </c>
      <c r="I986" s="328"/>
      <c r="J986" s="328"/>
      <c r="K986" s="328"/>
      <c r="L986" s="231">
        <v>55.291526839676131</v>
      </c>
      <c r="M986" s="328">
        <v>3.1216237523927268</v>
      </c>
      <c r="N986" s="328">
        <v>0.71610679557181001</v>
      </c>
      <c r="O986" s="328">
        <v>1.4506078737487002E-2</v>
      </c>
      <c r="P986" s="328">
        <v>0.46469657742602977</v>
      </c>
    </row>
    <row r="987" spans="2:16" ht="18" customHeight="1">
      <c r="B987" s="284"/>
      <c r="C987" s="313"/>
      <c r="D987" s="314"/>
      <c r="E987" s="288"/>
      <c r="F987" s="82">
        <v>4</v>
      </c>
      <c r="G987" s="180" t="s">
        <v>108</v>
      </c>
      <c r="H987" s="232">
        <v>43.019012105077707</v>
      </c>
      <c r="I987" s="329"/>
      <c r="J987" s="329"/>
      <c r="K987" s="329"/>
      <c r="L987" s="232">
        <v>29.773859564575329</v>
      </c>
      <c r="M987" s="329">
        <v>3.1216237523927268</v>
      </c>
      <c r="N987" s="329">
        <v>0.71610679557181001</v>
      </c>
      <c r="O987" s="329">
        <v>1.4506078737487002E-2</v>
      </c>
      <c r="P987" s="329">
        <v>0.46469657742602977</v>
      </c>
    </row>
    <row r="988" spans="2:16" ht="18" customHeight="1">
      <c r="B988" s="284"/>
      <c r="C988" s="309" t="s">
        <v>292</v>
      </c>
      <c r="D988" s="310"/>
      <c r="E988" s="287" t="str">
        <f>HYPERLINK("#LAYOUT_e4!lay초YEDU3A04","YEDU3A04")</f>
        <v>YEDU3A04</v>
      </c>
      <c r="F988" s="78">
        <v>1</v>
      </c>
      <c r="G988" s="179" t="s">
        <v>105</v>
      </c>
      <c r="H988" s="230">
        <v>1.6789228805554777</v>
      </c>
      <c r="I988" s="327">
        <v>3.2315336593292647</v>
      </c>
      <c r="J988" s="327">
        <v>1.2731913178006775E-2</v>
      </c>
      <c r="K988" s="327">
        <v>0.39398980546745754</v>
      </c>
      <c r="L988" s="230">
        <v>3.0895254428878092</v>
      </c>
      <c r="M988" s="327">
        <v>3.0855368735631412</v>
      </c>
      <c r="N988" s="327">
        <v>0.71143459493460559</v>
      </c>
      <c r="O988" s="327">
        <v>1.4411434599573879E-2</v>
      </c>
      <c r="P988" s="327">
        <v>0.46706408609311867</v>
      </c>
    </row>
    <row r="989" spans="2:16" ht="18" customHeight="1">
      <c r="B989" s="284"/>
      <c r="C989" s="311"/>
      <c r="D989" s="312"/>
      <c r="E989" s="289"/>
      <c r="F989" s="79">
        <v>2</v>
      </c>
      <c r="G989" s="178" t="s">
        <v>106</v>
      </c>
      <c r="H989" s="231">
        <v>7.1887803583409449</v>
      </c>
      <c r="I989" s="328"/>
      <c r="J989" s="328"/>
      <c r="K989" s="328"/>
      <c r="L989" s="231">
        <v>12.116982501255112</v>
      </c>
      <c r="M989" s="328">
        <v>3.0855368735631412</v>
      </c>
      <c r="N989" s="328">
        <v>0.71143459493460559</v>
      </c>
      <c r="O989" s="328">
        <v>1.4411434599573879E-2</v>
      </c>
      <c r="P989" s="328">
        <v>0.46706408609311867</v>
      </c>
    </row>
    <row r="990" spans="2:16" ht="18" customHeight="1">
      <c r="B990" s="284"/>
      <c r="C990" s="311"/>
      <c r="D990" s="312"/>
      <c r="E990" s="289"/>
      <c r="F990" s="79">
        <v>3</v>
      </c>
      <c r="G990" s="178" t="s">
        <v>107</v>
      </c>
      <c r="H990" s="231">
        <v>57.432304708722654</v>
      </c>
      <c r="I990" s="328"/>
      <c r="J990" s="328"/>
      <c r="K990" s="328"/>
      <c r="L990" s="231">
        <v>57.943771312513</v>
      </c>
      <c r="M990" s="328">
        <v>3.0855368735631412</v>
      </c>
      <c r="N990" s="328">
        <v>0.71143459493460559</v>
      </c>
      <c r="O990" s="328">
        <v>1.4411434599573879E-2</v>
      </c>
      <c r="P990" s="328">
        <v>0.46706408609311867</v>
      </c>
    </row>
    <row r="991" spans="2:16" ht="18" customHeight="1">
      <c r="B991" s="284"/>
      <c r="C991" s="313"/>
      <c r="D991" s="314"/>
      <c r="E991" s="288"/>
      <c r="F991" s="82">
        <v>4</v>
      </c>
      <c r="G991" s="180" t="s">
        <v>108</v>
      </c>
      <c r="H991" s="232">
        <v>33.699992052380921</v>
      </c>
      <c r="I991" s="329"/>
      <c r="J991" s="329"/>
      <c r="K991" s="329"/>
      <c r="L991" s="232">
        <v>26.849720743344083</v>
      </c>
      <c r="M991" s="329">
        <v>3.0855368735631412</v>
      </c>
      <c r="N991" s="329">
        <v>0.71143459493460559</v>
      </c>
      <c r="O991" s="329">
        <v>1.4411434599573879E-2</v>
      </c>
      <c r="P991" s="329">
        <v>0.46706408609311867</v>
      </c>
    </row>
    <row r="992" spans="2:16" ht="18" customHeight="1">
      <c r="B992" s="284"/>
      <c r="C992" s="309" t="s">
        <v>293</v>
      </c>
      <c r="D992" s="310"/>
      <c r="E992" s="287" t="str">
        <f>HYPERLINK("#LAYOUT_e4!lay초YEDU3A05","YEDU3A05")</f>
        <v>YEDU3A05</v>
      </c>
      <c r="F992" s="78">
        <v>1</v>
      </c>
      <c r="G992" s="179" t="s">
        <v>105</v>
      </c>
      <c r="H992" s="230">
        <v>2.0458336193546387</v>
      </c>
      <c r="I992" s="327">
        <v>3.0821424687097339</v>
      </c>
      <c r="J992" s="327">
        <v>1.3978185213611294E-2</v>
      </c>
      <c r="K992" s="327">
        <v>0.45352170950951959</v>
      </c>
      <c r="L992" s="230">
        <v>3.5765062415370008</v>
      </c>
      <c r="M992" s="327">
        <v>2.9921458257418601</v>
      </c>
      <c r="N992" s="327">
        <v>0.72936508294813585</v>
      </c>
      <c r="O992" s="327">
        <v>1.477465007600033E-2</v>
      </c>
      <c r="P992" s="327">
        <v>0.49378108342487503</v>
      </c>
    </row>
    <row r="993" spans="2:16" ht="18" customHeight="1">
      <c r="B993" s="284"/>
      <c r="C993" s="311"/>
      <c r="D993" s="312"/>
      <c r="E993" s="289"/>
      <c r="F993" s="79">
        <v>2</v>
      </c>
      <c r="G993" s="178" t="s">
        <v>106</v>
      </c>
      <c r="H993" s="231">
        <v>15.552017905877539</v>
      </c>
      <c r="I993" s="328"/>
      <c r="J993" s="328"/>
      <c r="K993" s="328"/>
      <c r="L993" s="231">
        <v>16.25403108791377</v>
      </c>
      <c r="M993" s="328">
        <v>2.9921458257418601</v>
      </c>
      <c r="N993" s="328">
        <v>0.72936508294813585</v>
      </c>
      <c r="O993" s="328">
        <v>1.477465007600033E-2</v>
      </c>
      <c r="P993" s="328">
        <v>0.49378108342487503</v>
      </c>
    </row>
    <row r="994" spans="2:16" ht="18" customHeight="1">
      <c r="B994" s="284"/>
      <c r="C994" s="311"/>
      <c r="D994" s="312"/>
      <c r="E994" s="289"/>
      <c r="F994" s="79">
        <v>3</v>
      </c>
      <c r="G994" s="178" t="s">
        <v>107</v>
      </c>
      <c r="H994" s="231">
        <v>54.54421645920457</v>
      </c>
      <c r="I994" s="328"/>
      <c r="J994" s="328"/>
      <c r="K994" s="328"/>
      <c r="L994" s="231">
        <v>57.547836525375537</v>
      </c>
      <c r="M994" s="328">
        <v>2.9921458257418601</v>
      </c>
      <c r="N994" s="328">
        <v>0.72936508294813585</v>
      </c>
      <c r="O994" s="328">
        <v>1.477465007600033E-2</v>
      </c>
      <c r="P994" s="328">
        <v>0.49378108342487503</v>
      </c>
    </row>
    <row r="995" spans="2:16" ht="18" customHeight="1">
      <c r="B995" s="284"/>
      <c r="C995" s="313"/>
      <c r="D995" s="314"/>
      <c r="E995" s="288"/>
      <c r="F995" s="82">
        <v>4</v>
      </c>
      <c r="G995" s="180" t="s">
        <v>108</v>
      </c>
      <c r="H995" s="232">
        <v>27.857932015563257</v>
      </c>
      <c r="I995" s="329"/>
      <c r="J995" s="329"/>
      <c r="K995" s="329"/>
      <c r="L995" s="232">
        <v>22.621626145173703</v>
      </c>
      <c r="M995" s="329">
        <v>2.9921458257418601</v>
      </c>
      <c r="N995" s="329">
        <v>0.72936508294813585</v>
      </c>
      <c r="O995" s="329">
        <v>1.477465007600033E-2</v>
      </c>
      <c r="P995" s="329">
        <v>0.49378108342487503</v>
      </c>
    </row>
    <row r="996" spans="2:16" ht="18" customHeight="1">
      <c r="B996" s="284"/>
      <c r="C996" s="309" t="s">
        <v>294</v>
      </c>
      <c r="D996" s="310"/>
      <c r="E996" s="287" t="str">
        <f>HYPERLINK("#LAYOUT_e4!lay초YEDU3A06","YEDU3A06")</f>
        <v>YEDU3A06</v>
      </c>
      <c r="F996" s="78">
        <v>1</v>
      </c>
      <c r="G996" s="179" t="s">
        <v>105</v>
      </c>
      <c r="H996" s="230">
        <v>2.0318892059691525</v>
      </c>
      <c r="I996" s="327">
        <v>3.1254532039980698</v>
      </c>
      <c r="J996" s="327">
        <v>1.3426320179275203E-2</v>
      </c>
      <c r="K996" s="327">
        <v>0.42957994578515196</v>
      </c>
      <c r="L996" s="230">
        <v>3.623239713069613</v>
      </c>
      <c r="M996" s="327">
        <v>2.9827734370502368</v>
      </c>
      <c r="N996" s="327">
        <v>0.71876128986818888</v>
      </c>
      <c r="O996" s="327">
        <v>1.4559850470292211E-2</v>
      </c>
      <c r="P996" s="327">
        <v>0.48813129047746012</v>
      </c>
    </row>
    <row r="997" spans="2:16" ht="18" customHeight="1">
      <c r="B997" s="284"/>
      <c r="C997" s="311"/>
      <c r="D997" s="312"/>
      <c r="E997" s="289"/>
      <c r="F997" s="79">
        <v>2</v>
      </c>
      <c r="G997" s="178" t="s">
        <v>106</v>
      </c>
      <c r="H997" s="231">
        <v>11.907266886257812</v>
      </c>
      <c r="I997" s="328"/>
      <c r="J997" s="328"/>
      <c r="K997" s="328"/>
      <c r="L997" s="231">
        <v>15.826736860195849</v>
      </c>
      <c r="M997" s="328">
        <v>2.9827734370502368</v>
      </c>
      <c r="N997" s="328">
        <v>0.71876128986818888</v>
      </c>
      <c r="O997" s="328">
        <v>1.4559850470292211E-2</v>
      </c>
      <c r="P997" s="328">
        <v>0.48813129047746012</v>
      </c>
    </row>
    <row r="998" spans="2:16" ht="18" customHeight="1">
      <c r="B998" s="284"/>
      <c r="C998" s="311"/>
      <c r="D998" s="312"/>
      <c r="E998" s="289"/>
      <c r="F998" s="79">
        <v>3</v>
      </c>
      <c r="G998" s="178" t="s">
        <v>107</v>
      </c>
      <c r="H998" s="231">
        <v>57.544478209766893</v>
      </c>
      <c r="I998" s="328"/>
      <c r="J998" s="328"/>
      <c r="K998" s="328"/>
      <c r="L998" s="231">
        <v>59.199463435376074</v>
      </c>
      <c r="M998" s="328">
        <v>2.9827734370502368</v>
      </c>
      <c r="N998" s="328">
        <v>0.71876128986818888</v>
      </c>
      <c r="O998" s="328">
        <v>1.4559850470292211E-2</v>
      </c>
      <c r="P998" s="328">
        <v>0.48813129047746012</v>
      </c>
    </row>
    <row r="999" spans="2:16" ht="18" customHeight="1">
      <c r="B999" s="284"/>
      <c r="C999" s="313"/>
      <c r="D999" s="314"/>
      <c r="E999" s="288"/>
      <c r="F999" s="82">
        <v>4</v>
      </c>
      <c r="G999" s="180" t="s">
        <v>108</v>
      </c>
      <c r="H999" s="232">
        <v>28.51636569800613</v>
      </c>
      <c r="I999" s="329"/>
      <c r="J999" s="329"/>
      <c r="K999" s="329"/>
      <c r="L999" s="232">
        <v>21.350559991358462</v>
      </c>
      <c r="M999" s="329">
        <v>2.9827734370502368</v>
      </c>
      <c r="N999" s="329">
        <v>0.71876128986818888</v>
      </c>
      <c r="O999" s="329">
        <v>1.4559850470292211E-2</v>
      </c>
      <c r="P999" s="329">
        <v>0.48813129047746012</v>
      </c>
    </row>
    <row r="1000" spans="2:16" ht="18" customHeight="1">
      <c r="B1000" s="284"/>
      <c r="C1000" s="309" t="s">
        <v>295</v>
      </c>
      <c r="D1000" s="310"/>
      <c r="E1000" s="287" t="str">
        <f>HYPERLINK("#LAYOUT_e4!lay초YEDU3A07","YEDU3A07")</f>
        <v>YEDU3A07</v>
      </c>
      <c r="F1000" s="78">
        <v>1</v>
      </c>
      <c r="G1000" s="179" t="s">
        <v>105</v>
      </c>
      <c r="H1000" s="230">
        <v>1.4854367876886589</v>
      </c>
      <c r="I1000" s="327">
        <v>3.1136236942246396</v>
      </c>
      <c r="J1000" s="327">
        <v>1.2764701883407703E-2</v>
      </c>
      <c r="K1000" s="327">
        <v>0.40996289651458356</v>
      </c>
      <c r="L1000" s="230">
        <v>3.1414001180747597</v>
      </c>
      <c r="M1000" s="327">
        <v>2.9913211360367775</v>
      </c>
      <c r="N1000" s="327">
        <v>0.6923492778082726</v>
      </c>
      <c r="O1000" s="327">
        <v>1.4024825905624221E-2</v>
      </c>
      <c r="P1000" s="327">
        <v>0.46885056026467992</v>
      </c>
    </row>
    <row r="1001" spans="2:16" ht="18" customHeight="1">
      <c r="B1001" s="284"/>
      <c r="C1001" s="311"/>
      <c r="D1001" s="312"/>
      <c r="E1001" s="289"/>
      <c r="F1001" s="79">
        <v>2</v>
      </c>
      <c r="G1001" s="178" t="s">
        <v>106</v>
      </c>
      <c r="H1001" s="231">
        <v>11.738793246810911</v>
      </c>
      <c r="I1001" s="328"/>
      <c r="J1001" s="328"/>
      <c r="K1001" s="328"/>
      <c r="L1001" s="231">
        <v>14.971050314919276</v>
      </c>
      <c r="M1001" s="328">
        <v>2.9913211360367775</v>
      </c>
      <c r="N1001" s="328">
        <v>0.6923492778082726</v>
      </c>
      <c r="O1001" s="328">
        <v>1.4024825905624221E-2</v>
      </c>
      <c r="P1001" s="328">
        <v>0.46885056026467992</v>
      </c>
    </row>
    <row r="1002" spans="2:16" ht="18" customHeight="1">
      <c r="B1002" s="284"/>
      <c r="C1002" s="311"/>
      <c r="D1002" s="312"/>
      <c r="E1002" s="289"/>
      <c r="F1002" s="79">
        <v>3</v>
      </c>
      <c r="G1002" s="178" t="s">
        <v>107</v>
      </c>
      <c r="H1002" s="231">
        <v>60.703733720845108</v>
      </c>
      <c r="I1002" s="328"/>
      <c r="J1002" s="328"/>
      <c r="K1002" s="328"/>
      <c r="L1002" s="231">
        <v>61.501585412259686</v>
      </c>
      <c r="M1002" s="328">
        <v>2.9913211360367775</v>
      </c>
      <c r="N1002" s="328">
        <v>0.6923492778082726</v>
      </c>
      <c r="O1002" s="328">
        <v>1.4024825905624221E-2</v>
      </c>
      <c r="P1002" s="328">
        <v>0.46885056026467992</v>
      </c>
    </row>
    <row r="1003" spans="2:16" ht="18" customHeight="1">
      <c r="B1003" s="284"/>
      <c r="C1003" s="313"/>
      <c r="D1003" s="314"/>
      <c r="E1003" s="288"/>
      <c r="F1003" s="82">
        <v>4</v>
      </c>
      <c r="G1003" s="180" t="s">
        <v>108</v>
      </c>
      <c r="H1003" s="232">
        <v>26.072036244655315</v>
      </c>
      <c r="I1003" s="329"/>
      <c r="J1003" s="329"/>
      <c r="K1003" s="329"/>
      <c r="L1003" s="232">
        <v>20.385964154746297</v>
      </c>
      <c r="M1003" s="329">
        <v>2.9913211360367775</v>
      </c>
      <c r="N1003" s="329">
        <v>0.6923492778082726</v>
      </c>
      <c r="O1003" s="329">
        <v>1.4024825905624221E-2</v>
      </c>
      <c r="P1003" s="329">
        <v>0.46885056026467992</v>
      </c>
    </row>
    <row r="1004" spans="2:16" ht="18" customHeight="1">
      <c r="B1004" s="284"/>
      <c r="C1004" s="309" t="s">
        <v>296</v>
      </c>
      <c r="D1004" s="310"/>
      <c r="E1004" s="287" t="str">
        <f>HYPERLINK("#LAYOUT_e4!lay초YEDU3A08","YEDU3A08")</f>
        <v>YEDU3A08</v>
      </c>
      <c r="F1004" s="78">
        <v>1</v>
      </c>
      <c r="G1004" s="179" t="s">
        <v>105</v>
      </c>
      <c r="H1004" s="230">
        <v>1.3592300702202602</v>
      </c>
      <c r="I1004" s="327">
        <v>3.2443082665896052</v>
      </c>
      <c r="J1004" s="327">
        <v>1.2693584302518237E-2</v>
      </c>
      <c r="K1004" s="327">
        <v>0.39125703414927454</v>
      </c>
      <c r="L1004" s="230">
        <v>2.0599780549060163</v>
      </c>
      <c r="M1004" s="327">
        <v>3.1449460194465324</v>
      </c>
      <c r="N1004" s="327">
        <v>0.66211397023796326</v>
      </c>
      <c r="O1004" s="327">
        <v>1.3412353359658735E-2</v>
      </c>
      <c r="P1004" s="327">
        <v>0.42647324554140148</v>
      </c>
    </row>
    <row r="1005" spans="2:16" ht="18" customHeight="1">
      <c r="B1005" s="284"/>
      <c r="C1005" s="311"/>
      <c r="D1005" s="312"/>
      <c r="E1005" s="289"/>
      <c r="F1005" s="79">
        <v>2</v>
      </c>
      <c r="G1005" s="178" t="s">
        <v>106</v>
      </c>
      <c r="H1005" s="231">
        <v>7.6860817586602099</v>
      </c>
      <c r="I1005" s="328"/>
      <c r="J1005" s="328"/>
      <c r="K1005" s="328"/>
      <c r="L1005" s="231">
        <v>9.5339832087069922</v>
      </c>
      <c r="M1005" s="328">
        <v>3.1449460194465324</v>
      </c>
      <c r="N1005" s="328">
        <v>0.66211397023796326</v>
      </c>
      <c r="O1005" s="328">
        <v>1.3412353359658735E-2</v>
      </c>
      <c r="P1005" s="328">
        <v>0.42647324554140148</v>
      </c>
    </row>
    <row r="1006" spans="2:16" ht="18" customHeight="1">
      <c r="B1006" s="284"/>
      <c r="C1006" s="311"/>
      <c r="D1006" s="312"/>
      <c r="E1006" s="289"/>
      <c r="F1006" s="79">
        <v>3</v>
      </c>
      <c r="G1006" s="178" t="s">
        <v>107</v>
      </c>
      <c r="H1006" s="231">
        <v>56.119319613055715</v>
      </c>
      <c r="I1006" s="328"/>
      <c r="J1006" s="328"/>
      <c r="K1006" s="328"/>
      <c r="L1006" s="231">
        <v>60.257497473215324</v>
      </c>
      <c r="M1006" s="328">
        <v>3.1449460194465324</v>
      </c>
      <c r="N1006" s="328">
        <v>0.66211397023796326</v>
      </c>
      <c r="O1006" s="328">
        <v>1.3412353359658735E-2</v>
      </c>
      <c r="P1006" s="328">
        <v>0.42647324554140148</v>
      </c>
    </row>
    <row r="1007" spans="2:16" ht="18" customHeight="1">
      <c r="B1007" s="284"/>
      <c r="C1007" s="313"/>
      <c r="D1007" s="314"/>
      <c r="E1007" s="288"/>
      <c r="F1007" s="82">
        <v>4</v>
      </c>
      <c r="G1007" s="180" t="s">
        <v>108</v>
      </c>
      <c r="H1007" s="232">
        <v>34.835368558063799</v>
      </c>
      <c r="I1007" s="329"/>
      <c r="J1007" s="329"/>
      <c r="K1007" s="329"/>
      <c r="L1007" s="232">
        <v>28.14854126317168</v>
      </c>
      <c r="M1007" s="329">
        <v>3.1449460194465324</v>
      </c>
      <c r="N1007" s="329">
        <v>0.66211397023796326</v>
      </c>
      <c r="O1007" s="329">
        <v>1.3412353359658735E-2</v>
      </c>
      <c r="P1007" s="329">
        <v>0.42647324554140148</v>
      </c>
    </row>
    <row r="1008" spans="2:16" ht="18" customHeight="1">
      <c r="B1008" s="284"/>
      <c r="C1008" s="309" t="s">
        <v>297</v>
      </c>
      <c r="D1008" s="310"/>
      <c r="E1008" s="287" t="str">
        <f>HYPERLINK("#LAYOUT_e4!lay초YEDU3A09","YEDU3A09")</f>
        <v>YEDU3A09</v>
      </c>
      <c r="F1008" s="78">
        <v>1</v>
      </c>
      <c r="G1008" s="179" t="s">
        <v>105</v>
      </c>
      <c r="H1008" s="230">
        <v>1.9953196293664588</v>
      </c>
      <c r="I1008" s="327">
        <v>3.12819943703014</v>
      </c>
      <c r="J1008" s="327">
        <v>1.3966730109972689E-2</v>
      </c>
      <c r="K1008" s="327">
        <v>0.44647825022411208</v>
      </c>
      <c r="L1008" s="230">
        <v>2.0255402120331647</v>
      </c>
      <c r="M1008" s="327">
        <v>3.0673611310101818</v>
      </c>
      <c r="N1008" s="327">
        <v>0.69741348119104885</v>
      </c>
      <c r="O1008" s="327">
        <v>1.4127410790263577E-2</v>
      </c>
      <c r="P1008" s="327">
        <v>0.46057213959710591</v>
      </c>
    </row>
    <row r="1009" spans="2:16" ht="18" customHeight="1">
      <c r="B1009" s="284"/>
      <c r="C1009" s="311"/>
      <c r="D1009" s="312"/>
      <c r="E1009" s="289"/>
      <c r="F1009" s="79">
        <v>2</v>
      </c>
      <c r="G1009" s="178" t="s">
        <v>106</v>
      </c>
      <c r="H1009" s="231">
        <v>13.843386403550769</v>
      </c>
      <c r="I1009" s="328"/>
      <c r="J1009" s="328"/>
      <c r="K1009" s="328"/>
      <c r="L1009" s="231">
        <v>15.091497912509402</v>
      </c>
      <c r="M1009" s="328">
        <v>3.0673611310101818</v>
      </c>
      <c r="N1009" s="328">
        <v>0.69741348119104885</v>
      </c>
      <c r="O1009" s="328">
        <v>1.4127410790263577E-2</v>
      </c>
      <c r="P1009" s="328">
        <v>0.46057213959710591</v>
      </c>
    </row>
    <row r="1010" spans="2:16" ht="18" customHeight="1">
      <c r="B1010" s="284"/>
      <c r="C1010" s="311"/>
      <c r="D1010" s="312"/>
      <c r="E1010" s="289"/>
      <c r="F1010" s="79">
        <v>3</v>
      </c>
      <c r="G1010" s="178" t="s">
        <v>107</v>
      </c>
      <c r="H1010" s="231">
        <v>53.507324601781882</v>
      </c>
      <c r="I1010" s="328"/>
      <c r="J1010" s="328"/>
      <c r="K1010" s="328"/>
      <c r="L1010" s="231">
        <v>57.00427043786452</v>
      </c>
      <c r="M1010" s="328">
        <v>3.0673611310101818</v>
      </c>
      <c r="N1010" s="328">
        <v>0.69741348119104885</v>
      </c>
      <c r="O1010" s="328">
        <v>1.4127410790263577E-2</v>
      </c>
      <c r="P1010" s="328">
        <v>0.46057213959710591</v>
      </c>
    </row>
    <row r="1011" spans="2:16" ht="18" customHeight="1">
      <c r="B1011" s="284"/>
      <c r="C1011" s="313"/>
      <c r="D1011" s="314"/>
      <c r="E1011" s="288"/>
      <c r="F1011" s="82">
        <v>4</v>
      </c>
      <c r="G1011" s="180" t="s">
        <v>108</v>
      </c>
      <c r="H1011" s="232">
        <v>30.653969365300902</v>
      </c>
      <c r="I1011" s="329"/>
      <c r="J1011" s="329"/>
      <c r="K1011" s="329"/>
      <c r="L1011" s="232">
        <v>25.878691437592892</v>
      </c>
      <c r="M1011" s="329">
        <v>3.0673611310101818</v>
      </c>
      <c r="N1011" s="329">
        <v>0.69741348119104885</v>
      </c>
      <c r="O1011" s="329">
        <v>1.4127410790263577E-2</v>
      </c>
      <c r="P1011" s="329">
        <v>0.46057213959710591</v>
      </c>
    </row>
    <row r="1012" spans="2:16" ht="18" customHeight="1">
      <c r="B1012" s="284"/>
      <c r="C1012" s="309" t="s">
        <v>298</v>
      </c>
      <c r="D1012" s="310"/>
      <c r="E1012" s="287" t="str">
        <f>HYPERLINK("#LAYOUT_e4!lay초YEDU3A10","YEDU3A10")</f>
        <v>YEDU3A10</v>
      </c>
      <c r="F1012" s="78">
        <v>1</v>
      </c>
      <c r="G1012" s="179" t="s">
        <v>105</v>
      </c>
      <c r="H1012" s="230">
        <v>2.0031463620191858</v>
      </c>
      <c r="I1012" s="327">
        <v>2.9945339711952217</v>
      </c>
      <c r="J1012" s="327">
        <v>1.3560081319055539E-2</v>
      </c>
      <c r="K1012" s="327">
        <v>0.45282776717484485</v>
      </c>
      <c r="L1012" s="230">
        <v>3.3973510198481618</v>
      </c>
      <c r="M1012" s="327">
        <v>2.9183432859554843</v>
      </c>
      <c r="N1012" s="327">
        <v>0.72950193790166862</v>
      </c>
      <c r="O1012" s="327">
        <v>1.4777422328328951E-2</v>
      </c>
      <c r="P1012" s="327">
        <v>0.50636340143550762</v>
      </c>
    </row>
    <row r="1013" spans="2:16" ht="18" customHeight="1">
      <c r="B1013" s="284"/>
      <c r="C1013" s="311"/>
      <c r="D1013" s="312"/>
      <c r="E1013" s="289"/>
      <c r="F1013" s="79">
        <v>2</v>
      </c>
      <c r="G1013" s="178" t="s">
        <v>106</v>
      </c>
      <c r="H1013" s="231">
        <v>18.224373668660505</v>
      </c>
      <c r="I1013" s="328"/>
      <c r="J1013" s="328"/>
      <c r="K1013" s="328"/>
      <c r="L1013" s="231">
        <v>20.821908849689937</v>
      </c>
      <c r="M1013" s="328">
        <v>2.9183432859554843</v>
      </c>
      <c r="N1013" s="328">
        <v>0.72950193790166862</v>
      </c>
      <c r="O1013" s="328">
        <v>1.4777422328328951E-2</v>
      </c>
      <c r="P1013" s="328">
        <v>0.50636340143550762</v>
      </c>
    </row>
    <row r="1014" spans="2:16" ht="18" customHeight="1">
      <c r="B1014" s="284"/>
      <c r="C1014" s="311"/>
      <c r="D1014" s="312"/>
      <c r="E1014" s="289"/>
      <c r="F1014" s="79">
        <v>3</v>
      </c>
      <c r="G1014" s="178" t="s">
        <v>107</v>
      </c>
      <c r="H1014" s="231">
        <v>58.088416457096088</v>
      </c>
      <c r="I1014" s="328"/>
      <c r="J1014" s="328"/>
      <c r="K1014" s="328"/>
      <c r="L1014" s="231">
        <v>56.329800645527641</v>
      </c>
      <c r="M1014" s="328">
        <v>2.9183432859554843</v>
      </c>
      <c r="N1014" s="328">
        <v>0.72950193790166862</v>
      </c>
      <c r="O1014" s="328">
        <v>1.4777422328328951E-2</v>
      </c>
      <c r="P1014" s="328">
        <v>0.50636340143550762</v>
      </c>
    </row>
    <row r="1015" spans="2:16" ht="18" customHeight="1">
      <c r="B1015" s="284"/>
      <c r="C1015" s="313"/>
      <c r="D1015" s="314"/>
      <c r="E1015" s="288"/>
      <c r="F1015" s="82">
        <v>4</v>
      </c>
      <c r="G1015" s="180" t="s">
        <v>108</v>
      </c>
      <c r="H1015" s="232">
        <v>21.684063512224242</v>
      </c>
      <c r="I1015" s="329"/>
      <c r="J1015" s="329"/>
      <c r="K1015" s="329"/>
      <c r="L1015" s="232">
        <v>19.450939484934253</v>
      </c>
      <c r="M1015" s="329">
        <v>2.9183432859554843</v>
      </c>
      <c r="N1015" s="329">
        <v>0.72950193790166862</v>
      </c>
      <c r="O1015" s="329">
        <v>1.4777422328328951E-2</v>
      </c>
      <c r="P1015" s="329">
        <v>0.50636340143550762</v>
      </c>
    </row>
    <row r="1016" spans="2:16" ht="18" customHeight="1">
      <c r="B1016" s="284"/>
      <c r="C1016" s="309" t="s">
        <v>299</v>
      </c>
      <c r="D1016" s="310"/>
      <c r="E1016" s="287" t="str">
        <f>HYPERLINK("#LAYOUT_e4!lay초YEDU3A11","YEDU3A11")</f>
        <v>YEDU3A11</v>
      </c>
      <c r="F1016" s="78">
        <v>1</v>
      </c>
      <c r="G1016" s="179" t="s">
        <v>105</v>
      </c>
      <c r="H1016" s="230">
        <v>6.3849598955931519</v>
      </c>
      <c r="I1016" s="327">
        <v>2.8182798114051848</v>
      </c>
      <c r="J1016" s="327">
        <v>1.6260628494070051E-2</v>
      </c>
      <c r="K1016" s="327">
        <v>0.57696998105956521</v>
      </c>
      <c r="L1016" s="230">
        <v>6.0895162922230091</v>
      </c>
      <c r="M1016" s="327">
        <v>2.7297870271135545</v>
      </c>
      <c r="N1016" s="327">
        <v>0.80601116650150506</v>
      </c>
      <c r="O1016" s="327">
        <v>1.6327259449100028E-2</v>
      </c>
      <c r="P1016" s="327">
        <v>0.59811477184592998</v>
      </c>
    </row>
    <row r="1017" spans="2:16" ht="18" customHeight="1">
      <c r="B1017" s="284"/>
      <c r="C1017" s="311"/>
      <c r="D1017" s="312"/>
      <c r="E1017" s="289"/>
      <c r="F1017" s="79">
        <v>2</v>
      </c>
      <c r="G1017" s="178" t="s">
        <v>106</v>
      </c>
      <c r="H1017" s="231">
        <v>26.034608574694545</v>
      </c>
      <c r="I1017" s="328"/>
      <c r="J1017" s="328"/>
      <c r="K1017" s="328"/>
      <c r="L1017" s="231">
        <v>31.362223359660103</v>
      </c>
      <c r="M1017" s="328">
        <v>2.7297870271135545</v>
      </c>
      <c r="N1017" s="328">
        <v>0.80601116650150506</v>
      </c>
      <c r="O1017" s="328">
        <v>1.6327259449100028E-2</v>
      </c>
      <c r="P1017" s="328">
        <v>0.59811477184592998</v>
      </c>
    </row>
    <row r="1018" spans="2:16" ht="18" customHeight="1">
      <c r="B1018" s="284"/>
      <c r="C1018" s="311"/>
      <c r="D1018" s="312"/>
      <c r="E1018" s="289"/>
      <c r="F1018" s="79">
        <v>3</v>
      </c>
      <c r="G1018" s="178" t="s">
        <v>107</v>
      </c>
      <c r="H1018" s="231">
        <v>46.947922023311037</v>
      </c>
      <c r="I1018" s="328"/>
      <c r="J1018" s="328"/>
      <c r="K1018" s="328"/>
      <c r="L1018" s="231">
        <v>46.02830169265561</v>
      </c>
      <c r="M1018" s="328">
        <v>2.7297870271135545</v>
      </c>
      <c r="N1018" s="328">
        <v>0.80601116650150506</v>
      </c>
      <c r="O1018" s="328">
        <v>1.6327259449100028E-2</v>
      </c>
      <c r="P1018" s="328">
        <v>0.59811477184592998</v>
      </c>
    </row>
    <row r="1019" spans="2:16" ht="18" customHeight="1">
      <c r="B1019" s="284"/>
      <c r="C1019" s="313"/>
      <c r="D1019" s="314"/>
      <c r="E1019" s="288"/>
      <c r="F1019" s="82">
        <v>4</v>
      </c>
      <c r="G1019" s="180" t="s">
        <v>108</v>
      </c>
      <c r="H1019" s="232">
        <v>20.632509506401295</v>
      </c>
      <c r="I1019" s="329"/>
      <c r="J1019" s="329"/>
      <c r="K1019" s="329"/>
      <c r="L1019" s="232">
        <v>16.519958655461298</v>
      </c>
      <c r="M1019" s="329">
        <v>2.7297870271135545</v>
      </c>
      <c r="N1019" s="329">
        <v>0.80601116650150506</v>
      </c>
      <c r="O1019" s="329">
        <v>1.6327259449100028E-2</v>
      </c>
      <c r="P1019" s="329">
        <v>0.59811477184592998</v>
      </c>
    </row>
    <row r="1020" spans="2:16" ht="18" customHeight="1">
      <c r="B1020" s="284"/>
      <c r="C1020" s="309" t="s">
        <v>300</v>
      </c>
      <c r="D1020" s="310"/>
      <c r="E1020" s="287" t="str">
        <f>HYPERLINK("#LAYOUT_e4!lay초YEDU3A12","YEDU3A12")</f>
        <v>YEDU3A12</v>
      </c>
      <c r="F1020" s="78">
        <v>1</v>
      </c>
      <c r="G1020" s="179" t="s">
        <v>105</v>
      </c>
      <c r="H1020" s="230">
        <v>6.9732016582367695</v>
      </c>
      <c r="I1020" s="327">
        <v>2.6474873952956099</v>
      </c>
      <c r="J1020" s="327">
        <v>1.5418048188636268E-2</v>
      </c>
      <c r="K1020" s="327">
        <v>0.58236531044616113</v>
      </c>
      <c r="L1020" s="230">
        <v>5.8591300084010243</v>
      </c>
      <c r="M1020" s="327">
        <v>2.6959136175488281</v>
      </c>
      <c r="N1020" s="327">
        <v>0.77690965505575438</v>
      </c>
      <c r="O1020" s="327">
        <v>1.5737754058252774E-2</v>
      </c>
      <c r="P1020" s="327">
        <v>0.58376329107168579</v>
      </c>
    </row>
    <row r="1021" spans="2:16" ht="18" customHeight="1">
      <c r="B1021" s="284"/>
      <c r="C1021" s="311"/>
      <c r="D1021" s="312"/>
      <c r="E1021" s="289"/>
      <c r="F1021" s="79">
        <v>2</v>
      </c>
      <c r="G1021" s="178" t="s">
        <v>106</v>
      </c>
      <c r="H1021" s="231">
        <v>33.893704240389219</v>
      </c>
      <c r="I1021" s="328"/>
      <c r="J1021" s="328"/>
      <c r="K1021" s="328"/>
      <c r="L1021" s="231">
        <v>32.417402257770824</v>
      </c>
      <c r="M1021" s="328">
        <v>2.6959136175488281</v>
      </c>
      <c r="N1021" s="328">
        <v>0.77690965505575438</v>
      </c>
      <c r="O1021" s="328">
        <v>1.5737754058252774E-2</v>
      </c>
      <c r="P1021" s="328">
        <v>0.58376329107168579</v>
      </c>
    </row>
    <row r="1022" spans="2:16" ht="18" customHeight="1">
      <c r="B1022" s="284"/>
      <c r="C1022" s="311"/>
      <c r="D1022" s="312"/>
      <c r="E1022" s="289"/>
      <c r="F1022" s="79">
        <v>3</v>
      </c>
      <c r="G1022" s="178" t="s">
        <v>107</v>
      </c>
      <c r="H1022" s="231">
        <v>46.544247014947466</v>
      </c>
      <c r="I1022" s="328"/>
      <c r="J1022" s="328"/>
      <c r="K1022" s="328"/>
      <c r="L1022" s="231">
        <v>47.996443704373078</v>
      </c>
      <c r="M1022" s="328">
        <v>2.6959136175488281</v>
      </c>
      <c r="N1022" s="328">
        <v>0.77690965505575438</v>
      </c>
      <c r="O1022" s="328">
        <v>1.5737754058252774E-2</v>
      </c>
      <c r="P1022" s="328">
        <v>0.58376329107168579</v>
      </c>
    </row>
    <row r="1023" spans="2:16" ht="18" customHeight="1">
      <c r="B1023" s="284"/>
      <c r="C1023" s="313"/>
      <c r="D1023" s="314"/>
      <c r="E1023" s="288"/>
      <c r="F1023" s="82">
        <v>4</v>
      </c>
      <c r="G1023" s="180" t="s">
        <v>108</v>
      </c>
      <c r="H1023" s="232">
        <v>12.588847086426524</v>
      </c>
      <c r="I1023" s="329"/>
      <c r="J1023" s="329"/>
      <c r="K1023" s="329"/>
      <c r="L1023" s="232">
        <v>13.727024029455057</v>
      </c>
      <c r="M1023" s="329">
        <v>2.6959136175488281</v>
      </c>
      <c r="N1023" s="329">
        <v>0.77690965505575438</v>
      </c>
      <c r="O1023" s="329">
        <v>1.5737754058252774E-2</v>
      </c>
      <c r="P1023" s="329">
        <v>0.58376329107168579</v>
      </c>
    </row>
    <row r="1024" spans="2:16" ht="18" customHeight="1">
      <c r="B1024" s="284"/>
      <c r="C1024" s="309" t="s">
        <v>301</v>
      </c>
      <c r="D1024" s="310"/>
      <c r="E1024" s="287" t="str">
        <f>HYPERLINK("#LAYOUT_e4!lay초YEDU3A13","YEDU3A13")</f>
        <v>YEDU3A13</v>
      </c>
      <c r="F1024" s="78">
        <v>1</v>
      </c>
      <c r="G1024" s="179" t="s">
        <v>105</v>
      </c>
      <c r="H1024" s="230">
        <v>3.1170376271640192</v>
      </c>
      <c r="I1024" s="327">
        <v>3.0348515447088178</v>
      </c>
      <c r="J1024" s="327">
        <v>1.4505258113772986E-2</v>
      </c>
      <c r="K1024" s="327">
        <v>0.47795610098498903</v>
      </c>
      <c r="L1024" s="230">
        <v>3.7095914482043826</v>
      </c>
      <c r="M1024" s="327">
        <v>2.9653777943125683</v>
      </c>
      <c r="N1024" s="327">
        <v>0.73561303258008448</v>
      </c>
      <c r="O1024" s="327">
        <v>1.4901213948692711E-2</v>
      </c>
      <c r="P1024" s="327">
        <v>0.50250642522758571</v>
      </c>
    </row>
    <row r="1025" spans="2:16" ht="18" customHeight="1">
      <c r="B1025" s="284"/>
      <c r="C1025" s="311"/>
      <c r="D1025" s="312"/>
      <c r="E1025" s="289"/>
      <c r="F1025" s="79">
        <v>2</v>
      </c>
      <c r="G1025" s="178" t="s">
        <v>106</v>
      </c>
      <c r="H1025" s="231">
        <v>16.382488828512429</v>
      </c>
      <c r="I1025" s="328"/>
      <c r="J1025" s="328"/>
      <c r="K1025" s="328"/>
      <c r="L1025" s="231">
        <v>17.707495172318161</v>
      </c>
      <c r="M1025" s="328">
        <v>2.9653777943125683</v>
      </c>
      <c r="N1025" s="328">
        <v>0.73561303258008448</v>
      </c>
      <c r="O1025" s="328">
        <v>1.4901213948692711E-2</v>
      </c>
      <c r="P1025" s="328">
        <v>0.50250642522758571</v>
      </c>
    </row>
    <row r="1026" spans="2:16" ht="18" customHeight="1">
      <c r="B1026" s="284"/>
      <c r="C1026" s="311"/>
      <c r="D1026" s="312"/>
      <c r="E1026" s="289"/>
      <c r="F1026" s="79">
        <v>3</v>
      </c>
      <c r="G1026" s="178" t="s">
        <v>107</v>
      </c>
      <c r="H1026" s="231">
        <v>54.398754990597617</v>
      </c>
      <c r="I1026" s="328"/>
      <c r="J1026" s="328"/>
      <c r="K1026" s="328"/>
      <c r="L1026" s="231">
        <v>56.918455879493564</v>
      </c>
      <c r="M1026" s="328">
        <v>2.9653777943125683</v>
      </c>
      <c r="N1026" s="328">
        <v>0.73561303258008448</v>
      </c>
      <c r="O1026" s="328">
        <v>1.4901213948692711E-2</v>
      </c>
      <c r="P1026" s="328">
        <v>0.50250642522758571</v>
      </c>
    </row>
    <row r="1027" spans="2:16" ht="18" customHeight="1">
      <c r="B1027" s="284"/>
      <c r="C1027" s="313"/>
      <c r="D1027" s="314"/>
      <c r="E1027" s="288"/>
      <c r="F1027" s="82">
        <v>4</v>
      </c>
      <c r="G1027" s="180" t="s">
        <v>108</v>
      </c>
      <c r="H1027" s="232">
        <v>26.10171855372592</v>
      </c>
      <c r="I1027" s="329"/>
      <c r="J1027" s="329"/>
      <c r="K1027" s="329"/>
      <c r="L1027" s="232">
        <v>21.664457499983879</v>
      </c>
      <c r="M1027" s="329">
        <v>2.9653777943125683</v>
      </c>
      <c r="N1027" s="329">
        <v>0.73561303258008448</v>
      </c>
      <c r="O1027" s="329">
        <v>1.4901213948692711E-2</v>
      </c>
      <c r="P1027" s="329">
        <v>0.50250642522758571</v>
      </c>
    </row>
    <row r="1028" spans="2:16" ht="18" customHeight="1">
      <c r="B1028" s="284"/>
      <c r="C1028" s="309" t="s">
        <v>302</v>
      </c>
      <c r="D1028" s="310"/>
      <c r="E1028" s="287" t="str">
        <f>HYPERLINK("#LAYOUT_e4!lay초YEDU3A14","YEDU3A14")</f>
        <v>YEDU3A14</v>
      </c>
      <c r="F1028" s="78">
        <v>1</v>
      </c>
      <c r="G1028" s="179" t="s">
        <v>105</v>
      </c>
      <c r="H1028" s="230">
        <v>2.0494728068842996</v>
      </c>
      <c r="I1028" s="327">
        <v>3.000481416140476</v>
      </c>
      <c r="J1028" s="327">
        <v>1.3261006743898629E-2</v>
      </c>
      <c r="K1028" s="327">
        <v>0.44196263548121806</v>
      </c>
      <c r="L1028" s="230">
        <v>3.1609463886670714</v>
      </c>
      <c r="M1028" s="327">
        <v>2.9364032141651659</v>
      </c>
      <c r="N1028" s="327">
        <v>0.69592702092531977</v>
      </c>
      <c r="O1028" s="327">
        <v>1.409729976522074E-2</v>
      </c>
      <c r="P1028" s="327">
        <v>0.48008732919292435</v>
      </c>
    </row>
    <row r="1029" spans="2:16" ht="18" customHeight="1">
      <c r="B1029" s="284"/>
      <c r="C1029" s="311"/>
      <c r="D1029" s="312"/>
      <c r="E1029" s="289"/>
      <c r="F1029" s="79">
        <v>2</v>
      </c>
      <c r="G1029" s="178" t="s">
        <v>106</v>
      </c>
      <c r="H1029" s="231">
        <v>16.741337632379757</v>
      </c>
      <c r="I1029" s="328"/>
      <c r="J1029" s="328"/>
      <c r="K1029" s="328"/>
      <c r="L1029" s="231">
        <v>18.105011913832659</v>
      </c>
      <c r="M1029" s="328">
        <v>2.9364032141651659</v>
      </c>
      <c r="N1029" s="328">
        <v>0.69592702092531977</v>
      </c>
      <c r="O1029" s="328">
        <v>1.409729976522074E-2</v>
      </c>
      <c r="P1029" s="328">
        <v>0.48008732919292435</v>
      </c>
    </row>
    <row r="1030" spans="2:16" ht="18" customHeight="1">
      <c r="B1030" s="284"/>
      <c r="C1030" s="311"/>
      <c r="D1030" s="312"/>
      <c r="E1030" s="289"/>
      <c r="F1030" s="79">
        <v>3</v>
      </c>
      <c r="G1030" s="178" t="s">
        <v>107</v>
      </c>
      <c r="H1030" s="231">
        <v>60.320764700536714</v>
      </c>
      <c r="I1030" s="328"/>
      <c r="J1030" s="328"/>
      <c r="K1030" s="328"/>
      <c r="L1030" s="231">
        <v>60.666815589817034</v>
      </c>
      <c r="M1030" s="328">
        <v>2.9364032141651659</v>
      </c>
      <c r="N1030" s="328">
        <v>0.69592702092531977</v>
      </c>
      <c r="O1030" s="328">
        <v>1.409729976522074E-2</v>
      </c>
      <c r="P1030" s="328">
        <v>0.48008732919292435</v>
      </c>
    </row>
    <row r="1031" spans="2:16" ht="18" customHeight="1">
      <c r="B1031" s="286"/>
      <c r="C1031" s="313"/>
      <c r="D1031" s="314"/>
      <c r="E1031" s="288"/>
      <c r="F1031" s="82">
        <v>4</v>
      </c>
      <c r="G1031" s="180" t="s">
        <v>108</v>
      </c>
      <c r="H1031" s="232">
        <v>20.888424860199237</v>
      </c>
      <c r="I1031" s="329"/>
      <c r="J1031" s="329"/>
      <c r="K1031" s="329"/>
      <c r="L1031" s="232">
        <v>18.067226107683243</v>
      </c>
      <c r="M1031" s="329">
        <v>2.9364032141651659</v>
      </c>
      <c r="N1031" s="329">
        <v>0.69592702092531977</v>
      </c>
      <c r="O1031" s="329">
        <v>1.409729976522074E-2</v>
      </c>
      <c r="P1031" s="329">
        <v>0.48008732919292435</v>
      </c>
    </row>
    <row r="1032" spans="2:16" ht="18" customHeight="1">
      <c r="B1032" s="281" t="s">
        <v>303</v>
      </c>
      <c r="C1032" s="281"/>
      <c r="D1032" s="282"/>
      <c r="E1032" s="287" t="str">
        <f>HYPERLINK("#LAYOUT_e4!lay초YPHY1A00","YPHY1A00")</f>
        <v>YPHY1A00</v>
      </c>
      <c r="F1032" s="78">
        <v>1</v>
      </c>
      <c r="G1032" s="179" t="s">
        <v>304</v>
      </c>
      <c r="H1032" s="230">
        <v>0.47926468788945858</v>
      </c>
      <c r="I1032" s="327">
        <v>3.4020536906013286</v>
      </c>
      <c r="J1032" s="327">
        <v>1.1652190144543849E-2</v>
      </c>
      <c r="K1032" s="327">
        <v>0.34250459293851621</v>
      </c>
      <c r="L1032" s="230">
        <v>0.36198765758836426</v>
      </c>
      <c r="M1032" s="327">
        <v>3.3163760651287673</v>
      </c>
      <c r="N1032" s="327">
        <v>0.57752565854400784</v>
      </c>
      <c r="O1032" s="327">
        <v>1.169885934271701E-2</v>
      </c>
      <c r="P1032" s="327">
        <v>0.35276033576918175</v>
      </c>
    </row>
    <row r="1033" spans="2:16" ht="18" customHeight="1">
      <c r="B1033" s="283"/>
      <c r="C1033" s="283"/>
      <c r="D1033" s="284"/>
      <c r="E1033" s="289"/>
      <c r="F1033" s="79">
        <v>2</v>
      </c>
      <c r="G1033" s="178" t="s">
        <v>305</v>
      </c>
      <c r="H1033" s="231">
        <v>4.2331715445203359</v>
      </c>
      <c r="I1033" s="328"/>
      <c r="J1033" s="328"/>
      <c r="K1033" s="328"/>
      <c r="L1033" s="231">
        <v>4.7698756484533442</v>
      </c>
      <c r="M1033" s="328">
        <v>3.3163760651287673</v>
      </c>
      <c r="N1033" s="328">
        <v>0.57752565854400784</v>
      </c>
      <c r="O1033" s="328">
        <v>1.169885934271701E-2</v>
      </c>
      <c r="P1033" s="328">
        <v>0.35276033576918175</v>
      </c>
    </row>
    <row r="1034" spans="2:16" ht="18" customHeight="1">
      <c r="B1034" s="283"/>
      <c r="C1034" s="283"/>
      <c r="D1034" s="284"/>
      <c r="E1034" s="289"/>
      <c r="F1034" s="79">
        <v>3</v>
      </c>
      <c r="G1034" s="178" t="s">
        <v>306</v>
      </c>
      <c r="H1034" s="231">
        <v>49.890493787154497</v>
      </c>
      <c r="I1034" s="328"/>
      <c r="J1034" s="328"/>
      <c r="K1034" s="328"/>
      <c r="L1034" s="231">
        <v>57.73667921745313</v>
      </c>
      <c r="M1034" s="328">
        <v>3.3163760651287673</v>
      </c>
      <c r="N1034" s="328">
        <v>0.57752565854400784</v>
      </c>
      <c r="O1034" s="328">
        <v>1.169885934271701E-2</v>
      </c>
      <c r="P1034" s="328">
        <v>0.35276033576918175</v>
      </c>
    </row>
    <row r="1035" spans="2:16" ht="18" customHeight="1">
      <c r="B1035" s="285"/>
      <c r="C1035" s="285"/>
      <c r="D1035" s="286"/>
      <c r="E1035" s="288"/>
      <c r="F1035" s="82">
        <v>4</v>
      </c>
      <c r="G1035" s="180" t="s">
        <v>307</v>
      </c>
      <c r="H1035" s="232">
        <v>45.397069980435703</v>
      </c>
      <c r="I1035" s="329"/>
      <c r="J1035" s="329"/>
      <c r="K1035" s="329"/>
      <c r="L1035" s="232">
        <v>37.13145747650514</v>
      </c>
      <c r="M1035" s="329">
        <v>3.3163760651287673</v>
      </c>
      <c r="N1035" s="329">
        <v>0.57752565854400784</v>
      </c>
      <c r="O1035" s="329">
        <v>1.169885934271701E-2</v>
      </c>
      <c r="P1035" s="329">
        <v>0.35276033576918175</v>
      </c>
    </row>
    <row r="1036" spans="2:16" ht="18" customHeight="1">
      <c r="B1036" s="281" t="s">
        <v>308</v>
      </c>
      <c r="C1036" s="281"/>
      <c r="D1036" s="282"/>
      <c r="E1036" s="287" t="str">
        <f>HYPERLINK("#LAYOUT_e4!lay초YPHY1B00","YPHY1B00")</f>
        <v>YPHY1B00</v>
      </c>
      <c r="F1036" s="78">
        <v>1</v>
      </c>
      <c r="G1036" s="179" t="s">
        <v>309</v>
      </c>
      <c r="H1036" s="230">
        <v>7.7966637790032625</v>
      </c>
      <c r="I1036" s="327"/>
      <c r="J1036" s="327"/>
      <c r="K1036" s="327"/>
      <c r="L1036" s="230">
        <v>11.892235247880853</v>
      </c>
      <c r="M1036" s="327">
        <v>3.2783656158583225</v>
      </c>
      <c r="N1036" s="327">
        <v>1.386840589261749</v>
      </c>
      <c r="O1036" s="327">
        <v>2.8093042697786327E-2</v>
      </c>
      <c r="P1036" s="327">
        <v>0.85692219811886894</v>
      </c>
    </row>
    <row r="1037" spans="2:16" ht="18" customHeight="1">
      <c r="B1037" s="283"/>
      <c r="C1037" s="283"/>
      <c r="D1037" s="284"/>
      <c r="E1037" s="289"/>
      <c r="F1037" s="79">
        <v>2</v>
      </c>
      <c r="G1037" s="178" t="s">
        <v>310</v>
      </c>
      <c r="H1037" s="231">
        <v>23.3246660586329</v>
      </c>
      <c r="I1037" s="328"/>
      <c r="J1037" s="328"/>
      <c r="K1037" s="328"/>
      <c r="L1037" s="231">
        <v>21.683026967679368</v>
      </c>
      <c r="M1037" s="328">
        <v>3.2783656158583225</v>
      </c>
      <c r="N1037" s="328">
        <v>1.386840589261749</v>
      </c>
      <c r="O1037" s="328">
        <v>2.8093042697786327E-2</v>
      </c>
      <c r="P1037" s="328">
        <v>0.85692219811886894</v>
      </c>
    </row>
    <row r="1038" spans="2:16" ht="18" customHeight="1">
      <c r="B1038" s="283"/>
      <c r="C1038" s="283"/>
      <c r="D1038" s="284"/>
      <c r="E1038" s="289"/>
      <c r="F1038" s="79">
        <v>3</v>
      </c>
      <c r="G1038" s="178" t="s">
        <v>311</v>
      </c>
      <c r="H1038" s="231">
        <v>16.397939902820212</v>
      </c>
      <c r="I1038" s="328"/>
      <c r="J1038" s="328"/>
      <c r="K1038" s="328"/>
      <c r="L1038" s="231">
        <v>21.843916084331937</v>
      </c>
      <c r="M1038" s="328">
        <v>3.2783656158583225</v>
      </c>
      <c r="N1038" s="328">
        <v>1.386840589261749</v>
      </c>
      <c r="O1038" s="328">
        <v>2.8093042697786327E-2</v>
      </c>
      <c r="P1038" s="328">
        <v>0.85692219811886894</v>
      </c>
    </row>
    <row r="1039" spans="2:16" ht="18" customHeight="1">
      <c r="B1039" s="283"/>
      <c r="C1039" s="283"/>
      <c r="D1039" s="284"/>
      <c r="E1039" s="289"/>
      <c r="F1039" s="79">
        <v>4</v>
      </c>
      <c r="G1039" s="178" t="s">
        <v>312</v>
      </c>
      <c r="H1039" s="231">
        <v>15.517090143833936</v>
      </c>
      <c r="I1039" s="328"/>
      <c r="J1039" s="328"/>
      <c r="K1039" s="328"/>
      <c r="L1039" s="231">
        <v>15.857584350943577</v>
      </c>
      <c r="M1039" s="328">
        <v>3.2783656158583225</v>
      </c>
      <c r="N1039" s="328">
        <v>1.386840589261749</v>
      </c>
      <c r="O1039" s="328">
        <v>2.8093042697786327E-2</v>
      </c>
      <c r="P1039" s="328">
        <v>0.85692219811886894</v>
      </c>
    </row>
    <row r="1040" spans="2:16" ht="18" customHeight="1">
      <c r="B1040" s="285"/>
      <c r="C1040" s="285"/>
      <c r="D1040" s="286"/>
      <c r="E1040" s="288"/>
      <c r="F1040" s="82">
        <v>5</v>
      </c>
      <c r="G1040" s="180" t="s">
        <v>313</v>
      </c>
      <c r="H1040" s="232">
        <v>36.963640115709694</v>
      </c>
      <c r="I1040" s="329"/>
      <c r="J1040" s="329"/>
      <c r="K1040" s="329"/>
      <c r="L1040" s="232">
        <v>28.723237349164258</v>
      </c>
      <c r="M1040" s="329">
        <v>3.2783656158583225</v>
      </c>
      <c r="N1040" s="329">
        <v>1.386840589261749</v>
      </c>
      <c r="O1040" s="329">
        <v>2.8093042697786327E-2</v>
      </c>
      <c r="P1040" s="329">
        <v>0.85692219811886894</v>
      </c>
    </row>
    <row r="1041" spans="2:16" ht="18" customHeight="1">
      <c r="B1041" s="322" t="s">
        <v>314</v>
      </c>
      <c r="C1041" s="322"/>
      <c r="D1041" s="323"/>
      <c r="E1041" s="197" t="str">
        <f>HYPERLINK("#LAYOUT_e4!lay초YPHY1C00","YPHY1C00")</f>
        <v>YPHY1C00</v>
      </c>
      <c r="F1041" s="121" t="s">
        <v>1</v>
      </c>
      <c r="G1041" s="177" t="s">
        <v>315</v>
      </c>
      <c r="H1041" s="229" t="s">
        <v>1808</v>
      </c>
      <c r="I1041" s="237">
        <v>5.9210167600068866</v>
      </c>
      <c r="J1041" s="237">
        <v>3.6735165402728323E-2</v>
      </c>
      <c r="K1041" s="237">
        <v>0.62041988549759808</v>
      </c>
      <c r="L1041" s="229" t="s">
        <v>1</v>
      </c>
      <c r="M1041" s="237">
        <v>5.5906078107742729</v>
      </c>
      <c r="N1041" s="237">
        <v>1.9784597426919219</v>
      </c>
      <c r="O1041" s="237">
        <v>4.0077392064853473E-2</v>
      </c>
      <c r="P1041" s="237">
        <v>0.71687003312262243</v>
      </c>
    </row>
    <row r="1042" spans="2:16" ht="18" customHeight="1">
      <c r="B1042" s="282" t="s">
        <v>316</v>
      </c>
      <c r="C1042" s="324" t="s">
        <v>317</v>
      </c>
      <c r="D1042" s="323"/>
      <c r="E1042" s="197" t="str">
        <f>HYPERLINK("#LAYOUT_e4!lay초YPHY2A00","YPHY2A00")</f>
        <v>YPHY2A00</v>
      </c>
      <c r="F1042" s="121" t="s">
        <v>0</v>
      </c>
      <c r="G1042" s="177" t="s">
        <v>3</v>
      </c>
      <c r="H1042" s="229" t="s">
        <v>1808</v>
      </c>
      <c r="I1042" s="237">
        <v>142.46164184984002</v>
      </c>
      <c r="J1042" s="237">
        <v>0.13466847491510839</v>
      </c>
      <c r="K1042" s="237">
        <v>9.4529638411056646E-2</v>
      </c>
      <c r="L1042" s="229" t="s">
        <v>1</v>
      </c>
      <c r="M1042" s="237">
        <v>148.00899056001683</v>
      </c>
      <c r="N1042" s="237">
        <v>7.1398940291823356</v>
      </c>
      <c r="O1042" s="237">
        <v>0.14463187000191829</v>
      </c>
      <c r="P1042" s="237">
        <v>9.7718300391536617E-2</v>
      </c>
    </row>
    <row r="1043" spans="2:16" ht="18" customHeight="1">
      <c r="B1043" s="286"/>
      <c r="C1043" s="324" t="s">
        <v>318</v>
      </c>
      <c r="D1043" s="323"/>
      <c r="E1043" s="197" t="str">
        <f>HYPERLINK("#LAYOUT_e4!lay초YPHY2B00","YPHY2B00")</f>
        <v>YPHY2B00</v>
      </c>
      <c r="F1043" s="121" t="s">
        <v>0</v>
      </c>
      <c r="G1043" s="177" t="s">
        <v>4</v>
      </c>
      <c r="H1043" s="229" t="s">
        <v>1808</v>
      </c>
      <c r="I1043" s="237">
        <v>37.996530722886469</v>
      </c>
      <c r="J1043" s="237">
        <v>0.17225770732579462</v>
      </c>
      <c r="K1043" s="237">
        <v>0.45335114561403511</v>
      </c>
      <c r="L1043" s="229" t="s">
        <v>1</v>
      </c>
      <c r="M1043" s="237">
        <v>42.37746056119645</v>
      </c>
      <c r="N1043" s="237">
        <v>9.5326360010210589</v>
      </c>
      <c r="O1043" s="237">
        <v>0.19310132128574126</v>
      </c>
      <c r="P1043" s="237">
        <v>0.45566987433540873</v>
      </c>
    </row>
    <row r="1044" spans="2:16" ht="18" customHeight="1">
      <c r="H1044" s="167"/>
      <c r="L1044" s="167"/>
    </row>
    <row r="1045" spans="2:16" ht="18" customHeight="1">
      <c r="H1045" s="167"/>
      <c r="L1045" s="167"/>
    </row>
    <row r="1046" spans="2:16" ht="18" customHeight="1">
      <c r="H1046" s="167"/>
      <c r="L1046" s="167"/>
    </row>
    <row r="1047" spans="2:16" ht="18" customHeight="1">
      <c r="H1047" s="167"/>
      <c r="L1047" s="167"/>
    </row>
    <row r="1048" spans="2:16" ht="18" customHeight="1">
      <c r="H1048" s="167"/>
      <c r="L1048" s="167"/>
    </row>
    <row r="1049" spans="2:16" ht="18" customHeight="1">
      <c r="H1049" s="167"/>
      <c r="L1049" s="167"/>
    </row>
    <row r="1050" spans="2:16" ht="18" customHeight="1">
      <c r="H1050" s="167"/>
      <c r="L1050" s="167"/>
    </row>
    <row r="1051" spans="2:16" ht="18" customHeight="1">
      <c r="H1051" s="167"/>
      <c r="L1051" s="167"/>
    </row>
    <row r="1052" spans="2:16" ht="18" customHeight="1">
      <c r="H1052" s="167"/>
      <c r="L1052" s="167"/>
    </row>
    <row r="1053" spans="2:16" ht="18" customHeight="1">
      <c r="H1053" s="167"/>
      <c r="L1053" s="167"/>
    </row>
    <row r="1054" spans="2:16" ht="18" customHeight="1">
      <c r="H1054" s="167"/>
      <c r="L1054" s="167"/>
    </row>
    <row r="1055" spans="2:16" ht="18" customHeight="1">
      <c r="H1055" s="167"/>
      <c r="L1055" s="167"/>
    </row>
    <row r="1056" spans="2:16" ht="18" customHeight="1">
      <c r="H1056" s="167"/>
      <c r="L1056" s="167"/>
    </row>
    <row r="1057" spans="8:12" ht="18" customHeight="1">
      <c r="H1057" s="167"/>
      <c r="L1057" s="167"/>
    </row>
    <row r="1058" spans="8:12" ht="18" customHeight="1">
      <c r="H1058" s="167"/>
      <c r="L1058" s="167"/>
    </row>
    <row r="1059" spans="8:12" ht="18" customHeight="1">
      <c r="H1059" s="167"/>
      <c r="L1059" s="167"/>
    </row>
    <row r="1060" spans="8:12" ht="18" customHeight="1">
      <c r="H1060" s="167"/>
      <c r="L1060" s="167"/>
    </row>
    <row r="1061" spans="8:12" ht="18" customHeight="1">
      <c r="H1061" s="167"/>
      <c r="L1061" s="167"/>
    </row>
    <row r="1062" spans="8:12" ht="18" customHeight="1">
      <c r="H1062" s="167"/>
      <c r="L1062" s="167"/>
    </row>
    <row r="1063" spans="8:12" ht="18" customHeight="1">
      <c r="H1063" s="167"/>
      <c r="L1063" s="167"/>
    </row>
    <row r="1064" spans="8:12" ht="18" customHeight="1">
      <c r="H1064" s="167"/>
      <c r="L1064" s="167"/>
    </row>
    <row r="1065" spans="8:12" ht="18" customHeight="1">
      <c r="H1065" s="167"/>
      <c r="L1065" s="167"/>
    </row>
    <row r="1066" spans="8:12" ht="18" customHeight="1">
      <c r="H1066" s="167"/>
      <c r="L1066" s="167"/>
    </row>
    <row r="1067" spans="8:12" ht="18" customHeight="1">
      <c r="H1067" s="167"/>
      <c r="L1067" s="167"/>
    </row>
    <row r="1068" spans="8:12" ht="18" customHeight="1">
      <c r="H1068" s="167"/>
      <c r="L1068" s="167"/>
    </row>
    <row r="1069" spans="8:12" ht="18" customHeight="1">
      <c r="H1069" s="167"/>
      <c r="L1069" s="167"/>
    </row>
    <row r="1070" spans="8:12" ht="18" customHeight="1">
      <c r="H1070" s="167"/>
      <c r="L1070" s="167"/>
    </row>
    <row r="1071" spans="8:12" ht="18" customHeight="1">
      <c r="H1071" s="167"/>
      <c r="L1071" s="167"/>
    </row>
    <row r="1072" spans="8:12" ht="18" customHeight="1">
      <c r="H1072" s="167"/>
      <c r="L1072" s="167"/>
    </row>
    <row r="1073" spans="8:12" ht="18" customHeight="1">
      <c r="H1073" s="167"/>
      <c r="L1073" s="167"/>
    </row>
    <row r="1074" spans="8:12" ht="18" customHeight="1">
      <c r="H1074" s="167"/>
      <c r="L1074" s="167"/>
    </row>
  </sheetData>
  <sheetProtection algorithmName="SHA-512" hashValue="pIxFBTtzW9672bXAhrrMMMOgKnmoNv9mzoQK4/tUVsHv+vQ4U9aPW5p+3BQNNfSoeguyVSDUTj51/EWfu5tvjw==" saltValue="pY5peJ5MGed/vQ+AtumRTw==" spinCount="100000" sheet="1" objects="1" scenarios="1"/>
  <mergeCells count="2084">
    <mergeCell ref="N1012:N1015"/>
    <mergeCell ref="O1012:O1015"/>
    <mergeCell ref="N1016:N1019"/>
    <mergeCell ref="O1016:O1019"/>
    <mergeCell ref="N1020:N1023"/>
    <mergeCell ref="O1020:O1023"/>
    <mergeCell ref="N1024:N1027"/>
    <mergeCell ref="O1024:O1027"/>
    <mergeCell ref="N1028:N1031"/>
    <mergeCell ref="O1028:O1031"/>
    <mergeCell ref="N1032:N1035"/>
    <mergeCell ref="O1032:O1035"/>
    <mergeCell ref="N1036:N1040"/>
    <mergeCell ref="O1036:O1040"/>
    <mergeCell ref="L4:P4"/>
    <mergeCell ref="N976:N979"/>
    <mergeCell ref="O976:O979"/>
    <mergeCell ref="N980:N983"/>
    <mergeCell ref="O980:O983"/>
    <mergeCell ref="N984:N987"/>
    <mergeCell ref="O984:O987"/>
    <mergeCell ref="N988:N991"/>
    <mergeCell ref="O988:O991"/>
    <mergeCell ref="N992:N995"/>
    <mergeCell ref="O992:O995"/>
    <mergeCell ref="N996:N999"/>
    <mergeCell ref="O996:O999"/>
    <mergeCell ref="N1000:N1003"/>
    <mergeCell ref="O1000:O1003"/>
    <mergeCell ref="N1004:N1007"/>
    <mergeCell ref="O1004:O1007"/>
    <mergeCell ref="N1008:N1011"/>
    <mergeCell ref="O1008:O1011"/>
    <mergeCell ref="N940:N943"/>
    <mergeCell ref="O940:O943"/>
    <mergeCell ref="N944:N947"/>
    <mergeCell ref="O944:O947"/>
    <mergeCell ref="N948:N951"/>
    <mergeCell ref="O948:O951"/>
    <mergeCell ref="N952:N955"/>
    <mergeCell ref="O952:O955"/>
    <mergeCell ref="N956:N959"/>
    <mergeCell ref="O956:O959"/>
    <mergeCell ref="N960:N963"/>
    <mergeCell ref="O960:O963"/>
    <mergeCell ref="N964:N967"/>
    <mergeCell ref="O964:O967"/>
    <mergeCell ref="N968:N971"/>
    <mergeCell ref="O968:O971"/>
    <mergeCell ref="N972:N975"/>
    <mergeCell ref="O972:O975"/>
    <mergeCell ref="N904:N907"/>
    <mergeCell ref="O904:O907"/>
    <mergeCell ref="N908:N911"/>
    <mergeCell ref="O908:O911"/>
    <mergeCell ref="N912:N915"/>
    <mergeCell ref="O912:O915"/>
    <mergeCell ref="N916:N919"/>
    <mergeCell ref="O916:O919"/>
    <mergeCell ref="N920:N923"/>
    <mergeCell ref="O920:O923"/>
    <mergeCell ref="N924:N927"/>
    <mergeCell ref="O924:O927"/>
    <mergeCell ref="N928:N931"/>
    <mergeCell ref="O928:O931"/>
    <mergeCell ref="N932:N935"/>
    <mergeCell ref="O932:O935"/>
    <mergeCell ref="N936:N939"/>
    <mergeCell ref="O936:O939"/>
    <mergeCell ref="N868:N871"/>
    <mergeCell ref="O868:O871"/>
    <mergeCell ref="N872:N875"/>
    <mergeCell ref="O872:O875"/>
    <mergeCell ref="N876:N879"/>
    <mergeCell ref="O876:O879"/>
    <mergeCell ref="N880:N883"/>
    <mergeCell ref="O880:O883"/>
    <mergeCell ref="N884:N887"/>
    <mergeCell ref="O884:O887"/>
    <mergeCell ref="N888:N891"/>
    <mergeCell ref="O888:O891"/>
    <mergeCell ref="N892:N895"/>
    <mergeCell ref="O892:O895"/>
    <mergeCell ref="N896:N899"/>
    <mergeCell ref="O896:O899"/>
    <mergeCell ref="N900:N903"/>
    <mergeCell ref="O900:O903"/>
    <mergeCell ref="N832:N835"/>
    <mergeCell ref="O832:O835"/>
    <mergeCell ref="N836:N839"/>
    <mergeCell ref="O836:O839"/>
    <mergeCell ref="N840:N843"/>
    <mergeCell ref="O840:O843"/>
    <mergeCell ref="N844:N847"/>
    <mergeCell ref="O844:O847"/>
    <mergeCell ref="N848:N851"/>
    <mergeCell ref="O848:O851"/>
    <mergeCell ref="N852:N855"/>
    <mergeCell ref="O852:O855"/>
    <mergeCell ref="N856:N859"/>
    <mergeCell ref="O856:O859"/>
    <mergeCell ref="N860:N863"/>
    <mergeCell ref="O860:O863"/>
    <mergeCell ref="N864:N867"/>
    <mergeCell ref="O864:O867"/>
    <mergeCell ref="N812:N813"/>
    <mergeCell ref="O812:O813"/>
    <mergeCell ref="N814:N815"/>
    <mergeCell ref="O814:O815"/>
    <mergeCell ref="N816:N817"/>
    <mergeCell ref="O816:O817"/>
    <mergeCell ref="N818:N819"/>
    <mergeCell ref="O818:O819"/>
    <mergeCell ref="N820:N821"/>
    <mergeCell ref="O820:O821"/>
    <mergeCell ref="N822:N823"/>
    <mergeCell ref="O822:O823"/>
    <mergeCell ref="N824:N825"/>
    <mergeCell ref="O824:O825"/>
    <mergeCell ref="N826:N827"/>
    <mergeCell ref="O826:O827"/>
    <mergeCell ref="N828:N831"/>
    <mergeCell ref="O828:O831"/>
    <mergeCell ref="N774:N777"/>
    <mergeCell ref="O774:O777"/>
    <mergeCell ref="N778:N781"/>
    <mergeCell ref="O778:O781"/>
    <mergeCell ref="N782:N785"/>
    <mergeCell ref="O782:O785"/>
    <mergeCell ref="N786:N789"/>
    <mergeCell ref="O786:O789"/>
    <mergeCell ref="N790:N793"/>
    <mergeCell ref="O790:O793"/>
    <mergeCell ref="N794:N797"/>
    <mergeCell ref="O794:O797"/>
    <mergeCell ref="N798:N801"/>
    <mergeCell ref="O798:O801"/>
    <mergeCell ref="N808:N809"/>
    <mergeCell ref="O808:O809"/>
    <mergeCell ref="N810:N811"/>
    <mergeCell ref="O810:O811"/>
    <mergeCell ref="N738:N741"/>
    <mergeCell ref="O738:O741"/>
    <mergeCell ref="N742:N745"/>
    <mergeCell ref="O742:O745"/>
    <mergeCell ref="N746:N749"/>
    <mergeCell ref="O746:O749"/>
    <mergeCell ref="N750:N753"/>
    <mergeCell ref="O750:O753"/>
    <mergeCell ref="N754:N757"/>
    <mergeCell ref="O754:O757"/>
    <mergeCell ref="N758:N761"/>
    <mergeCell ref="O758:O761"/>
    <mergeCell ref="N762:N765"/>
    <mergeCell ref="O762:O765"/>
    <mergeCell ref="N766:N769"/>
    <mergeCell ref="O766:O769"/>
    <mergeCell ref="N770:N773"/>
    <mergeCell ref="O770:O773"/>
    <mergeCell ref="N702:N705"/>
    <mergeCell ref="O702:O705"/>
    <mergeCell ref="N706:N709"/>
    <mergeCell ref="O706:O709"/>
    <mergeCell ref="N710:N713"/>
    <mergeCell ref="O710:O713"/>
    <mergeCell ref="N714:N717"/>
    <mergeCell ref="O714:O717"/>
    <mergeCell ref="N718:N721"/>
    <mergeCell ref="O718:O721"/>
    <mergeCell ref="N722:N725"/>
    <mergeCell ref="O722:O725"/>
    <mergeCell ref="N726:N729"/>
    <mergeCell ref="O726:O729"/>
    <mergeCell ref="N730:N733"/>
    <mergeCell ref="O730:O733"/>
    <mergeCell ref="N734:N737"/>
    <mergeCell ref="O734:O737"/>
    <mergeCell ref="N666:N669"/>
    <mergeCell ref="O666:O669"/>
    <mergeCell ref="N670:N673"/>
    <mergeCell ref="O670:O673"/>
    <mergeCell ref="N674:N677"/>
    <mergeCell ref="O674:O677"/>
    <mergeCell ref="N678:N681"/>
    <mergeCell ref="O678:O681"/>
    <mergeCell ref="N682:N685"/>
    <mergeCell ref="O682:O685"/>
    <mergeCell ref="N686:N689"/>
    <mergeCell ref="O686:O689"/>
    <mergeCell ref="N690:N693"/>
    <mergeCell ref="O690:O693"/>
    <mergeCell ref="N694:N697"/>
    <mergeCell ref="O694:O697"/>
    <mergeCell ref="N698:N701"/>
    <mergeCell ref="O698:O701"/>
    <mergeCell ref="N630:N633"/>
    <mergeCell ref="O630:O633"/>
    <mergeCell ref="N634:N637"/>
    <mergeCell ref="O634:O637"/>
    <mergeCell ref="N638:N641"/>
    <mergeCell ref="O638:O641"/>
    <mergeCell ref="N642:N645"/>
    <mergeCell ref="O642:O645"/>
    <mergeCell ref="N646:N649"/>
    <mergeCell ref="O646:O649"/>
    <mergeCell ref="N650:N653"/>
    <mergeCell ref="O650:O653"/>
    <mergeCell ref="N654:N657"/>
    <mergeCell ref="O654:O657"/>
    <mergeCell ref="N658:N661"/>
    <mergeCell ref="O658:O661"/>
    <mergeCell ref="N662:N665"/>
    <mergeCell ref="O662:O665"/>
    <mergeCell ref="N594:N597"/>
    <mergeCell ref="O594:O597"/>
    <mergeCell ref="N598:N601"/>
    <mergeCell ref="O598:O601"/>
    <mergeCell ref="N602:N605"/>
    <mergeCell ref="O602:O605"/>
    <mergeCell ref="N606:N609"/>
    <mergeCell ref="O606:O609"/>
    <mergeCell ref="N610:N613"/>
    <mergeCell ref="O610:O613"/>
    <mergeCell ref="N614:N617"/>
    <mergeCell ref="O614:O617"/>
    <mergeCell ref="N618:N621"/>
    <mergeCell ref="O618:O621"/>
    <mergeCell ref="N622:N625"/>
    <mergeCell ref="O622:O625"/>
    <mergeCell ref="N626:N629"/>
    <mergeCell ref="O626:O629"/>
    <mergeCell ref="N558:N561"/>
    <mergeCell ref="O558:O561"/>
    <mergeCell ref="N562:N565"/>
    <mergeCell ref="O562:O565"/>
    <mergeCell ref="N566:N569"/>
    <mergeCell ref="O566:O569"/>
    <mergeCell ref="N570:N573"/>
    <mergeCell ref="O570:O573"/>
    <mergeCell ref="N574:N577"/>
    <mergeCell ref="O574:O577"/>
    <mergeCell ref="N578:N581"/>
    <mergeCell ref="O578:O581"/>
    <mergeCell ref="N582:N585"/>
    <mergeCell ref="O582:O585"/>
    <mergeCell ref="N586:N589"/>
    <mergeCell ref="O586:O589"/>
    <mergeCell ref="N590:N593"/>
    <mergeCell ref="O590:O593"/>
    <mergeCell ref="N522:N525"/>
    <mergeCell ref="O522:O525"/>
    <mergeCell ref="N526:N529"/>
    <mergeCell ref="O526:O529"/>
    <mergeCell ref="N530:N533"/>
    <mergeCell ref="O530:O533"/>
    <mergeCell ref="N534:N537"/>
    <mergeCell ref="O534:O537"/>
    <mergeCell ref="N538:N541"/>
    <mergeCell ref="O538:O541"/>
    <mergeCell ref="N542:N545"/>
    <mergeCell ref="O542:O545"/>
    <mergeCell ref="N546:N549"/>
    <mergeCell ref="O546:O549"/>
    <mergeCell ref="N550:N553"/>
    <mergeCell ref="O550:O553"/>
    <mergeCell ref="N554:N557"/>
    <mergeCell ref="O554:O557"/>
    <mergeCell ref="N483:N487"/>
    <mergeCell ref="O483:O487"/>
    <mergeCell ref="N488:N492"/>
    <mergeCell ref="O488:O492"/>
    <mergeCell ref="N494:N497"/>
    <mergeCell ref="O494:O497"/>
    <mergeCell ref="N498:N501"/>
    <mergeCell ref="O498:O501"/>
    <mergeCell ref="N502:N505"/>
    <mergeCell ref="O502:O505"/>
    <mergeCell ref="N506:N509"/>
    <mergeCell ref="O506:O509"/>
    <mergeCell ref="N510:N513"/>
    <mergeCell ref="O510:O513"/>
    <mergeCell ref="N514:N517"/>
    <mergeCell ref="O514:O517"/>
    <mergeCell ref="N518:N521"/>
    <mergeCell ref="O518:O521"/>
    <mergeCell ref="N441:N444"/>
    <mergeCell ref="O441:O444"/>
    <mergeCell ref="N445:N448"/>
    <mergeCell ref="O445:O448"/>
    <mergeCell ref="N449:N452"/>
    <mergeCell ref="O449:O452"/>
    <mergeCell ref="N453:N457"/>
    <mergeCell ref="O453:O457"/>
    <mergeCell ref="N458:N462"/>
    <mergeCell ref="O458:O462"/>
    <mergeCell ref="N463:N467"/>
    <mergeCell ref="O463:O467"/>
    <mergeCell ref="N468:N472"/>
    <mergeCell ref="O468:O472"/>
    <mergeCell ref="N473:N477"/>
    <mergeCell ref="O473:O477"/>
    <mergeCell ref="N478:N482"/>
    <mergeCell ref="O478:O482"/>
    <mergeCell ref="N405:N408"/>
    <mergeCell ref="O405:O408"/>
    <mergeCell ref="N409:N412"/>
    <mergeCell ref="O409:O412"/>
    <mergeCell ref="N413:N416"/>
    <mergeCell ref="O413:O416"/>
    <mergeCell ref="N417:N420"/>
    <mergeCell ref="O417:O420"/>
    <mergeCell ref="N421:N424"/>
    <mergeCell ref="O421:O424"/>
    <mergeCell ref="N425:N428"/>
    <mergeCell ref="O425:O428"/>
    <mergeCell ref="N429:N432"/>
    <mergeCell ref="O429:O432"/>
    <mergeCell ref="N433:N436"/>
    <mergeCell ref="O433:O436"/>
    <mergeCell ref="N437:N440"/>
    <mergeCell ref="O437:O440"/>
    <mergeCell ref="N363:N366"/>
    <mergeCell ref="O363:O366"/>
    <mergeCell ref="N367:N370"/>
    <mergeCell ref="O367:O370"/>
    <mergeCell ref="N371:N376"/>
    <mergeCell ref="O371:O376"/>
    <mergeCell ref="N377:N382"/>
    <mergeCell ref="O377:O382"/>
    <mergeCell ref="N383:N388"/>
    <mergeCell ref="O383:O388"/>
    <mergeCell ref="N389:N392"/>
    <mergeCell ref="O389:O392"/>
    <mergeCell ref="N393:N396"/>
    <mergeCell ref="O393:O396"/>
    <mergeCell ref="N397:N400"/>
    <mergeCell ref="O397:O400"/>
    <mergeCell ref="N401:N404"/>
    <mergeCell ref="O401:O404"/>
    <mergeCell ref="N327:N330"/>
    <mergeCell ref="O327:O330"/>
    <mergeCell ref="N331:N334"/>
    <mergeCell ref="O331:O334"/>
    <mergeCell ref="N335:N338"/>
    <mergeCell ref="O335:O338"/>
    <mergeCell ref="N339:N342"/>
    <mergeCell ref="O339:O342"/>
    <mergeCell ref="N343:N346"/>
    <mergeCell ref="O343:O346"/>
    <mergeCell ref="N347:N350"/>
    <mergeCell ref="O347:O350"/>
    <mergeCell ref="N351:N354"/>
    <mergeCell ref="O351:O354"/>
    <mergeCell ref="N355:N358"/>
    <mergeCell ref="O355:O358"/>
    <mergeCell ref="N359:N362"/>
    <mergeCell ref="O359:O362"/>
    <mergeCell ref="N289:N292"/>
    <mergeCell ref="O289:O292"/>
    <mergeCell ref="N293:N296"/>
    <mergeCell ref="O293:O296"/>
    <mergeCell ref="N297:N300"/>
    <mergeCell ref="O297:O300"/>
    <mergeCell ref="N301:N304"/>
    <mergeCell ref="O301:O304"/>
    <mergeCell ref="N305:N309"/>
    <mergeCell ref="O305:O309"/>
    <mergeCell ref="N311:N314"/>
    <mergeCell ref="O311:O314"/>
    <mergeCell ref="N315:N318"/>
    <mergeCell ref="O315:O318"/>
    <mergeCell ref="N319:N322"/>
    <mergeCell ref="O319:O322"/>
    <mergeCell ref="N323:N326"/>
    <mergeCell ref="O323:O326"/>
    <mergeCell ref="N254:N256"/>
    <mergeCell ref="O254:O256"/>
    <mergeCell ref="N257:N260"/>
    <mergeCell ref="O257:O260"/>
    <mergeCell ref="N261:N264"/>
    <mergeCell ref="O261:O264"/>
    <mergeCell ref="N265:N268"/>
    <mergeCell ref="O265:O268"/>
    <mergeCell ref="N269:N272"/>
    <mergeCell ref="O269:O272"/>
    <mergeCell ref="N273:N276"/>
    <mergeCell ref="O273:O276"/>
    <mergeCell ref="N277:N280"/>
    <mergeCell ref="O277:O280"/>
    <mergeCell ref="N281:N284"/>
    <mergeCell ref="O281:O284"/>
    <mergeCell ref="N285:N288"/>
    <mergeCell ref="O285:O288"/>
    <mergeCell ref="N191:N197"/>
    <mergeCell ref="O191:O197"/>
    <mergeCell ref="N198:N204"/>
    <mergeCell ref="O198:O204"/>
    <mergeCell ref="N205:N211"/>
    <mergeCell ref="O205:O211"/>
    <mergeCell ref="N212:N218"/>
    <mergeCell ref="O212:O218"/>
    <mergeCell ref="N219:N225"/>
    <mergeCell ref="O219:O225"/>
    <mergeCell ref="N226:N232"/>
    <mergeCell ref="O226:O232"/>
    <mergeCell ref="N233:N239"/>
    <mergeCell ref="O233:O239"/>
    <mergeCell ref="N240:N246"/>
    <mergeCell ref="O240:O246"/>
    <mergeCell ref="N247:N253"/>
    <mergeCell ref="O247:O253"/>
    <mergeCell ref="P1024:P1027"/>
    <mergeCell ref="P1028:P1031"/>
    <mergeCell ref="P1032:P1035"/>
    <mergeCell ref="P1036:P1040"/>
    <mergeCell ref="N96:N99"/>
    <mergeCell ref="O96:O99"/>
    <mergeCell ref="N100:N106"/>
    <mergeCell ref="O100:O106"/>
    <mergeCell ref="N107:N113"/>
    <mergeCell ref="O107:O113"/>
    <mergeCell ref="N114:N120"/>
    <mergeCell ref="O114:O120"/>
    <mergeCell ref="N121:N127"/>
    <mergeCell ref="O121:O127"/>
    <mergeCell ref="N128:N134"/>
    <mergeCell ref="O128:O134"/>
    <mergeCell ref="N135:N141"/>
    <mergeCell ref="O135:O141"/>
    <mergeCell ref="N142:N148"/>
    <mergeCell ref="O142:O148"/>
    <mergeCell ref="N149:N155"/>
    <mergeCell ref="O149:O155"/>
    <mergeCell ref="N156:N162"/>
    <mergeCell ref="O156:O162"/>
    <mergeCell ref="N163:N169"/>
    <mergeCell ref="O163:O169"/>
    <mergeCell ref="N170:N176"/>
    <mergeCell ref="O170:O176"/>
    <mergeCell ref="N177:N183"/>
    <mergeCell ref="O177:O183"/>
    <mergeCell ref="N184:N190"/>
    <mergeCell ref="O184:O190"/>
    <mergeCell ref="P956:P959"/>
    <mergeCell ref="P960:P963"/>
    <mergeCell ref="P964:P967"/>
    <mergeCell ref="P968:P971"/>
    <mergeCell ref="P972:P975"/>
    <mergeCell ref="P976:P979"/>
    <mergeCell ref="P980:P983"/>
    <mergeCell ref="P984:P987"/>
    <mergeCell ref="P988:P991"/>
    <mergeCell ref="P992:P995"/>
    <mergeCell ref="P996:P999"/>
    <mergeCell ref="P1000:P1003"/>
    <mergeCell ref="P1004:P1007"/>
    <mergeCell ref="P1008:P1011"/>
    <mergeCell ref="P1012:P1015"/>
    <mergeCell ref="P1016:P1019"/>
    <mergeCell ref="P1020:P1023"/>
    <mergeCell ref="P888:P891"/>
    <mergeCell ref="P892:P895"/>
    <mergeCell ref="P896:P899"/>
    <mergeCell ref="P900:P903"/>
    <mergeCell ref="P904:P907"/>
    <mergeCell ref="P908:P911"/>
    <mergeCell ref="P912:P915"/>
    <mergeCell ref="P916:P919"/>
    <mergeCell ref="P920:P923"/>
    <mergeCell ref="P924:P927"/>
    <mergeCell ref="P928:P931"/>
    <mergeCell ref="P932:P935"/>
    <mergeCell ref="P936:P939"/>
    <mergeCell ref="P940:P943"/>
    <mergeCell ref="P944:P947"/>
    <mergeCell ref="P948:P951"/>
    <mergeCell ref="P952:P955"/>
    <mergeCell ref="P824:P825"/>
    <mergeCell ref="P826:P827"/>
    <mergeCell ref="P828:P831"/>
    <mergeCell ref="P832:P835"/>
    <mergeCell ref="P836:P839"/>
    <mergeCell ref="P840:P843"/>
    <mergeCell ref="P844:P847"/>
    <mergeCell ref="P848:P851"/>
    <mergeCell ref="P852:P855"/>
    <mergeCell ref="P856:P859"/>
    <mergeCell ref="P860:P863"/>
    <mergeCell ref="P864:P867"/>
    <mergeCell ref="P868:P871"/>
    <mergeCell ref="P872:P875"/>
    <mergeCell ref="P876:P879"/>
    <mergeCell ref="P880:P883"/>
    <mergeCell ref="P884:P887"/>
    <mergeCell ref="P766:P769"/>
    <mergeCell ref="P770:P773"/>
    <mergeCell ref="P774:P777"/>
    <mergeCell ref="P778:P781"/>
    <mergeCell ref="P782:P785"/>
    <mergeCell ref="P786:P789"/>
    <mergeCell ref="P790:P793"/>
    <mergeCell ref="P794:P797"/>
    <mergeCell ref="P798:P801"/>
    <mergeCell ref="P808:P809"/>
    <mergeCell ref="P810:P811"/>
    <mergeCell ref="P812:P813"/>
    <mergeCell ref="P814:P815"/>
    <mergeCell ref="P816:P817"/>
    <mergeCell ref="P818:P819"/>
    <mergeCell ref="P820:P821"/>
    <mergeCell ref="P822:P823"/>
    <mergeCell ref="P698:P701"/>
    <mergeCell ref="P702:P705"/>
    <mergeCell ref="P706:P709"/>
    <mergeCell ref="P710:P713"/>
    <mergeCell ref="P714:P717"/>
    <mergeCell ref="P718:P721"/>
    <mergeCell ref="P722:P725"/>
    <mergeCell ref="P726:P729"/>
    <mergeCell ref="P730:P733"/>
    <mergeCell ref="P734:P737"/>
    <mergeCell ref="P738:P741"/>
    <mergeCell ref="P742:P745"/>
    <mergeCell ref="P746:P749"/>
    <mergeCell ref="P750:P753"/>
    <mergeCell ref="P754:P757"/>
    <mergeCell ref="P758:P761"/>
    <mergeCell ref="P762:P765"/>
    <mergeCell ref="P630:P633"/>
    <mergeCell ref="P634:P637"/>
    <mergeCell ref="P638:P641"/>
    <mergeCell ref="P642:P645"/>
    <mergeCell ref="P646:P649"/>
    <mergeCell ref="P650:P653"/>
    <mergeCell ref="P654:P657"/>
    <mergeCell ref="P658:P661"/>
    <mergeCell ref="P662:P665"/>
    <mergeCell ref="P666:P669"/>
    <mergeCell ref="P670:P673"/>
    <mergeCell ref="P674:P677"/>
    <mergeCell ref="P678:P681"/>
    <mergeCell ref="P682:P685"/>
    <mergeCell ref="P686:P689"/>
    <mergeCell ref="P690:P693"/>
    <mergeCell ref="P694:P697"/>
    <mergeCell ref="P562:P565"/>
    <mergeCell ref="P566:P569"/>
    <mergeCell ref="P570:P573"/>
    <mergeCell ref="P574:P577"/>
    <mergeCell ref="P578:P581"/>
    <mergeCell ref="P582:P585"/>
    <mergeCell ref="P586:P589"/>
    <mergeCell ref="P590:P593"/>
    <mergeCell ref="P594:P597"/>
    <mergeCell ref="P598:P601"/>
    <mergeCell ref="P602:P605"/>
    <mergeCell ref="P606:P609"/>
    <mergeCell ref="P610:P613"/>
    <mergeCell ref="P614:P617"/>
    <mergeCell ref="P618:P621"/>
    <mergeCell ref="P622:P625"/>
    <mergeCell ref="P626:P629"/>
    <mergeCell ref="P494:P497"/>
    <mergeCell ref="P498:P501"/>
    <mergeCell ref="P502:P505"/>
    <mergeCell ref="P506:P509"/>
    <mergeCell ref="P510:P513"/>
    <mergeCell ref="P514:P517"/>
    <mergeCell ref="P518:P521"/>
    <mergeCell ref="P522:P525"/>
    <mergeCell ref="P526:P529"/>
    <mergeCell ref="P530:P533"/>
    <mergeCell ref="P534:P537"/>
    <mergeCell ref="P538:P541"/>
    <mergeCell ref="P542:P545"/>
    <mergeCell ref="P546:P549"/>
    <mergeCell ref="P550:P553"/>
    <mergeCell ref="P554:P557"/>
    <mergeCell ref="P558:P561"/>
    <mergeCell ref="P417:P420"/>
    <mergeCell ref="P421:P424"/>
    <mergeCell ref="P425:P428"/>
    <mergeCell ref="P429:P432"/>
    <mergeCell ref="P433:P436"/>
    <mergeCell ref="P437:P440"/>
    <mergeCell ref="P441:P444"/>
    <mergeCell ref="P445:P448"/>
    <mergeCell ref="P449:P452"/>
    <mergeCell ref="P453:P457"/>
    <mergeCell ref="P458:P462"/>
    <mergeCell ref="P463:P467"/>
    <mergeCell ref="P468:P472"/>
    <mergeCell ref="P473:P477"/>
    <mergeCell ref="P478:P482"/>
    <mergeCell ref="P483:P487"/>
    <mergeCell ref="P488:P492"/>
    <mergeCell ref="P343:P346"/>
    <mergeCell ref="P347:P350"/>
    <mergeCell ref="P351:P354"/>
    <mergeCell ref="P355:P358"/>
    <mergeCell ref="P359:P362"/>
    <mergeCell ref="P363:P366"/>
    <mergeCell ref="P367:P370"/>
    <mergeCell ref="P371:P376"/>
    <mergeCell ref="P377:P382"/>
    <mergeCell ref="P383:P388"/>
    <mergeCell ref="P389:P392"/>
    <mergeCell ref="P393:P396"/>
    <mergeCell ref="P397:P400"/>
    <mergeCell ref="P401:P404"/>
    <mergeCell ref="P405:P408"/>
    <mergeCell ref="P409:P412"/>
    <mergeCell ref="P413:P416"/>
    <mergeCell ref="P273:P276"/>
    <mergeCell ref="P277:P280"/>
    <mergeCell ref="P281:P284"/>
    <mergeCell ref="P285:P288"/>
    <mergeCell ref="P289:P292"/>
    <mergeCell ref="P293:P296"/>
    <mergeCell ref="P297:P300"/>
    <mergeCell ref="P301:P304"/>
    <mergeCell ref="P305:P309"/>
    <mergeCell ref="P311:P314"/>
    <mergeCell ref="P315:P318"/>
    <mergeCell ref="P319:P322"/>
    <mergeCell ref="P323:P326"/>
    <mergeCell ref="P327:P330"/>
    <mergeCell ref="P331:P334"/>
    <mergeCell ref="P335:P338"/>
    <mergeCell ref="P339:P342"/>
    <mergeCell ref="P170:P176"/>
    <mergeCell ref="P177:P183"/>
    <mergeCell ref="P184:P190"/>
    <mergeCell ref="P191:P197"/>
    <mergeCell ref="P198:P204"/>
    <mergeCell ref="P205:P211"/>
    <mergeCell ref="P212:P218"/>
    <mergeCell ref="P219:P225"/>
    <mergeCell ref="P226:P232"/>
    <mergeCell ref="P233:P239"/>
    <mergeCell ref="P240:P246"/>
    <mergeCell ref="P247:P253"/>
    <mergeCell ref="P254:P256"/>
    <mergeCell ref="P257:P260"/>
    <mergeCell ref="P261:P264"/>
    <mergeCell ref="P265:P268"/>
    <mergeCell ref="P269:P272"/>
    <mergeCell ref="P39:P55"/>
    <mergeCell ref="P56:P58"/>
    <mergeCell ref="P59:P75"/>
    <mergeCell ref="P76:P79"/>
    <mergeCell ref="P82:P83"/>
    <mergeCell ref="P88:P91"/>
    <mergeCell ref="P96:P99"/>
    <mergeCell ref="P100:P106"/>
    <mergeCell ref="P107:P113"/>
    <mergeCell ref="P114:P120"/>
    <mergeCell ref="P121:P127"/>
    <mergeCell ref="P128:P134"/>
    <mergeCell ref="P135:P141"/>
    <mergeCell ref="P142:P148"/>
    <mergeCell ref="P149:P155"/>
    <mergeCell ref="P156:P162"/>
    <mergeCell ref="P163:P169"/>
    <mergeCell ref="M1028:M1031"/>
    <mergeCell ref="M1032:M1035"/>
    <mergeCell ref="M1036:M1040"/>
    <mergeCell ref="M1004:M1007"/>
    <mergeCell ref="M1008:M1011"/>
    <mergeCell ref="M1012:M1015"/>
    <mergeCell ref="M1016:M1019"/>
    <mergeCell ref="M1020:M1023"/>
    <mergeCell ref="M1024:M1027"/>
    <mergeCell ref="M980:M983"/>
    <mergeCell ref="M984:M987"/>
    <mergeCell ref="M988:M991"/>
    <mergeCell ref="M992:M995"/>
    <mergeCell ref="M996:M999"/>
    <mergeCell ref="M1000:M1003"/>
    <mergeCell ref="M956:M959"/>
    <mergeCell ref="M960:M963"/>
    <mergeCell ref="M964:M967"/>
    <mergeCell ref="M968:M971"/>
    <mergeCell ref="M972:M975"/>
    <mergeCell ref="M976:M979"/>
    <mergeCell ref="M932:M935"/>
    <mergeCell ref="M936:M939"/>
    <mergeCell ref="M940:M943"/>
    <mergeCell ref="M944:M947"/>
    <mergeCell ref="M948:M951"/>
    <mergeCell ref="M952:M955"/>
    <mergeCell ref="M908:M911"/>
    <mergeCell ref="M912:M915"/>
    <mergeCell ref="M916:M919"/>
    <mergeCell ref="M920:M923"/>
    <mergeCell ref="M924:M927"/>
    <mergeCell ref="M928:M931"/>
    <mergeCell ref="M884:M887"/>
    <mergeCell ref="M888:M891"/>
    <mergeCell ref="M892:M895"/>
    <mergeCell ref="M896:M899"/>
    <mergeCell ref="M900:M903"/>
    <mergeCell ref="M904:M907"/>
    <mergeCell ref="M860:M863"/>
    <mergeCell ref="M864:M867"/>
    <mergeCell ref="M868:M871"/>
    <mergeCell ref="M872:M875"/>
    <mergeCell ref="M876:M879"/>
    <mergeCell ref="M880:M883"/>
    <mergeCell ref="M836:M839"/>
    <mergeCell ref="M840:M843"/>
    <mergeCell ref="M844:M847"/>
    <mergeCell ref="M848:M851"/>
    <mergeCell ref="M852:M855"/>
    <mergeCell ref="M856:M859"/>
    <mergeCell ref="M820:M821"/>
    <mergeCell ref="M822:M823"/>
    <mergeCell ref="M824:M825"/>
    <mergeCell ref="M826:M827"/>
    <mergeCell ref="M828:M831"/>
    <mergeCell ref="M832:M835"/>
    <mergeCell ref="M808:M809"/>
    <mergeCell ref="M810:M811"/>
    <mergeCell ref="M812:M813"/>
    <mergeCell ref="M814:M815"/>
    <mergeCell ref="M816:M817"/>
    <mergeCell ref="M818:M819"/>
    <mergeCell ref="M778:M781"/>
    <mergeCell ref="M782:M785"/>
    <mergeCell ref="M786:M789"/>
    <mergeCell ref="M790:M793"/>
    <mergeCell ref="M794:M797"/>
    <mergeCell ref="M798:M801"/>
    <mergeCell ref="M754:M757"/>
    <mergeCell ref="M758:M761"/>
    <mergeCell ref="M762:M765"/>
    <mergeCell ref="M766:M769"/>
    <mergeCell ref="M770:M773"/>
    <mergeCell ref="M774:M777"/>
    <mergeCell ref="M730:M733"/>
    <mergeCell ref="M734:M737"/>
    <mergeCell ref="M738:M741"/>
    <mergeCell ref="M742:M745"/>
    <mergeCell ref="M746:M749"/>
    <mergeCell ref="M750:M753"/>
    <mergeCell ref="M706:M709"/>
    <mergeCell ref="M710:M713"/>
    <mergeCell ref="M714:M717"/>
    <mergeCell ref="M718:M721"/>
    <mergeCell ref="M722:M725"/>
    <mergeCell ref="M726:M729"/>
    <mergeCell ref="M682:M685"/>
    <mergeCell ref="M686:M689"/>
    <mergeCell ref="M690:M693"/>
    <mergeCell ref="M694:M697"/>
    <mergeCell ref="M698:M701"/>
    <mergeCell ref="M702:M705"/>
    <mergeCell ref="M658:M661"/>
    <mergeCell ref="M662:M665"/>
    <mergeCell ref="M666:M669"/>
    <mergeCell ref="M670:M673"/>
    <mergeCell ref="M674:M677"/>
    <mergeCell ref="M678:M681"/>
    <mergeCell ref="M634:M637"/>
    <mergeCell ref="M638:M641"/>
    <mergeCell ref="M642:M645"/>
    <mergeCell ref="M646:M649"/>
    <mergeCell ref="M650:M653"/>
    <mergeCell ref="M654:M657"/>
    <mergeCell ref="M610:M613"/>
    <mergeCell ref="M614:M617"/>
    <mergeCell ref="M618:M621"/>
    <mergeCell ref="M622:M625"/>
    <mergeCell ref="M626:M629"/>
    <mergeCell ref="M630:M633"/>
    <mergeCell ref="M586:M589"/>
    <mergeCell ref="M590:M593"/>
    <mergeCell ref="M594:M597"/>
    <mergeCell ref="M598:M601"/>
    <mergeCell ref="M602:M605"/>
    <mergeCell ref="M606:M609"/>
    <mergeCell ref="M562:M565"/>
    <mergeCell ref="M566:M569"/>
    <mergeCell ref="M570:M573"/>
    <mergeCell ref="M574:M577"/>
    <mergeCell ref="M578:M581"/>
    <mergeCell ref="M582:M585"/>
    <mergeCell ref="M538:M541"/>
    <mergeCell ref="M542:M545"/>
    <mergeCell ref="M546:M549"/>
    <mergeCell ref="M550:M553"/>
    <mergeCell ref="M554:M557"/>
    <mergeCell ref="M558:M561"/>
    <mergeCell ref="M514:M517"/>
    <mergeCell ref="M518:M521"/>
    <mergeCell ref="M522:M525"/>
    <mergeCell ref="M526:M529"/>
    <mergeCell ref="M530:M533"/>
    <mergeCell ref="M534:M537"/>
    <mergeCell ref="M488:M492"/>
    <mergeCell ref="M494:M497"/>
    <mergeCell ref="M498:M501"/>
    <mergeCell ref="M502:M505"/>
    <mergeCell ref="M506:M509"/>
    <mergeCell ref="M510:M513"/>
    <mergeCell ref="M458:M462"/>
    <mergeCell ref="M463:M467"/>
    <mergeCell ref="M468:M472"/>
    <mergeCell ref="M473:M477"/>
    <mergeCell ref="M478:M482"/>
    <mergeCell ref="M483:M487"/>
    <mergeCell ref="M433:M436"/>
    <mergeCell ref="M437:M440"/>
    <mergeCell ref="M441:M444"/>
    <mergeCell ref="M445:M448"/>
    <mergeCell ref="M449:M452"/>
    <mergeCell ref="M453:M457"/>
    <mergeCell ref="M409:M412"/>
    <mergeCell ref="M413:M416"/>
    <mergeCell ref="M417:M420"/>
    <mergeCell ref="M421:M424"/>
    <mergeCell ref="M425:M428"/>
    <mergeCell ref="M429:M432"/>
    <mergeCell ref="M383:M388"/>
    <mergeCell ref="M389:M392"/>
    <mergeCell ref="M393:M396"/>
    <mergeCell ref="M397:M400"/>
    <mergeCell ref="M401:M404"/>
    <mergeCell ref="M405:M408"/>
    <mergeCell ref="M355:M358"/>
    <mergeCell ref="M359:M362"/>
    <mergeCell ref="M363:M366"/>
    <mergeCell ref="M367:M370"/>
    <mergeCell ref="M371:M376"/>
    <mergeCell ref="M377:M382"/>
    <mergeCell ref="M331:M334"/>
    <mergeCell ref="M335:M338"/>
    <mergeCell ref="M339:M342"/>
    <mergeCell ref="M343:M346"/>
    <mergeCell ref="M347:M350"/>
    <mergeCell ref="M351:M354"/>
    <mergeCell ref="M305:M309"/>
    <mergeCell ref="M311:M314"/>
    <mergeCell ref="M315:M318"/>
    <mergeCell ref="M319:M322"/>
    <mergeCell ref="M323:M326"/>
    <mergeCell ref="M327:M330"/>
    <mergeCell ref="M281:M284"/>
    <mergeCell ref="M285:M288"/>
    <mergeCell ref="M289:M292"/>
    <mergeCell ref="M293:M296"/>
    <mergeCell ref="M297:M300"/>
    <mergeCell ref="M301:M304"/>
    <mergeCell ref="M257:M260"/>
    <mergeCell ref="M261:M264"/>
    <mergeCell ref="M265:M268"/>
    <mergeCell ref="M269:M272"/>
    <mergeCell ref="M273:M276"/>
    <mergeCell ref="M277:M280"/>
    <mergeCell ref="M219:M225"/>
    <mergeCell ref="M226:M232"/>
    <mergeCell ref="M233:M239"/>
    <mergeCell ref="M240:M246"/>
    <mergeCell ref="M247:M253"/>
    <mergeCell ref="M254:M256"/>
    <mergeCell ref="M177:M183"/>
    <mergeCell ref="M184:M190"/>
    <mergeCell ref="M191:M197"/>
    <mergeCell ref="M198:M204"/>
    <mergeCell ref="M205:M211"/>
    <mergeCell ref="M212:M218"/>
    <mergeCell ref="M135:M141"/>
    <mergeCell ref="M142:M148"/>
    <mergeCell ref="M149:M155"/>
    <mergeCell ref="M156:M162"/>
    <mergeCell ref="M163:M169"/>
    <mergeCell ref="M170:M176"/>
    <mergeCell ref="M96:M99"/>
    <mergeCell ref="M100:M106"/>
    <mergeCell ref="M107:M113"/>
    <mergeCell ref="M114:M120"/>
    <mergeCell ref="M121:M127"/>
    <mergeCell ref="M128:M134"/>
    <mergeCell ref="M39:M55"/>
    <mergeCell ref="N39:N55"/>
    <mergeCell ref="O39:O55"/>
    <mergeCell ref="M56:M58"/>
    <mergeCell ref="N56:N58"/>
    <mergeCell ref="O56:O58"/>
    <mergeCell ref="M59:M75"/>
    <mergeCell ref="N59:N75"/>
    <mergeCell ref="O59:O75"/>
    <mergeCell ref="M76:M79"/>
    <mergeCell ref="N76:N79"/>
    <mergeCell ref="O76:O79"/>
    <mergeCell ref="M82:M83"/>
    <mergeCell ref="N82:N83"/>
    <mergeCell ref="O82:O83"/>
    <mergeCell ref="M88:M91"/>
    <mergeCell ref="N88:N91"/>
    <mergeCell ref="O88:O91"/>
    <mergeCell ref="K1020:K1023"/>
    <mergeCell ref="K1024:K1027"/>
    <mergeCell ref="K1028:K1031"/>
    <mergeCell ref="K1032:K1035"/>
    <mergeCell ref="K1036:K1040"/>
    <mergeCell ref="H4:K4"/>
    <mergeCell ref="I808:I809"/>
    <mergeCell ref="J808:J809"/>
    <mergeCell ref="K808:K809"/>
    <mergeCell ref="I810:I811"/>
    <mergeCell ref="J810:J811"/>
    <mergeCell ref="K810:K811"/>
    <mergeCell ref="I812:I813"/>
    <mergeCell ref="J812:J813"/>
    <mergeCell ref="K812:K813"/>
    <mergeCell ref="I814:I815"/>
    <mergeCell ref="J814:J815"/>
    <mergeCell ref="K814:K815"/>
    <mergeCell ref="I816:I817"/>
    <mergeCell ref="J816:J817"/>
    <mergeCell ref="K816:K817"/>
    <mergeCell ref="I818:I819"/>
    <mergeCell ref="K984:K987"/>
    <mergeCell ref="K988:K991"/>
    <mergeCell ref="K992:K995"/>
    <mergeCell ref="K996:K999"/>
    <mergeCell ref="K1000:K1003"/>
    <mergeCell ref="K1004:K1007"/>
    <mergeCell ref="K1008:K1011"/>
    <mergeCell ref="K1012:K1015"/>
    <mergeCell ref="K1016:K1019"/>
    <mergeCell ref="K948:K951"/>
    <mergeCell ref="K952:K955"/>
    <mergeCell ref="K956:K959"/>
    <mergeCell ref="K960:K963"/>
    <mergeCell ref="K964:K967"/>
    <mergeCell ref="K968:K971"/>
    <mergeCell ref="K972:K975"/>
    <mergeCell ref="K976:K979"/>
    <mergeCell ref="K980:K983"/>
    <mergeCell ref="K912:K915"/>
    <mergeCell ref="K916:K919"/>
    <mergeCell ref="K920:K923"/>
    <mergeCell ref="K924:K927"/>
    <mergeCell ref="K928:K931"/>
    <mergeCell ref="K932:K935"/>
    <mergeCell ref="K936:K939"/>
    <mergeCell ref="K940:K943"/>
    <mergeCell ref="K944:K947"/>
    <mergeCell ref="K876:K879"/>
    <mergeCell ref="K880:K883"/>
    <mergeCell ref="K884:K887"/>
    <mergeCell ref="K888:K891"/>
    <mergeCell ref="K892:K895"/>
    <mergeCell ref="K896:K899"/>
    <mergeCell ref="K900:K903"/>
    <mergeCell ref="K904:K907"/>
    <mergeCell ref="K908:K911"/>
    <mergeCell ref="K840:K843"/>
    <mergeCell ref="K844:K847"/>
    <mergeCell ref="K848:K851"/>
    <mergeCell ref="K852:K855"/>
    <mergeCell ref="K856:K859"/>
    <mergeCell ref="K860:K863"/>
    <mergeCell ref="K864:K867"/>
    <mergeCell ref="K868:K871"/>
    <mergeCell ref="K872:K875"/>
    <mergeCell ref="K778:K781"/>
    <mergeCell ref="K782:K785"/>
    <mergeCell ref="K786:K789"/>
    <mergeCell ref="K790:K793"/>
    <mergeCell ref="K794:K797"/>
    <mergeCell ref="K798:K801"/>
    <mergeCell ref="K828:K831"/>
    <mergeCell ref="K832:K835"/>
    <mergeCell ref="K836:K839"/>
    <mergeCell ref="K818:K819"/>
    <mergeCell ref="K820:K821"/>
    <mergeCell ref="K822:K823"/>
    <mergeCell ref="K824:K825"/>
    <mergeCell ref="K826:K827"/>
    <mergeCell ref="K742:K745"/>
    <mergeCell ref="K746:K749"/>
    <mergeCell ref="K750:K753"/>
    <mergeCell ref="K754:K757"/>
    <mergeCell ref="K758:K761"/>
    <mergeCell ref="K762:K765"/>
    <mergeCell ref="K766:K769"/>
    <mergeCell ref="K770:K773"/>
    <mergeCell ref="K774:K777"/>
    <mergeCell ref="K706:K709"/>
    <mergeCell ref="K710:K713"/>
    <mergeCell ref="K714:K717"/>
    <mergeCell ref="K718:K721"/>
    <mergeCell ref="K722:K725"/>
    <mergeCell ref="K726:K729"/>
    <mergeCell ref="K730:K733"/>
    <mergeCell ref="K734:K737"/>
    <mergeCell ref="K738:K741"/>
    <mergeCell ref="K670:K673"/>
    <mergeCell ref="K674:K677"/>
    <mergeCell ref="K678:K681"/>
    <mergeCell ref="K682:K685"/>
    <mergeCell ref="K686:K689"/>
    <mergeCell ref="K690:K693"/>
    <mergeCell ref="K694:K697"/>
    <mergeCell ref="K698:K701"/>
    <mergeCell ref="K702:K705"/>
    <mergeCell ref="K634:K637"/>
    <mergeCell ref="K638:K641"/>
    <mergeCell ref="K642:K645"/>
    <mergeCell ref="K646:K649"/>
    <mergeCell ref="K650:K653"/>
    <mergeCell ref="K654:K657"/>
    <mergeCell ref="K658:K661"/>
    <mergeCell ref="K662:K665"/>
    <mergeCell ref="K666:K669"/>
    <mergeCell ref="K598:K601"/>
    <mergeCell ref="K602:K605"/>
    <mergeCell ref="K606:K609"/>
    <mergeCell ref="K610:K613"/>
    <mergeCell ref="K614:K617"/>
    <mergeCell ref="K618:K621"/>
    <mergeCell ref="K622:K625"/>
    <mergeCell ref="K626:K629"/>
    <mergeCell ref="K630:K633"/>
    <mergeCell ref="K562:K565"/>
    <mergeCell ref="K566:K569"/>
    <mergeCell ref="K570:K573"/>
    <mergeCell ref="K574:K577"/>
    <mergeCell ref="K578:K581"/>
    <mergeCell ref="K582:K585"/>
    <mergeCell ref="K586:K589"/>
    <mergeCell ref="K590:K593"/>
    <mergeCell ref="K594:K597"/>
    <mergeCell ref="K526:K529"/>
    <mergeCell ref="K530:K533"/>
    <mergeCell ref="K534:K537"/>
    <mergeCell ref="K538:K541"/>
    <mergeCell ref="K542:K545"/>
    <mergeCell ref="K546:K549"/>
    <mergeCell ref="K550:K553"/>
    <mergeCell ref="K554:K557"/>
    <mergeCell ref="K558:K561"/>
    <mergeCell ref="K488:K492"/>
    <mergeCell ref="K494:K497"/>
    <mergeCell ref="K498:K501"/>
    <mergeCell ref="K502:K505"/>
    <mergeCell ref="K506:K509"/>
    <mergeCell ref="K510:K513"/>
    <mergeCell ref="K514:K517"/>
    <mergeCell ref="K518:K521"/>
    <mergeCell ref="K522:K525"/>
    <mergeCell ref="K445:K448"/>
    <mergeCell ref="K449:K452"/>
    <mergeCell ref="K453:K457"/>
    <mergeCell ref="K458:K462"/>
    <mergeCell ref="K463:K467"/>
    <mergeCell ref="K468:K472"/>
    <mergeCell ref="K473:K477"/>
    <mergeCell ref="K478:K482"/>
    <mergeCell ref="K483:K487"/>
    <mergeCell ref="K409:K412"/>
    <mergeCell ref="K413:K416"/>
    <mergeCell ref="K417:K420"/>
    <mergeCell ref="K421:K424"/>
    <mergeCell ref="K425:K428"/>
    <mergeCell ref="K429:K432"/>
    <mergeCell ref="K433:K436"/>
    <mergeCell ref="K437:K440"/>
    <mergeCell ref="K441:K444"/>
    <mergeCell ref="K367:K370"/>
    <mergeCell ref="K371:K376"/>
    <mergeCell ref="K377:K382"/>
    <mergeCell ref="K383:K388"/>
    <mergeCell ref="K389:K392"/>
    <mergeCell ref="K393:K396"/>
    <mergeCell ref="K397:K400"/>
    <mergeCell ref="K401:K404"/>
    <mergeCell ref="K405:K408"/>
    <mergeCell ref="K331:K334"/>
    <mergeCell ref="K335:K338"/>
    <mergeCell ref="K339:K342"/>
    <mergeCell ref="K343:K346"/>
    <mergeCell ref="K347:K350"/>
    <mergeCell ref="K351:K354"/>
    <mergeCell ref="K355:K358"/>
    <mergeCell ref="K359:K362"/>
    <mergeCell ref="K363:K366"/>
    <mergeCell ref="K293:K296"/>
    <mergeCell ref="K297:K300"/>
    <mergeCell ref="K301:K304"/>
    <mergeCell ref="K305:K309"/>
    <mergeCell ref="K311:K314"/>
    <mergeCell ref="K315:K318"/>
    <mergeCell ref="K319:K322"/>
    <mergeCell ref="K323:K326"/>
    <mergeCell ref="K327:K330"/>
    <mergeCell ref="K257:K260"/>
    <mergeCell ref="K261:K264"/>
    <mergeCell ref="K265:K268"/>
    <mergeCell ref="K269:K272"/>
    <mergeCell ref="K273:K276"/>
    <mergeCell ref="K277:K280"/>
    <mergeCell ref="K281:K284"/>
    <mergeCell ref="K285:K288"/>
    <mergeCell ref="K289:K292"/>
    <mergeCell ref="K198:K204"/>
    <mergeCell ref="K205:K211"/>
    <mergeCell ref="K212:K218"/>
    <mergeCell ref="K219:K225"/>
    <mergeCell ref="K226:K232"/>
    <mergeCell ref="K233:K239"/>
    <mergeCell ref="K240:K246"/>
    <mergeCell ref="K247:K253"/>
    <mergeCell ref="K254:K256"/>
    <mergeCell ref="K135:K141"/>
    <mergeCell ref="K142:K148"/>
    <mergeCell ref="K149:K155"/>
    <mergeCell ref="K156:K162"/>
    <mergeCell ref="K163:K169"/>
    <mergeCell ref="K170:K176"/>
    <mergeCell ref="K177:K183"/>
    <mergeCell ref="K184:K190"/>
    <mergeCell ref="K191:K197"/>
    <mergeCell ref="J1016:J1019"/>
    <mergeCell ref="J1020:J1023"/>
    <mergeCell ref="J1024:J1027"/>
    <mergeCell ref="J1028:J1031"/>
    <mergeCell ref="J1032:J1035"/>
    <mergeCell ref="J1036:J1040"/>
    <mergeCell ref="K39:K55"/>
    <mergeCell ref="K56:K58"/>
    <mergeCell ref="K59:K75"/>
    <mergeCell ref="K76:K79"/>
    <mergeCell ref="K82:K83"/>
    <mergeCell ref="K88:K91"/>
    <mergeCell ref="K96:K99"/>
    <mergeCell ref="K100:K106"/>
    <mergeCell ref="K107:K113"/>
    <mergeCell ref="K114:K120"/>
    <mergeCell ref="K121:K127"/>
    <mergeCell ref="K128:K134"/>
    <mergeCell ref="J980:J983"/>
    <mergeCell ref="J984:J987"/>
    <mergeCell ref="J988:J991"/>
    <mergeCell ref="J992:J995"/>
    <mergeCell ref="J996:J999"/>
    <mergeCell ref="J1000:J1003"/>
    <mergeCell ref="J1004:J1007"/>
    <mergeCell ref="J1008:J1011"/>
    <mergeCell ref="J1012:J1015"/>
    <mergeCell ref="J944:J947"/>
    <mergeCell ref="J948:J951"/>
    <mergeCell ref="J952:J955"/>
    <mergeCell ref="J956:J959"/>
    <mergeCell ref="J960:J963"/>
    <mergeCell ref="J964:J967"/>
    <mergeCell ref="J968:J971"/>
    <mergeCell ref="J972:J975"/>
    <mergeCell ref="J976:J979"/>
    <mergeCell ref="J908:J911"/>
    <mergeCell ref="J912:J915"/>
    <mergeCell ref="J916:J919"/>
    <mergeCell ref="J920:J923"/>
    <mergeCell ref="J924:J927"/>
    <mergeCell ref="J928:J931"/>
    <mergeCell ref="J932:J935"/>
    <mergeCell ref="J936:J939"/>
    <mergeCell ref="J940:J943"/>
    <mergeCell ref="J872:J875"/>
    <mergeCell ref="J876:J879"/>
    <mergeCell ref="J880:J883"/>
    <mergeCell ref="J884:J887"/>
    <mergeCell ref="J888:J891"/>
    <mergeCell ref="J892:J895"/>
    <mergeCell ref="J896:J899"/>
    <mergeCell ref="J900:J903"/>
    <mergeCell ref="J904:J907"/>
    <mergeCell ref="J836:J839"/>
    <mergeCell ref="J840:J843"/>
    <mergeCell ref="J844:J847"/>
    <mergeCell ref="J848:J851"/>
    <mergeCell ref="J852:J855"/>
    <mergeCell ref="J856:J859"/>
    <mergeCell ref="J860:J863"/>
    <mergeCell ref="J864:J867"/>
    <mergeCell ref="J868:J871"/>
    <mergeCell ref="J774:J777"/>
    <mergeCell ref="J778:J781"/>
    <mergeCell ref="J782:J785"/>
    <mergeCell ref="J786:J789"/>
    <mergeCell ref="J790:J793"/>
    <mergeCell ref="J794:J797"/>
    <mergeCell ref="J798:J801"/>
    <mergeCell ref="J828:J831"/>
    <mergeCell ref="J832:J835"/>
    <mergeCell ref="J818:J819"/>
    <mergeCell ref="J820:J821"/>
    <mergeCell ref="J822:J823"/>
    <mergeCell ref="J824:J825"/>
    <mergeCell ref="J826:J827"/>
    <mergeCell ref="J738:J741"/>
    <mergeCell ref="J742:J745"/>
    <mergeCell ref="J746:J749"/>
    <mergeCell ref="J750:J753"/>
    <mergeCell ref="J754:J757"/>
    <mergeCell ref="J758:J761"/>
    <mergeCell ref="J762:J765"/>
    <mergeCell ref="J766:J769"/>
    <mergeCell ref="J770:J773"/>
    <mergeCell ref="J702:J705"/>
    <mergeCell ref="J706:J709"/>
    <mergeCell ref="J710:J713"/>
    <mergeCell ref="J714:J717"/>
    <mergeCell ref="J718:J721"/>
    <mergeCell ref="J722:J725"/>
    <mergeCell ref="J726:J729"/>
    <mergeCell ref="J730:J733"/>
    <mergeCell ref="J734:J737"/>
    <mergeCell ref="J666:J669"/>
    <mergeCell ref="J670:J673"/>
    <mergeCell ref="J674:J677"/>
    <mergeCell ref="J678:J681"/>
    <mergeCell ref="J682:J685"/>
    <mergeCell ref="J686:J689"/>
    <mergeCell ref="J690:J693"/>
    <mergeCell ref="J694:J697"/>
    <mergeCell ref="J698:J701"/>
    <mergeCell ref="J630:J633"/>
    <mergeCell ref="J634:J637"/>
    <mergeCell ref="J638:J641"/>
    <mergeCell ref="J642:J645"/>
    <mergeCell ref="J646:J649"/>
    <mergeCell ref="J650:J653"/>
    <mergeCell ref="J654:J657"/>
    <mergeCell ref="J658:J661"/>
    <mergeCell ref="J662:J665"/>
    <mergeCell ref="J594:J597"/>
    <mergeCell ref="J598:J601"/>
    <mergeCell ref="J602:J605"/>
    <mergeCell ref="J606:J609"/>
    <mergeCell ref="J610:J613"/>
    <mergeCell ref="J614:J617"/>
    <mergeCell ref="J618:J621"/>
    <mergeCell ref="J622:J625"/>
    <mergeCell ref="J626:J629"/>
    <mergeCell ref="J558:J561"/>
    <mergeCell ref="J562:J565"/>
    <mergeCell ref="J566:J569"/>
    <mergeCell ref="J570:J573"/>
    <mergeCell ref="J574:J577"/>
    <mergeCell ref="J578:J581"/>
    <mergeCell ref="J582:J585"/>
    <mergeCell ref="J586:J589"/>
    <mergeCell ref="J590:J593"/>
    <mergeCell ref="J522:J525"/>
    <mergeCell ref="J526:J529"/>
    <mergeCell ref="J530:J533"/>
    <mergeCell ref="J534:J537"/>
    <mergeCell ref="J538:J541"/>
    <mergeCell ref="J542:J545"/>
    <mergeCell ref="J546:J549"/>
    <mergeCell ref="J550:J553"/>
    <mergeCell ref="J554:J557"/>
    <mergeCell ref="J483:J487"/>
    <mergeCell ref="J488:J492"/>
    <mergeCell ref="J494:J497"/>
    <mergeCell ref="J498:J501"/>
    <mergeCell ref="J502:J505"/>
    <mergeCell ref="J506:J509"/>
    <mergeCell ref="J510:J513"/>
    <mergeCell ref="J514:J517"/>
    <mergeCell ref="J518:J521"/>
    <mergeCell ref="J441:J444"/>
    <mergeCell ref="J445:J448"/>
    <mergeCell ref="J449:J452"/>
    <mergeCell ref="J453:J457"/>
    <mergeCell ref="J458:J462"/>
    <mergeCell ref="J463:J467"/>
    <mergeCell ref="J468:J472"/>
    <mergeCell ref="J473:J477"/>
    <mergeCell ref="J478:J482"/>
    <mergeCell ref="J405:J408"/>
    <mergeCell ref="J409:J412"/>
    <mergeCell ref="J413:J416"/>
    <mergeCell ref="J417:J420"/>
    <mergeCell ref="J421:J424"/>
    <mergeCell ref="J425:J428"/>
    <mergeCell ref="J429:J432"/>
    <mergeCell ref="J433:J436"/>
    <mergeCell ref="J437:J440"/>
    <mergeCell ref="J363:J366"/>
    <mergeCell ref="J367:J370"/>
    <mergeCell ref="J371:J376"/>
    <mergeCell ref="J377:J382"/>
    <mergeCell ref="J383:J388"/>
    <mergeCell ref="J389:J392"/>
    <mergeCell ref="J393:J396"/>
    <mergeCell ref="J397:J400"/>
    <mergeCell ref="J401:J404"/>
    <mergeCell ref="J327:J330"/>
    <mergeCell ref="J331:J334"/>
    <mergeCell ref="J335:J338"/>
    <mergeCell ref="J339:J342"/>
    <mergeCell ref="J343:J346"/>
    <mergeCell ref="J347:J350"/>
    <mergeCell ref="J351:J354"/>
    <mergeCell ref="J355:J358"/>
    <mergeCell ref="J359:J362"/>
    <mergeCell ref="J289:J292"/>
    <mergeCell ref="J293:J296"/>
    <mergeCell ref="J297:J300"/>
    <mergeCell ref="J301:J304"/>
    <mergeCell ref="J305:J309"/>
    <mergeCell ref="J311:J314"/>
    <mergeCell ref="J315:J318"/>
    <mergeCell ref="J319:J322"/>
    <mergeCell ref="J323:J326"/>
    <mergeCell ref="J254:J256"/>
    <mergeCell ref="J257:J260"/>
    <mergeCell ref="J261:J264"/>
    <mergeCell ref="J265:J268"/>
    <mergeCell ref="J269:J272"/>
    <mergeCell ref="J273:J276"/>
    <mergeCell ref="J277:J280"/>
    <mergeCell ref="J281:J284"/>
    <mergeCell ref="J285:J288"/>
    <mergeCell ref="J191:J197"/>
    <mergeCell ref="J198:J204"/>
    <mergeCell ref="J205:J211"/>
    <mergeCell ref="J212:J218"/>
    <mergeCell ref="J219:J225"/>
    <mergeCell ref="J226:J232"/>
    <mergeCell ref="J233:J239"/>
    <mergeCell ref="J240:J246"/>
    <mergeCell ref="J247:J253"/>
    <mergeCell ref="J128:J134"/>
    <mergeCell ref="J135:J141"/>
    <mergeCell ref="J142:J148"/>
    <mergeCell ref="J149:J155"/>
    <mergeCell ref="J156:J162"/>
    <mergeCell ref="J163:J169"/>
    <mergeCell ref="J170:J176"/>
    <mergeCell ref="J177:J183"/>
    <mergeCell ref="J184:J190"/>
    <mergeCell ref="I1020:I1023"/>
    <mergeCell ref="I1024:I1027"/>
    <mergeCell ref="I1028:I1031"/>
    <mergeCell ref="I1032:I1035"/>
    <mergeCell ref="I1036:I1040"/>
    <mergeCell ref="J39:J55"/>
    <mergeCell ref="J56:J58"/>
    <mergeCell ref="J59:J75"/>
    <mergeCell ref="J76:J79"/>
    <mergeCell ref="J82:J83"/>
    <mergeCell ref="J88:J91"/>
    <mergeCell ref="J96:J99"/>
    <mergeCell ref="J100:J106"/>
    <mergeCell ref="J107:J113"/>
    <mergeCell ref="J114:J120"/>
    <mergeCell ref="J121:J127"/>
    <mergeCell ref="I984:I987"/>
    <mergeCell ref="I988:I991"/>
    <mergeCell ref="I992:I995"/>
    <mergeCell ref="I996:I999"/>
    <mergeCell ref="I1000:I1003"/>
    <mergeCell ref="I1004:I1007"/>
    <mergeCell ref="I1008:I1011"/>
    <mergeCell ref="I1012:I1015"/>
    <mergeCell ref="I1016:I1019"/>
    <mergeCell ref="I948:I951"/>
    <mergeCell ref="I952:I955"/>
    <mergeCell ref="I956:I959"/>
    <mergeCell ref="I960:I963"/>
    <mergeCell ref="I964:I967"/>
    <mergeCell ref="I968:I971"/>
    <mergeCell ref="I972:I975"/>
    <mergeCell ref="I976:I979"/>
    <mergeCell ref="I980:I983"/>
    <mergeCell ref="I912:I915"/>
    <mergeCell ref="I916:I919"/>
    <mergeCell ref="I920:I923"/>
    <mergeCell ref="I924:I927"/>
    <mergeCell ref="I928:I931"/>
    <mergeCell ref="I932:I935"/>
    <mergeCell ref="I936:I939"/>
    <mergeCell ref="I940:I943"/>
    <mergeCell ref="I944:I947"/>
    <mergeCell ref="I876:I879"/>
    <mergeCell ref="I880:I883"/>
    <mergeCell ref="I884:I887"/>
    <mergeCell ref="I888:I891"/>
    <mergeCell ref="I892:I895"/>
    <mergeCell ref="I896:I899"/>
    <mergeCell ref="I900:I903"/>
    <mergeCell ref="I904:I907"/>
    <mergeCell ref="I908:I911"/>
    <mergeCell ref="I840:I843"/>
    <mergeCell ref="I844:I847"/>
    <mergeCell ref="I848:I851"/>
    <mergeCell ref="I852:I855"/>
    <mergeCell ref="I856:I859"/>
    <mergeCell ref="I860:I863"/>
    <mergeCell ref="I864:I867"/>
    <mergeCell ref="I868:I871"/>
    <mergeCell ref="I872:I875"/>
    <mergeCell ref="I778:I781"/>
    <mergeCell ref="I782:I785"/>
    <mergeCell ref="I786:I789"/>
    <mergeCell ref="I790:I793"/>
    <mergeCell ref="I794:I797"/>
    <mergeCell ref="I798:I801"/>
    <mergeCell ref="I828:I831"/>
    <mergeCell ref="I832:I835"/>
    <mergeCell ref="I836:I839"/>
    <mergeCell ref="I820:I821"/>
    <mergeCell ref="I822:I823"/>
    <mergeCell ref="I824:I825"/>
    <mergeCell ref="I826:I827"/>
    <mergeCell ref="I742:I745"/>
    <mergeCell ref="I746:I749"/>
    <mergeCell ref="I750:I753"/>
    <mergeCell ref="I754:I757"/>
    <mergeCell ref="I758:I761"/>
    <mergeCell ref="I762:I765"/>
    <mergeCell ref="I766:I769"/>
    <mergeCell ref="I770:I773"/>
    <mergeCell ref="I774:I777"/>
    <mergeCell ref="I706:I709"/>
    <mergeCell ref="I710:I713"/>
    <mergeCell ref="I714:I717"/>
    <mergeCell ref="I718:I721"/>
    <mergeCell ref="I722:I725"/>
    <mergeCell ref="I726:I729"/>
    <mergeCell ref="I730:I733"/>
    <mergeCell ref="I734:I737"/>
    <mergeCell ref="I738:I741"/>
    <mergeCell ref="I670:I673"/>
    <mergeCell ref="I674:I677"/>
    <mergeCell ref="I678:I681"/>
    <mergeCell ref="I682:I685"/>
    <mergeCell ref="I686:I689"/>
    <mergeCell ref="I690:I693"/>
    <mergeCell ref="I694:I697"/>
    <mergeCell ref="I698:I701"/>
    <mergeCell ref="I702:I705"/>
    <mergeCell ref="I634:I637"/>
    <mergeCell ref="I638:I641"/>
    <mergeCell ref="I642:I645"/>
    <mergeCell ref="I646:I649"/>
    <mergeCell ref="I650:I653"/>
    <mergeCell ref="I654:I657"/>
    <mergeCell ref="I658:I661"/>
    <mergeCell ref="I662:I665"/>
    <mergeCell ref="I666:I669"/>
    <mergeCell ref="I598:I601"/>
    <mergeCell ref="I602:I605"/>
    <mergeCell ref="I606:I609"/>
    <mergeCell ref="I610:I613"/>
    <mergeCell ref="I614:I617"/>
    <mergeCell ref="I618:I621"/>
    <mergeCell ref="I622:I625"/>
    <mergeCell ref="I626:I629"/>
    <mergeCell ref="I630:I633"/>
    <mergeCell ref="I562:I565"/>
    <mergeCell ref="I566:I569"/>
    <mergeCell ref="I570:I573"/>
    <mergeCell ref="I574:I577"/>
    <mergeCell ref="I578:I581"/>
    <mergeCell ref="I582:I585"/>
    <mergeCell ref="I586:I589"/>
    <mergeCell ref="I590:I593"/>
    <mergeCell ref="I594:I597"/>
    <mergeCell ref="I526:I529"/>
    <mergeCell ref="I530:I533"/>
    <mergeCell ref="I534:I537"/>
    <mergeCell ref="I538:I541"/>
    <mergeCell ref="I542:I545"/>
    <mergeCell ref="I546:I549"/>
    <mergeCell ref="I550:I553"/>
    <mergeCell ref="I554:I557"/>
    <mergeCell ref="I558:I561"/>
    <mergeCell ref="I488:I492"/>
    <mergeCell ref="I494:I497"/>
    <mergeCell ref="I498:I501"/>
    <mergeCell ref="I502:I505"/>
    <mergeCell ref="I506:I509"/>
    <mergeCell ref="I510:I513"/>
    <mergeCell ref="I514:I517"/>
    <mergeCell ref="I518:I521"/>
    <mergeCell ref="I522:I525"/>
    <mergeCell ref="I445:I448"/>
    <mergeCell ref="I449:I452"/>
    <mergeCell ref="I453:I457"/>
    <mergeCell ref="I458:I462"/>
    <mergeCell ref="I463:I467"/>
    <mergeCell ref="I468:I472"/>
    <mergeCell ref="I473:I477"/>
    <mergeCell ref="I478:I482"/>
    <mergeCell ref="I483:I487"/>
    <mergeCell ref="I409:I412"/>
    <mergeCell ref="I413:I416"/>
    <mergeCell ref="I417:I420"/>
    <mergeCell ref="I421:I424"/>
    <mergeCell ref="I425:I428"/>
    <mergeCell ref="I429:I432"/>
    <mergeCell ref="I433:I436"/>
    <mergeCell ref="I437:I440"/>
    <mergeCell ref="I441:I444"/>
    <mergeCell ref="I367:I370"/>
    <mergeCell ref="I371:I376"/>
    <mergeCell ref="I377:I382"/>
    <mergeCell ref="I383:I388"/>
    <mergeCell ref="I389:I392"/>
    <mergeCell ref="I393:I396"/>
    <mergeCell ref="I397:I400"/>
    <mergeCell ref="I401:I404"/>
    <mergeCell ref="I405:I408"/>
    <mergeCell ref="I331:I334"/>
    <mergeCell ref="I335:I338"/>
    <mergeCell ref="I339:I342"/>
    <mergeCell ref="I343:I346"/>
    <mergeCell ref="I347:I350"/>
    <mergeCell ref="I351:I354"/>
    <mergeCell ref="I355:I358"/>
    <mergeCell ref="I359:I362"/>
    <mergeCell ref="I363:I366"/>
    <mergeCell ref="I293:I296"/>
    <mergeCell ref="I297:I300"/>
    <mergeCell ref="I301:I304"/>
    <mergeCell ref="I305:I309"/>
    <mergeCell ref="I311:I314"/>
    <mergeCell ref="I315:I318"/>
    <mergeCell ref="I319:I322"/>
    <mergeCell ref="I323:I326"/>
    <mergeCell ref="I327:I330"/>
    <mergeCell ref="I257:I260"/>
    <mergeCell ref="I261:I264"/>
    <mergeCell ref="I265:I268"/>
    <mergeCell ref="I269:I272"/>
    <mergeCell ref="I273:I276"/>
    <mergeCell ref="I277:I280"/>
    <mergeCell ref="I281:I284"/>
    <mergeCell ref="I285:I288"/>
    <mergeCell ref="I289:I292"/>
    <mergeCell ref="I198:I204"/>
    <mergeCell ref="I205:I211"/>
    <mergeCell ref="I212:I218"/>
    <mergeCell ref="I219:I225"/>
    <mergeCell ref="I226:I232"/>
    <mergeCell ref="I233:I239"/>
    <mergeCell ref="I240:I246"/>
    <mergeCell ref="I247:I253"/>
    <mergeCell ref="I254:I256"/>
    <mergeCell ref="I135:I141"/>
    <mergeCell ref="I142:I148"/>
    <mergeCell ref="I149:I155"/>
    <mergeCell ref="I156:I162"/>
    <mergeCell ref="I163:I169"/>
    <mergeCell ref="I170:I176"/>
    <mergeCell ref="I177:I183"/>
    <mergeCell ref="I184:I190"/>
    <mergeCell ref="I191:I197"/>
    <mergeCell ref="I76:I79"/>
    <mergeCell ref="I82:I83"/>
    <mergeCell ref="I88:I91"/>
    <mergeCell ref="I96:I99"/>
    <mergeCell ref="I100:I106"/>
    <mergeCell ref="I107:I113"/>
    <mergeCell ref="I114:I120"/>
    <mergeCell ref="I121:I127"/>
    <mergeCell ref="I128:I134"/>
    <mergeCell ref="I39:I55"/>
    <mergeCell ref="I56:I58"/>
    <mergeCell ref="I59:I75"/>
    <mergeCell ref="B56:D58"/>
    <mergeCell ref="E56:E58"/>
    <mergeCell ref="B808:B827"/>
    <mergeCell ref="D808:D809"/>
    <mergeCell ref="D810:D811"/>
    <mergeCell ref="D812:D813"/>
    <mergeCell ref="C988:D991"/>
    <mergeCell ref="C952:D955"/>
    <mergeCell ref="C956:D959"/>
    <mergeCell ref="C960:D963"/>
    <mergeCell ref="C864:D867"/>
    <mergeCell ref="C868:D871"/>
    <mergeCell ref="C896:D899"/>
    <mergeCell ref="B924:B975"/>
    <mergeCell ref="C924:D927"/>
    <mergeCell ref="C872:D875"/>
    <mergeCell ref="C964:D967"/>
    <mergeCell ref="C816:C819"/>
    <mergeCell ref="C820:C823"/>
    <mergeCell ref="C824:C827"/>
    <mergeCell ref="D826:D827"/>
    <mergeCell ref="C808:C811"/>
    <mergeCell ref="C706:D709"/>
    <mergeCell ref="C710:D713"/>
    <mergeCell ref="C774:D777"/>
    <mergeCell ref="C778:D781"/>
    <mergeCell ref="C782:D785"/>
    <mergeCell ref="C786:D789"/>
    <mergeCell ref="C790:D793"/>
    <mergeCell ref="C992:D995"/>
    <mergeCell ref="B1042:B1043"/>
    <mergeCell ref="C1042:D1042"/>
    <mergeCell ref="C1043:D1043"/>
    <mergeCell ref="B1032:D1035"/>
    <mergeCell ref="B1036:D1040"/>
    <mergeCell ref="B1041:D1041"/>
    <mergeCell ref="C1020:D1023"/>
    <mergeCell ref="C1024:D1027"/>
    <mergeCell ref="C1028:D1031"/>
    <mergeCell ref="B976:B1031"/>
    <mergeCell ref="C996:D999"/>
    <mergeCell ref="C1000:D1003"/>
    <mergeCell ref="C1004:D1007"/>
    <mergeCell ref="C1008:D1011"/>
    <mergeCell ref="C1012:D1015"/>
    <mergeCell ref="C1016:D1019"/>
    <mergeCell ref="C976:D979"/>
    <mergeCell ref="C980:D983"/>
    <mergeCell ref="C984:D987"/>
    <mergeCell ref="D121:D127"/>
    <mergeCell ref="C128:C141"/>
    <mergeCell ref="D128:D134"/>
    <mergeCell ref="D135:D141"/>
    <mergeCell ref="C170:C183"/>
    <mergeCell ref="D170:D176"/>
    <mergeCell ref="D177:D183"/>
    <mergeCell ref="C698:D701"/>
    <mergeCell ref="C702:D705"/>
    <mergeCell ref="C678:D681"/>
    <mergeCell ref="C770:D773"/>
    <mergeCell ref="C968:D971"/>
    <mergeCell ref="C908:D911"/>
    <mergeCell ref="C912:D915"/>
    <mergeCell ref="C916:D919"/>
    <mergeCell ref="C920:D923"/>
    <mergeCell ref="C876:D879"/>
    <mergeCell ref="C880:D883"/>
    <mergeCell ref="C884:D887"/>
    <mergeCell ref="C888:D891"/>
    <mergeCell ref="C844:D847"/>
    <mergeCell ref="C848:D851"/>
    <mergeCell ref="C900:D903"/>
    <mergeCell ref="C904:D907"/>
    <mergeCell ref="C892:D895"/>
    <mergeCell ref="C860:D863"/>
    <mergeCell ref="C928:D931"/>
    <mergeCell ref="C932:D935"/>
    <mergeCell ref="C812:C815"/>
    <mergeCell ref="B806:D806"/>
    <mergeCell ref="B802:B805"/>
    <mergeCell ref="C802:D803"/>
    <mergeCell ref="C804:D805"/>
    <mergeCell ref="B770:B801"/>
    <mergeCell ref="B807:D807"/>
    <mergeCell ref="C936:D939"/>
    <mergeCell ref="C940:D943"/>
    <mergeCell ref="C944:D947"/>
    <mergeCell ref="C948:D951"/>
    <mergeCell ref="C972:D975"/>
    <mergeCell ref="D814:D815"/>
    <mergeCell ref="D816:D817"/>
    <mergeCell ref="D818:D819"/>
    <mergeCell ref="D820:D821"/>
    <mergeCell ref="C852:D855"/>
    <mergeCell ref="C856:D859"/>
    <mergeCell ref="D822:D823"/>
    <mergeCell ref="D824:D825"/>
    <mergeCell ref="B828:B923"/>
    <mergeCell ref="C828:D831"/>
    <mergeCell ref="C832:D835"/>
    <mergeCell ref="C836:D839"/>
    <mergeCell ref="C840:D843"/>
    <mergeCell ref="C794:D797"/>
    <mergeCell ref="C798:D801"/>
    <mergeCell ref="C666:D669"/>
    <mergeCell ref="C670:D673"/>
    <mergeCell ref="C642:D645"/>
    <mergeCell ref="C646:D649"/>
    <mergeCell ref="C602:D605"/>
    <mergeCell ref="C606:D609"/>
    <mergeCell ref="C610:D613"/>
    <mergeCell ref="C614:D617"/>
    <mergeCell ref="C618:D621"/>
    <mergeCell ref="C622:D625"/>
    <mergeCell ref="C674:D677"/>
    <mergeCell ref="B714:B769"/>
    <mergeCell ref="C714:D717"/>
    <mergeCell ref="C718:D721"/>
    <mergeCell ref="C722:D725"/>
    <mergeCell ref="C726:D729"/>
    <mergeCell ref="C730:D733"/>
    <mergeCell ref="C758:D761"/>
    <mergeCell ref="C762:D765"/>
    <mergeCell ref="C766:D769"/>
    <mergeCell ref="C734:D737"/>
    <mergeCell ref="C738:D741"/>
    <mergeCell ref="C742:D745"/>
    <mergeCell ref="C746:D749"/>
    <mergeCell ref="C750:D753"/>
    <mergeCell ref="C754:D757"/>
    <mergeCell ref="C566:D569"/>
    <mergeCell ref="B570:B713"/>
    <mergeCell ref="C570:D573"/>
    <mergeCell ref="C574:D577"/>
    <mergeCell ref="C578:D581"/>
    <mergeCell ref="C582:D585"/>
    <mergeCell ref="C586:D589"/>
    <mergeCell ref="C590:D593"/>
    <mergeCell ref="C594:D597"/>
    <mergeCell ref="C598:D601"/>
    <mergeCell ref="B530:B569"/>
    <mergeCell ref="C530:D533"/>
    <mergeCell ref="C534:D537"/>
    <mergeCell ref="C538:D541"/>
    <mergeCell ref="C542:D545"/>
    <mergeCell ref="C546:D549"/>
    <mergeCell ref="C550:D553"/>
    <mergeCell ref="C554:D557"/>
    <mergeCell ref="C558:D561"/>
    <mergeCell ref="C562:D565"/>
    <mergeCell ref="C626:D629"/>
    <mergeCell ref="C630:D633"/>
    <mergeCell ref="C634:D637"/>
    <mergeCell ref="C638:D641"/>
    <mergeCell ref="C682:D685"/>
    <mergeCell ref="C686:D689"/>
    <mergeCell ref="C690:D693"/>
    <mergeCell ref="C694:D697"/>
    <mergeCell ref="C650:D653"/>
    <mergeCell ref="C654:D657"/>
    <mergeCell ref="C658:D661"/>
    <mergeCell ref="C662:D665"/>
    <mergeCell ref="B514:B521"/>
    <mergeCell ref="C514:D517"/>
    <mergeCell ref="C518:D521"/>
    <mergeCell ref="B522:B529"/>
    <mergeCell ref="C522:D525"/>
    <mergeCell ref="C526:D529"/>
    <mergeCell ref="C488:D492"/>
    <mergeCell ref="C493:D493"/>
    <mergeCell ref="B494:B513"/>
    <mergeCell ref="C494:D497"/>
    <mergeCell ref="C498:D501"/>
    <mergeCell ref="C502:D505"/>
    <mergeCell ref="C506:D509"/>
    <mergeCell ref="C510:D513"/>
    <mergeCell ref="B453:B493"/>
    <mergeCell ref="C453:D457"/>
    <mergeCell ref="C458:D462"/>
    <mergeCell ref="C463:D467"/>
    <mergeCell ref="C468:D472"/>
    <mergeCell ref="C473:D477"/>
    <mergeCell ref="C478:D482"/>
    <mergeCell ref="C483:D487"/>
    <mergeCell ref="C310:D310"/>
    <mergeCell ref="C301:D304"/>
    <mergeCell ref="B371:D376"/>
    <mergeCell ref="B377:D382"/>
    <mergeCell ref="B383:D388"/>
    <mergeCell ref="B389:B452"/>
    <mergeCell ref="C389:D392"/>
    <mergeCell ref="C393:D396"/>
    <mergeCell ref="C397:D400"/>
    <mergeCell ref="C401:D404"/>
    <mergeCell ref="C405:D408"/>
    <mergeCell ref="C433:D436"/>
    <mergeCell ref="C437:D440"/>
    <mergeCell ref="C441:D444"/>
    <mergeCell ref="C445:D448"/>
    <mergeCell ref="C449:D452"/>
    <mergeCell ref="C409:D412"/>
    <mergeCell ref="C413:D416"/>
    <mergeCell ref="C417:D420"/>
    <mergeCell ref="C421:D424"/>
    <mergeCell ref="C425:D428"/>
    <mergeCell ref="C429:D432"/>
    <mergeCell ref="C114:C127"/>
    <mergeCell ref="D114:D120"/>
    <mergeCell ref="B311:B370"/>
    <mergeCell ref="C311:D314"/>
    <mergeCell ref="C315:D318"/>
    <mergeCell ref="C319:D322"/>
    <mergeCell ref="C323:D326"/>
    <mergeCell ref="C351:D354"/>
    <mergeCell ref="C355:D358"/>
    <mergeCell ref="C359:D362"/>
    <mergeCell ref="C363:D366"/>
    <mergeCell ref="C367:D370"/>
    <mergeCell ref="C327:D330"/>
    <mergeCell ref="C331:D334"/>
    <mergeCell ref="C335:D338"/>
    <mergeCell ref="C339:D342"/>
    <mergeCell ref="C343:D346"/>
    <mergeCell ref="C347:D350"/>
    <mergeCell ref="B254:D256"/>
    <mergeCell ref="B257:B310"/>
    <mergeCell ref="C257:D260"/>
    <mergeCell ref="C261:D264"/>
    <mergeCell ref="C265:D268"/>
    <mergeCell ref="C269:D272"/>
    <mergeCell ref="C273:D276"/>
    <mergeCell ref="C277:D280"/>
    <mergeCell ref="C281:D284"/>
    <mergeCell ref="C285:D288"/>
    <mergeCell ref="C289:D292"/>
    <mergeCell ref="C293:D296"/>
    <mergeCell ref="C297:D300"/>
    <mergeCell ref="C305:D309"/>
    <mergeCell ref="D240:D246"/>
    <mergeCell ref="D247:D253"/>
    <mergeCell ref="C198:C211"/>
    <mergeCell ref="D198:D204"/>
    <mergeCell ref="D205:D211"/>
    <mergeCell ref="C212:C225"/>
    <mergeCell ref="D212:D218"/>
    <mergeCell ref="D219:D225"/>
    <mergeCell ref="C184:C197"/>
    <mergeCell ref="D184:D190"/>
    <mergeCell ref="D191:D197"/>
    <mergeCell ref="C142:C155"/>
    <mergeCell ref="D142:D148"/>
    <mergeCell ref="D149:D155"/>
    <mergeCell ref="C156:C169"/>
    <mergeCell ref="D156:D162"/>
    <mergeCell ref="D163:D169"/>
    <mergeCell ref="B76:D79"/>
    <mergeCell ref="B4:D5"/>
    <mergeCell ref="F4:F5"/>
    <mergeCell ref="G4:G5"/>
    <mergeCell ref="D94:D95"/>
    <mergeCell ref="D96:D99"/>
    <mergeCell ref="C100:C113"/>
    <mergeCell ref="D100:D106"/>
    <mergeCell ref="D107:D113"/>
    <mergeCell ref="B39:D55"/>
    <mergeCell ref="B59:D75"/>
    <mergeCell ref="B80:D81"/>
    <mergeCell ref="B82:D83"/>
    <mergeCell ref="B84:B253"/>
    <mergeCell ref="C84:C91"/>
    <mergeCell ref="D84:D85"/>
    <mergeCell ref="D86:D87"/>
    <mergeCell ref="D88:D91"/>
    <mergeCell ref="C92:C99"/>
    <mergeCell ref="E107:E113"/>
    <mergeCell ref="E114:E120"/>
    <mergeCell ref="E121:E127"/>
    <mergeCell ref="E128:E134"/>
    <mergeCell ref="E135:E141"/>
    <mergeCell ref="E142:E148"/>
    <mergeCell ref="E149:E155"/>
    <mergeCell ref="E156:E162"/>
    <mergeCell ref="D92:D93"/>
    <mergeCell ref="C226:C239"/>
    <mergeCell ref="D226:D232"/>
    <mergeCell ref="D233:D239"/>
    <mergeCell ref="C240:C253"/>
    <mergeCell ref="E163:E169"/>
    <mergeCell ref="E4:E5"/>
    <mergeCell ref="E39:E55"/>
    <mergeCell ref="E59:E75"/>
    <mergeCell ref="E76:E79"/>
    <mergeCell ref="E82:E83"/>
    <mergeCell ref="E88:E91"/>
    <mergeCell ref="E96:E99"/>
    <mergeCell ref="E100:E106"/>
    <mergeCell ref="E19:E30"/>
    <mergeCell ref="E13:E17"/>
    <mergeCell ref="E205:E211"/>
    <mergeCell ref="E212:E218"/>
    <mergeCell ref="E219:E225"/>
    <mergeCell ref="E226:E232"/>
    <mergeCell ref="E233:E239"/>
    <mergeCell ref="E240:E246"/>
    <mergeCell ref="E170:E176"/>
    <mergeCell ref="E177:E183"/>
    <mergeCell ref="E184:E190"/>
    <mergeCell ref="E191:E197"/>
    <mergeCell ref="E198:E204"/>
    <mergeCell ref="E247:E253"/>
    <mergeCell ref="E254:E256"/>
    <mergeCell ref="E257:E260"/>
    <mergeCell ref="E261:E264"/>
    <mergeCell ref="E265:E268"/>
    <mergeCell ref="E269:E272"/>
    <mergeCell ref="E273:E276"/>
    <mergeCell ref="E277:E280"/>
    <mergeCell ref="E281:E284"/>
    <mergeCell ref="E285:E288"/>
    <mergeCell ref="E289:E292"/>
    <mergeCell ref="E293:E296"/>
    <mergeCell ref="E297:E300"/>
    <mergeCell ref="E301:E304"/>
    <mergeCell ref="E305:E309"/>
    <mergeCell ref="E311:E314"/>
    <mergeCell ref="E315:E318"/>
    <mergeCell ref="E319:E322"/>
    <mergeCell ref="E323:E326"/>
    <mergeCell ref="E327:E330"/>
    <mergeCell ref="E331:E334"/>
    <mergeCell ref="E335:E338"/>
    <mergeCell ref="E339:E342"/>
    <mergeCell ref="E343:E346"/>
    <mergeCell ref="E347:E350"/>
    <mergeCell ref="E351:E354"/>
    <mergeCell ref="E355:E358"/>
    <mergeCell ref="E359:E362"/>
    <mergeCell ref="E363:E366"/>
    <mergeCell ref="E367:E370"/>
    <mergeCell ref="E371:E376"/>
    <mergeCell ref="E377:E382"/>
    <mergeCell ref="E383:E388"/>
    <mergeCell ref="E389:E392"/>
    <mergeCell ref="E393:E396"/>
    <mergeCell ref="E397:E400"/>
    <mergeCell ref="E401:E404"/>
    <mergeCell ref="E405:E408"/>
    <mergeCell ref="E409:E412"/>
    <mergeCell ref="E413:E416"/>
    <mergeCell ref="E417:E420"/>
    <mergeCell ref="E421:E424"/>
    <mergeCell ref="E425:E428"/>
    <mergeCell ref="E429:E432"/>
    <mergeCell ref="E433:E436"/>
    <mergeCell ref="E437:E440"/>
    <mergeCell ref="E441:E444"/>
    <mergeCell ref="E445:E448"/>
    <mergeCell ref="E449:E452"/>
    <mergeCell ref="E453:E457"/>
    <mergeCell ref="E458:E462"/>
    <mergeCell ref="E463:E467"/>
    <mergeCell ref="E468:E472"/>
    <mergeCell ref="E473:E477"/>
    <mergeCell ref="E478:E482"/>
    <mergeCell ref="E483:E487"/>
    <mergeCell ref="E488:E492"/>
    <mergeCell ref="E494:E497"/>
    <mergeCell ref="E498:E501"/>
    <mergeCell ref="E502:E505"/>
    <mergeCell ref="E506:E509"/>
    <mergeCell ref="E510:E513"/>
    <mergeCell ref="E514:E517"/>
    <mergeCell ref="E518:E521"/>
    <mergeCell ref="E522:E525"/>
    <mergeCell ref="E526:E529"/>
    <mergeCell ref="E530:E533"/>
    <mergeCell ref="E534:E537"/>
    <mergeCell ref="E538:E541"/>
    <mergeCell ref="E542:E545"/>
    <mergeCell ref="E546:E549"/>
    <mergeCell ref="E550:E553"/>
    <mergeCell ref="E554:E557"/>
    <mergeCell ref="E558:E561"/>
    <mergeCell ref="E562:E565"/>
    <mergeCell ref="E566:E569"/>
    <mergeCell ref="E570:E573"/>
    <mergeCell ref="E574:E577"/>
    <mergeCell ref="E578:E581"/>
    <mergeCell ref="E582:E585"/>
    <mergeCell ref="E586:E589"/>
    <mergeCell ref="E590:E593"/>
    <mergeCell ref="E594:E597"/>
    <mergeCell ref="E598:E601"/>
    <mergeCell ref="E602:E605"/>
    <mergeCell ref="E606:E609"/>
    <mergeCell ref="E610:E613"/>
    <mergeCell ref="E614:E617"/>
    <mergeCell ref="E618:E621"/>
    <mergeCell ref="E622:E625"/>
    <mergeCell ref="E626:E629"/>
    <mergeCell ref="E630:E633"/>
    <mergeCell ref="E634:E637"/>
    <mergeCell ref="E638:E641"/>
    <mergeCell ref="E642:E645"/>
    <mergeCell ref="E646:E649"/>
    <mergeCell ref="E650:E653"/>
    <mergeCell ref="E654:E657"/>
    <mergeCell ref="E658:E661"/>
    <mergeCell ref="E662:E665"/>
    <mergeCell ref="E666:E669"/>
    <mergeCell ref="E670:E673"/>
    <mergeCell ref="E674:E677"/>
    <mergeCell ref="E678:E681"/>
    <mergeCell ref="E682:E685"/>
    <mergeCell ref="E686:E689"/>
    <mergeCell ref="E690:E693"/>
    <mergeCell ref="E694:E697"/>
    <mergeCell ref="E698:E701"/>
    <mergeCell ref="E702:E705"/>
    <mergeCell ref="E706:E709"/>
    <mergeCell ref="E710:E713"/>
    <mergeCell ref="E714:E717"/>
    <mergeCell ref="E718:E721"/>
    <mergeCell ref="E722:E725"/>
    <mergeCell ref="E726:E729"/>
    <mergeCell ref="E730:E733"/>
    <mergeCell ref="E734:E737"/>
    <mergeCell ref="E738:E741"/>
    <mergeCell ref="E896:E899"/>
    <mergeCell ref="E900:E903"/>
    <mergeCell ref="E742:E745"/>
    <mergeCell ref="E746:E749"/>
    <mergeCell ref="E750:E753"/>
    <mergeCell ref="E754:E757"/>
    <mergeCell ref="E758:E761"/>
    <mergeCell ref="E762:E765"/>
    <mergeCell ref="E766:E769"/>
    <mergeCell ref="E770:E773"/>
    <mergeCell ref="E774:E777"/>
    <mergeCell ref="E778:E781"/>
    <mergeCell ref="E782:E785"/>
    <mergeCell ref="E786:E789"/>
    <mergeCell ref="E790:E793"/>
    <mergeCell ref="E794:E797"/>
    <mergeCell ref="E798:E801"/>
    <mergeCell ref="E828:E831"/>
    <mergeCell ref="E832:E835"/>
    <mergeCell ref="E1032:E1035"/>
    <mergeCell ref="E1036:E1040"/>
    <mergeCell ref="E988:E991"/>
    <mergeCell ref="E992:E995"/>
    <mergeCell ref="E996:E999"/>
    <mergeCell ref="E1000:E1003"/>
    <mergeCell ref="E1004:E1007"/>
    <mergeCell ref="E1008:E1011"/>
    <mergeCell ref="E1012:E1015"/>
    <mergeCell ref="E1016:E1019"/>
    <mergeCell ref="E1020:E1023"/>
    <mergeCell ref="E904:E907"/>
    <mergeCell ref="E908:E911"/>
    <mergeCell ref="E912:E915"/>
    <mergeCell ref="E916:E919"/>
    <mergeCell ref="E920:E923"/>
    <mergeCell ref="E924:E927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B1:P2"/>
    <mergeCell ref="B3:P3"/>
    <mergeCell ref="B6:D12"/>
    <mergeCell ref="B13:D18"/>
    <mergeCell ref="B19:D30"/>
    <mergeCell ref="B31:D32"/>
    <mergeCell ref="B33:D34"/>
    <mergeCell ref="E31:E32"/>
    <mergeCell ref="E33:E34"/>
    <mergeCell ref="B35:D38"/>
    <mergeCell ref="E35:E38"/>
    <mergeCell ref="E972:E975"/>
    <mergeCell ref="E976:E979"/>
    <mergeCell ref="E980:E983"/>
    <mergeCell ref="E984:E987"/>
    <mergeCell ref="E1024:E1027"/>
    <mergeCell ref="E1028:E1031"/>
    <mergeCell ref="E836:E839"/>
    <mergeCell ref="E840:E843"/>
    <mergeCell ref="E844:E847"/>
    <mergeCell ref="E848:E851"/>
    <mergeCell ref="E852:E855"/>
    <mergeCell ref="E856:E859"/>
    <mergeCell ref="E860:E863"/>
    <mergeCell ref="E864:E867"/>
    <mergeCell ref="E868:E871"/>
    <mergeCell ref="E872:E875"/>
    <mergeCell ref="E876:E879"/>
    <mergeCell ref="E880:E883"/>
    <mergeCell ref="E884:E887"/>
    <mergeCell ref="E888:E891"/>
    <mergeCell ref="E892:E895"/>
  </mergeCells>
  <phoneticPr fontId="1" type="noConversion"/>
  <pageMargins left="0.7" right="0.7" top="0.75" bottom="0.75" header="0.3" footer="0.3"/>
  <pageSetup paperSize="9" scale="4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527"/>
  <sheetViews>
    <sheetView showGridLines="0" zoomScaleNormal="100" workbookViewId="0">
      <pane ySplit="5" topLeftCell="A6" activePane="bottomLeft" state="frozen"/>
      <selection activeCell="B1" sqref="B1:G2"/>
      <selection pane="bottomLeft" activeCell="B1" sqref="B1:P2"/>
    </sheetView>
  </sheetViews>
  <sheetFormatPr defaultColWidth="9" defaultRowHeight="18" customHeight="1"/>
  <cols>
    <col min="1" max="1" width="1.875" style="76" customWidth="1"/>
    <col min="2" max="4" width="24.375" style="123" customWidth="1"/>
    <col min="5" max="5" width="15.625" style="2" customWidth="1"/>
    <col min="6" max="6" width="6.625" style="2" customWidth="1"/>
    <col min="7" max="7" width="62.125" style="76" customWidth="1"/>
    <col min="8" max="8" width="7.75" style="2" customWidth="1"/>
    <col min="9" max="11" width="7.75" style="135" customWidth="1"/>
    <col min="12" max="12" width="7.75" style="2" customWidth="1"/>
    <col min="13" max="16" width="7.75" style="135" customWidth="1"/>
    <col min="17" max="16384" width="9" style="76"/>
  </cols>
  <sheetData>
    <row r="1" spans="2:16" ht="18" customHeight="1">
      <c r="B1" s="269" t="s">
        <v>1759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</row>
    <row r="2" spans="2:16" ht="18" customHeight="1" thickBot="1"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</row>
    <row r="3" spans="2:16" ht="18" customHeight="1" thickBot="1">
      <c r="B3" s="336" t="s">
        <v>1067</v>
      </c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</row>
    <row r="4" spans="2:16" ht="18" customHeight="1" thickTop="1">
      <c r="B4" s="297" t="s">
        <v>45</v>
      </c>
      <c r="C4" s="297"/>
      <c r="D4" s="298"/>
      <c r="E4" s="292" t="s">
        <v>17</v>
      </c>
      <c r="F4" s="292" t="s">
        <v>46</v>
      </c>
      <c r="G4" s="301" t="s">
        <v>1103</v>
      </c>
      <c r="H4" s="334" t="s">
        <v>1066</v>
      </c>
      <c r="I4" s="335"/>
      <c r="J4" s="335"/>
      <c r="K4" s="345"/>
      <c r="L4" s="334" t="s">
        <v>1842</v>
      </c>
      <c r="M4" s="335"/>
      <c r="N4" s="335"/>
      <c r="O4" s="335"/>
      <c r="P4" s="335"/>
    </row>
    <row r="5" spans="2:16" ht="36" customHeight="1">
      <c r="B5" s="299"/>
      <c r="C5" s="299"/>
      <c r="D5" s="300"/>
      <c r="E5" s="293"/>
      <c r="F5" s="293"/>
      <c r="G5" s="302"/>
      <c r="H5" s="249" t="s">
        <v>1827</v>
      </c>
      <c r="I5" s="240" t="s">
        <v>1840</v>
      </c>
      <c r="J5" s="241" t="s">
        <v>1838</v>
      </c>
      <c r="K5" s="240" t="s">
        <v>1830</v>
      </c>
      <c r="L5" s="249" t="s">
        <v>1827</v>
      </c>
      <c r="M5" s="240" t="s">
        <v>1841</v>
      </c>
      <c r="N5" s="240" t="s">
        <v>1843</v>
      </c>
      <c r="O5" s="240" t="s">
        <v>1844</v>
      </c>
      <c r="P5" s="240" t="s">
        <v>1830</v>
      </c>
    </row>
    <row r="6" spans="2:16" ht="18" customHeight="1">
      <c r="B6" s="281" t="s">
        <v>1</v>
      </c>
      <c r="C6" s="281"/>
      <c r="D6" s="282"/>
      <c r="E6" s="121" t="s">
        <v>1095</v>
      </c>
      <c r="F6" s="121" t="s">
        <v>1</v>
      </c>
      <c r="G6" s="177" t="s">
        <v>1097</v>
      </c>
      <c r="H6" s="223" t="s">
        <v>1</v>
      </c>
      <c r="I6" s="223"/>
      <c r="J6" s="223"/>
      <c r="K6" s="223"/>
      <c r="L6" s="223" t="s">
        <v>1</v>
      </c>
      <c r="M6" s="223"/>
      <c r="N6" s="223"/>
      <c r="O6" s="223"/>
      <c r="P6" s="223"/>
    </row>
    <row r="7" spans="2:16" ht="18" customHeight="1">
      <c r="B7" s="283"/>
      <c r="C7" s="283"/>
      <c r="D7" s="284"/>
      <c r="E7" s="121" t="s">
        <v>1096</v>
      </c>
      <c r="F7" s="121" t="s">
        <v>1</v>
      </c>
      <c r="G7" s="177" t="s">
        <v>1098</v>
      </c>
      <c r="H7" s="223" t="s">
        <v>1819</v>
      </c>
      <c r="I7" s="223"/>
      <c r="J7" s="223"/>
      <c r="K7" s="223"/>
      <c r="L7" s="223" t="s">
        <v>1</v>
      </c>
      <c r="M7" s="223"/>
      <c r="N7" s="223"/>
      <c r="O7" s="223"/>
      <c r="P7" s="223"/>
    </row>
    <row r="8" spans="2:16" ht="18" customHeight="1">
      <c r="B8" s="283"/>
      <c r="C8" s="283"/>
      <c r="D8" s="284"/>
      <c r="E8" s="78" t="s">
        <v>1071</v>
      </c>
      <c r="F8" s="78" t="s">
        <v>1</v>
      </c>
      <c r="G8" s="179" t="s">
        <v>1105</v>
      </c>
      <c r="H8" s="224" t="s">
        <v>1</v>
      </c>
      <c r="I8" s="224"/>
      <c r="J8" s="224"/>
      <c r="K8" s="224"/>
      <c r="L8" s="224" t="s">
        <v>1</v>
      </c>
      <c r="M8" s="224"/>
      <c r="N8" s="224"/>
      <c r="O8" s="224"/>
      <c r="P8" s="224"/>
    </row>
    <row r="9" spans="2:16" ht="18" customHeight="1">
      <c r="B9" s="283"/>
      <c r="C9" s="283"/>
      <c r="D9" s="284"/>
      <c r="E9" s="157" t="s">
        <v>1698</v>
      </c>
      <c r="F9" s="78" t="s">
        <v>1</v>
      </c>
      <c r="G9" s="179" t="s">
        <v>1702</v>
      </c>
      <c r="H9" s="224" t="s">
        <v>1</v>
      </c>
      <c r="I9" s="224"/>
      <c r="J9" s="224"/>
      <c r="K9" s="224"/>
      <c r="L9" s="224" t="s">
        <v>1</v>
      </c>
      <c r="M9" s="224"/>
      <c r="N9" s="224"/>
      <c r="O9" s="224"/>
      <c r="P9" s="224"/>
    </row>
    <row r="10" spans="2:16" s="159" customFormat="1" ht="18" customHeight="1">
      <c r="B10" s="283"/>
      <c r="C10" s="283"/>
      <c r="D10" s="284"/>
      <c r="E10" s="156" t="s">
        <v>1699</v>
      </c>
      <c r="F10" s="79" t="s">
        <v>1</v>
      </c>
      <c r="G10" s="178" t="s">
        <v>1695</v>
      </c>
      <c r="H10" s="225" t="s">
        <v>1</v>
      </c>
      <c r="I10" s="225"/>
      <c r="J10" s="225"/>
      <c r="K10" s="225"/>
      <c r="L10" s="225" t="s">
        <v>1</v>
      </c>
      <c r="M10" s="225"/>
      <c r="N10" s="225"/>
      <c r="O10" s="225"/>
      <c r="P10" s="225"/>
    </row>
    <row r="11" spans="2:16" s="159" customFormat="1" ht="18" customHeight="1">
      <c r="B11" s="283"/>
      <c r="C11" s="283"/>
      <c r="D11" s="284"/>
      <c r="E11" s="156" t="s">
        <v>1700</v>
      </c>
      <c r="F11" s="79" t="s">
        <v>1</v>
      </c>
      <c r="G11" s="178" t="s">
        <v>1703</v>
      </c>
      <c r="H11" s="225" t="s">
        <v>1811</v>
      </c>
      <c r="I11" s="225"/>
      <c r="J11" s="225"/>
      <c r="K11" s="225"/>
      <c r="L11" s="225" t="s">
        <v>1</v>
      </c>
      <c r="M11" s="225"/>
      <c r="N11" s="225"/>
      <c r="O11" s="225"/>
      <c r="P11" s="225"/>
    </row>
    <row r="12" spans="2:16" s="159" customFormat="1" ht="18" customHeight="1">
      <c r="B12" s="285"/>
      <c r="C12" s="285"/>
      <c r="D12" s="286"/>
      <c r="E12" s="158" t="s">
        <v>1701</v>
      </c>
      <c r="F12" s="82" t="s">
        <v>1</v>
      </c>
      <c r="G12" s="178" t="s">
        <v>1704</v>
      </c>
      <c r="H12" s="226" t="s">
        <v>1811</v>
      </c>
      <c r="I12" s="226"/>
      <c r="J12" s="226"/>
      <c r="K12" s="226"/>
      <c r="L12" s="226" t="s">
        <v>1</v>
      </c>
      <c r="M12" s="226"/>
      <c r="N12" s="226"/>
      <c r="O12" s="226"/>
      <c r="P12" s="226"/>
    </row>
    <row r="13" spans="2:16" s="159" customFormat="1" ht="18" customHeight="1">
      <c r="B13" s="281" t="s">
        <v>1675</v>
      </c>
      <c r="C13" s="281"/>
      <c r="D13" s="282"/>
      <c r="E13" s="287" t="str">
        <f>HYPERLINK("#LAYOUT_m1!lay중SIBLING","SIBLING")</f>
        <v>SIBLING</v>
      </c>
      <c r="F13" s="78">
        <v>1</v>
      </c>
      <c r="G13" s="179" t="s">
        <v>1705</v>
      </c>
      <c r="H13" s="224" t="s">
        <v>1812</v>
      </c>
      <c r="I13" s="224"/>
      <c r="J13" s="224"/>
      <c r="K13" s="224"/>
      <c r="L13" s="224" t="s">
        <v>1</v>
      </c>
      <c r="M13" s="224"/>
      <c r="N13" s="224"/>
      <c r="O13" s="224"/>
      <c r="P13" s="224"/>
    </row>
    <row r="14" spans="2:16" s="159" customFormat="1" ht="18" customHeight="1">
      <c r="B14" s="283"/>
      <c r="C14" s="283"/>
      <c r="D14" s="284"/>
      <c r="E14" s="289"/>
      <c r="F14" s="79">
        <v>2</v>
      </c>
      <c r="G14" s="178" t="s">
        <v>1706</v>
      </c>
      <c r="H14" s="225" t="s">
        <v>1812</v>
      </c>
      <c r="I14" s="225"/>
      <c r="J14" s="225"/>
      <c r="K14" s="225"/>
      <c r="L14" s="225" t="s">
        <v>1</v>
      </c>
      <c r="M14" s="225"/>
      <c r="N14" s="225"/>
      <c r="O14" s="225"/>
      <c r="P14" s="225"/>
    </row>
    <row r="15" spans="2:16" s="159" customFormat="1" ht="18" customHeight="1">
      <c r="B15" s="283"/>
      <c r="C15" s="283"/>
      <c r="D15" s="284"/>
      <c r="E15" s="289"/>
      <c r="F15" s="79">
        <v>3</v>
      </c>
      <c r="G15" s="178" t="s">
        <v>1707</v>
      </c>
      <c r="H15" s="225" t="s">
        <v>1821</v>
      </c>
      <c r="I15" s="225"/>
      <c r="J15" s="225"/>
      <c r="K15" s="225"/>
      <c r="L15" s="225" t="s">
        <v>1</v>
      </c>
      <c r="M15" s="225"/>
      <c r="N15" s="225"/>
      <c r="O15" s="225"/>
      <c r="P15" s="225"/>
    </row>
    <row r="16" spans="2:16" s="159" customFormat="1" ht="18" customHeight="1">
      <c r="B16" s="283"/>
      <c r="C16" s="283"/>
      <c r="D16" s="284"/>
      <c r="E16" s="289"/>
      <c r="F16" s="79">
        <v>4</v>
      </c>
      <c r="G16" s="178" t="s">
        <v>1708</v>
      </c>
      <c r="H16" s="225" t="s">
        <v>1812</v>
      </c>
      <c r="I16" s="225"/>
      <c r="J16" s="225"/>
      <c r="K16" s="225"/>
      <c r="L16" s="225" t="s">
        <v>1</v>
      </c>
      <c r="M16" s="225"/>
      <c r="N16" s="225"/>
      <c r="O16" s="225"/>
      <c r="P16" s="225"/>
    </row>
    <row r="17" spans="2:16" s="159" customFormat="1" ht="18" customHeight="1">
      <c r="B17" s="283"/>
      <c r="C17" s="283"/>
      <c r="D17" s="284"/>
      <c r="E17" s="288"/>
      <c r="F17" s="82">
        <v>5</v>
      </c>
      <c r="G17" s="178" t="s">
        <v>1709</v>
      </c>
      <c r="H17" s="226" t="s">
        <v>1</v>
      </c>
      <c r="I17" s="226"/>
      <c r="J17" s="226"/>
      <c r="K17" s="226"/>
      <c r="L17" s="226" t="s">
        <v>1</v>
      </c>
      <c r="M17" s="226"/>
      <c r="N17" s="226"/>
      <c r="O17" s="226"/>
      <c r="P17" s="226"/>
    </row>
    <row r="18" spans="2:16" s="159" customFormat="1" ht="18" customHeight="1">
      <c r="B18" s="285"/>
      <c r="C18" s="285"/>
      <c r="D18" s="286"/>
      <c r="E18" s="197" t="str">
        <f>HYPERLINK("#LAYOUT_m1!lay중SIBLING_T","SIBLING_T")</f>
        <v>SIBLING_T</v>
      </c>
      <c r="F18" s="121" t="s">
        <v>1710</v>
      </c>
      <c r="G18" s="179" t="s">
        <v>1724</v>
      </c>
      <c r="H18" s="223" t="s">
        <v>1</v>
      </c>
      <c r="I18" s="223"/>
      <c r="J18" s="223"/>
      <c r="K18" s="223"/>
      <c r="L18" s="223" t="s">
        <v>1</v>
      </c>
      <c r="M18" s="223"/>
      <c r="N18" s="223"/>
      <c r="O18" s="223"/>
      <c r="P18" s="223"/>
    </row>
    <row r="19" spans="2:16" s="159" customFormat="1" ht="18" customHeight="1">
      <c r="B19" s="281" t="s">
        <v>1725</v>
      </c>
      <c r="C19" s="281"/>
      <c r="D19" s="282"/>
      <c r="E19" s="287" t="str">
        <f>HYPERLINK("#LAYOUT_m1!lay중SGRADE","SGRADE")</f>
        <v>SGRADE</v>
      </c>
      <c r="F19" s="78">
        <v>1</v>
      </c>
      <c r="G19" s="179" t="s">
        <v>1712</v>
      </c>
      <c r="H19" s="224" t="s">
        <v>1812</v>
      </c>
      <c r="I19" s="224"/>
      <c r="J19" s="224"/>
      <c r="K19" s="224"/>
      <c r="L19" s="224" t="s">
        <v>1</v>
      </c>
      <c r="M19" s="224"/>
      <c r="N19" s="224"/>
      <c r="O19" s="224"/>
      <c r="P19" s="224"/>
    </row>
    <row r="20" spans="2:16" s="159" customFormat="1" ht="18" customHeight="1">
      <c r="B20" s="283"/>
      <c r="C20" s="283"/>
      <c r="D20" s="284"/>
      <c r="E20" s="289"/>
      <c r="F20" s="79">
        <v>2</v>
      </c>
      <c r="G20" s="178" t="s">
        <v>1713</v>
      </c>
      <c r="H20" s="225" t="s">
        <v>1</v>
      </c>
      <c r="I20" s="225"/>
      <c r="J20" s="225"/>
      <c r="K20" s="225"/>
      <c r="L20" s="225" t="s">
        <v>1</v>
      </c>
      <c r="M20" s="225"/>
      <c r="N20" s="225"/>
      <c r="O20" s="225"/>
      <c r="P20" s="225"/>
    </row>
    <row r="21" spans="2:16" s="159" customFormat="1" ht="18" customHeight="1">
      <c r="B21" s="283"/>
      <c r="C21" s="283"/>
      <c r="D21" s="284"/>
      <c r="E21" s="289"/>
      <c r="F21" s="79">
        <v>3</v>
      </c>
      <c r="G21" s="178" t="s">
        <v>1714</v>
      </c>
      <c r="H21" s="225" t="s">
        <v>1811</v>
      </c>
      <c r="I21" s="225"/>
      <c r="J21" s="225"/>
      <c r="K21" s="225"/>
      <c r="L21" s="225" t="s">
        <v>1</v>
      </c>
      <c r="M21" s="225"/>
      <c r="N21" s="225"/>
      <c r="O21" s="225"/>
      <c r="P21" s="225"/>
    </row>
    <row r="22" spans="2:16" s="159" customFormat="1" ht="18" customHeight="1">
      <c r="B22" s="283"/>
      <c r="C22" s="283"/>
      <c r="D22" s="284"/>
      <c r="E22" s="289"/>
      <c r="F22" s="79">
        <v>4</v>
      </c>
      <c r="G22" s="178" t="s">
        <v>1715</v>
      </c>
      <c r="H22" s="225" t="s">
        <v>1817</v>
      </c>
      <c r="I22" s="225"/>
      <c r="J22" s="225"/>
      <c r="K22" s="225"/>
      <c r="L22" s="225" t="s">
        <v>1</v>
      </c>
      <c r="M22" s="225"/>
      <c r="N22" s="225"/>
      <c r="O22" s="225"/>
      <c r="P22" s="225"/>
    </row>
    <row r="23" spans="2:16" s="159" customFormat="1" ht="18" customHeight="1">
      <c r="B23" s="283"/>
      <c r="C23" s="283"/>
      <c r="D23" s="284"/>
      <c r="E23" s="289"/>
      <c r="F23" s="79">
        <v>5</v>
      </c>
      <c r="G23" s="178" t="s">
        <v>1716</v>
      </c>
      <c r="H23" s="225" t="s">
        <v>1811</v>
      </c>
      <c r="I23" s="225"/>
      <c r="J23" s="225"/>
      <c r="K23" s="225"/>
      <c r="L23" s="225" t="s">
        <v>1</v>
      </c>
      <c r="M23" s="225"/>
      <c r="N23" s="225"/>
      <c r="O23" s="225"/>
      <c r="P23" s="225"/>
    </row>
    <row r="24" spans="2:16" s="159" customFormat="1" ht="18" customHeight="1">
      <c r="B24" s="283"/>
      <c r="C24" s="283"/>
      <c r="D24" s="284"/>
      <c r="E24" s="289"/>
      <c r="F24" s="79">
        <v>6</v>
      </c>
      <c r="G24" s="178" t="s">
        <v>1717</v>
      </c>
      <c r="H24" s="225" t="s">
        <v>1</v>
      </c>
      <c r="I24" s="225"/>
      <c r="J24" s="225"/>
      <c r="K24" s="225"/>
      <c r="L24" s="225" t="s">
        <v>1</v>
      </c>
      <c r="M24" s="225"/>
      <c r="N24" s="225"/>
      <c r="O24" s="225"/>
      <c r="P24" s="225"/>
    </row>
    <row r="25" spans="2:16" s="159" customFormat="1" ht="18" customHeight="1">
      <c r="B25" s="283"/>
      <c r="C25" s="283"/>
      <c r="D25" s="284"/>
      <c r="E25" s="289"/>
      <c r="F25" s="79">
        <v>7</v>
      </c>
      <c r="G25" s="178" t="s">
        <v>1718</v>
      </c>
      <c r="H25" s="225" t="s">
        <v>1</v>
      </c>
      <c r="I25" s="225"/>
      <c r="J25" s="225"/>
      <c r="K25" s="225"/>
      <c r="L25" s="225" t="s">
        <v>1</v>
      </c>
      <c r="M25" s="225"/>
      <c r="N25" s="225"/>
      <c r="O25" s="225"/>
      <c r="P25" s="225"/>
    </row>
    <row r="26" spans="2:16" s="159" customFormat="1" ht="18" customHeight="1">
      <c r="B26" s="283"/>
      <c r="C26" s="283"/>
      <c r="D26" s="284"/>
      <c r="E26" s="289"/>
      <c r="F26" s="79">
        <v>8</v>
      </c>
      <c r="G26" s="178" t="s">
        <v>1719</v>
      </c>
      <c r="H26" s="225" t="s">
        <v>1822</v>
      </c>
      <c r="I26" s="225"/>
      <c r="J26" s="225"/>
      <c r="K26" s="225"/>
      <c r="L26" s="225" t="s">
        <v>1</v>
      </c>
      <c r="M26" s="225"/>
      <c r="N26" s="225"/>
      <c r="O26" s="225"/>
      <c r="P26" s="225"/>
    </row>
    <row r="27" spans="2:16" s="159" customFormat="1" ht="18" customHeight="1">
      <c r="B27" s="283"/>
      <c r="C27" s="283"/>
      <c r="D27" s="284"/>
      <c r="E27" s="289"/>
      <c r="F27" s="79">
        <v>9</v>
      </c>
      <c r="G27" s="178" t="s">
        <v>1720</v>
      </c>
      <c r="H27" s="225" t="s">
        <v>1811</v>
      </c>
      <c r="I27" s="225"/>
      <c r="J27" s="225"/>
      <c r="K27" s="225"/>
      <c r="L27" s="225" t="s">
        <v>1</v>
      </c>
      <c r="M27" s="225"/>
      <c r="N27" s="225"/>
      <c r="O27" s="225"/>
      <c r="P27" s="225"/>
    </row>
    <row r="28" spans="2:16" s="159" customFormat="1" ht="18" customHeight="1">
      <c r="B28" s="283"/>
      <c r="C28" s="283"/>
      <c r="D28" s="284"/>
      <c r="E28" s="289"/>
      <c r="F28" s="79">
        <v>10</v>
      </c>
      <c r="G28" s="178" t="s">
        <v>1721</v>
      </c>
      <c r="H28" s="225" t="s">
        <v>1822</v>
      </c>
      <c r="I28" s="225"/>
      <c r="J28" s="225"/>
      <c r="K28" s="225"/>
      <c r="L28" s="225" t="s">
        <v>1</v>
      </c>
      <c r="M28" s="225"/>
      <c r="N28" s="225"/>
      <c r="O28" s="225"/>
      <c r="P28" s="225"/>
    </row>
    <row r="29" spans="2:16" s="159" customFormat="1" ht="18" customHeight="1">
      <c r="B29" s="283"/>
      <c r="C29" s="283"/>
      <c r="D29" s="284"/>
      <c r="E29" s="289"/>
      <c r="F29" s="79">
        <v>11</v>
      </c>
      <c r="G29" s="178" t="s">
        <v>1722</v>
      </c>
      <c r="H29" s="225" t="s">
        <v>1811</v>
      </c>
      <c r="I29" s="225"/>
      <c r="J29" s="225"/>
      <c r="K29" s="225"/>
      <c r="L29" s="225" t="s">
        <v>1</v>
      </c>
      <c r="M29" s="225"/>
      <c r="N29" s="225"/>
      <c r="O29" s="225"/>
      <c r="P29" s="225"/>
    </row>
    <row r="30" spans="2:16" s="159" customFormat="1" ht="18" customHeight="1">
      <c r="B30" s="285"/>
      <c r="C30" s="285"/>
      <c r="D30" s="286"/>
      <c r="E30" s="288"/>
      <c r="F30" s="82">
        <v>12</v>
      </c>
      <c r="G30" s="180" t="s">
        <v>1723</v>
      </c>
      <c r="H30" s="226" t="s">
        <v>1</v>
      </c>
      <c r="I30" s="226"/>
      <c r="J30" s="226"/>
      <c r="K30" s="226"/>
      <c r="L30" s="226" t="s">
        <v>1</v>
      </c>
      <c r="M30" s="226"/>
      <c r="N30" s="226"/>
      <c r="O30" s="226"/>
      <c r="P30" s="226"/>
    </row>
    <row r="31" spans="2:16" s="159" customFormat="1" ht="18" customHeight="1">
      <c r="B31" s="281" t="s">
        <v>1726</v>
      </c>
      <c r="C31" s="281"/>
      <c r="D31" s="282"/>
      <c r="E31" s="287" t="str">
        <f>HYPERLINK("#LAYOUT_m1!lay중SURVEY1","SURVEY1")</f>
        <v>SURVEY1</v>
      </c>
      <c r="F31" s="79">
        <v>1</v>
      </c>
      <c r="G31" s="178" t="s">
        <v>1691</v>
      </c>
      <c r="H31" s="225" t="s">
        <v>1823</v>
      </c>
      <c r="I31" s="225"/>
      <c r="J31" s="225"/>
      <c r="K31" s="225"/>
      <c r="L31" s="225" t="s">
        <v>1</v>
      </c>
      <c r="M31" s="225"/>
      <c r="N31" s="225"/>
      <c r="O31" s="225"/>
      <c r="P31" s="225"/>
    </row>
    <row r="32" spans="2:16" s="159" customFormat="1" ht="18" customHeight="1">
      <c r="B32" s="285"/>
      <c r="C32" s="285"/>
      <c r="D32" s="286"/>
      <c r="E32" s="288"/>
      <c r="F32" s="82">
        <v>2</v>
      </c>
      <c r="G32" s="180" t="s">
        <v>1692</v>
      </c>
      <c r="H32" s="226" t="s">
        <v>1823</v>
      </c>
      <c r="I32" s="226"/>
      <c r="J32" s="226"/>
      <c r="K32" s="226"/>
      <c r="L32" s="226" t="s">
        <v>1</v>
      </c>
      <c r="M32" s="226"/>
      <c r="N32" s="226"/>
      <c r="O32" s="226"/>
      <c r="P32" s="226"/>
    </row>
    <row r="33" spans="2:16" s="159" customFormat="1" ht="18" customHeight="1">
      <c r="B33" s="281" t="s">
        <v>1727</v>
      </c>
      <c r="C33" s="281"/>
      <c r="D33" s="282"/>
      <c r="E33" s="287" t="str">
        <f>HYPERLINK("#LAYOUT_m1!lay중SURVEY2","SURVEY2")</f>
        <v>SURVEY2</v>
      </c>
      <c r="F33" s="79">
        <v>1</v>
      </c>
      <c r="G33" s="178" t="s">
        <v>1693</v>
      </c>
      <c r="H33" s="225" t="s">
        <v>1</v>
      </c>
      <c r="I33" s="225"/>
      <c r="J33" s="225"/>
      <c r="K33" s="225"/>
      <c r="L33" s="225" t="s">
        <v>1</v>
      </c>
      <c r="M33" s="225"/>
      <c r="N33" s="225"/>
      <c r="O33" s="225"/>
      <c r="P33" s="225"/>
    </row>
    <row r="34" spans="2:16" s="159" customFormat="1" ht="18" customHeight="1">
      <c r="B34" s="285"/>
      <c r="C34" s="285"/>
      <c r="D34" s="286"/>
      <c r="E34" s="288"/>
      <c r="F34" s="82">
        <v>2</v>
      </c>
      <c r="G34" s="178" t="s">
        <v>1692</v>
      </c>
      <c r="H34" s="226" t="s">
        <v>1811</v>
      </c>
      <c r="I34" s="226"/>
      <c r="J34" s="226"/>
      <c r="K34" s="226"/>
      <c r="L34" s="226" t="s">
        <v>1</v>
      </c>
      <c r="M34" s="226"/>
      <c r="N34" s="226"/>
      <c r="O34" s="226"/>
      <c r="P34" s="226"/>
    </row>
    <row r="35" spans="2:16" ht="18" customHeight="1">
      <c r="B35" s="281" t="s">
        <v>1104</v>
      </c>
      <c r="C35" s="281"/>
      <c r="D35" s="282"/>
      <c r="E35" s="287" t="str">
        <f>HYPERLINK("#LAYOUT_m1!lay중COHORT","COHORT")</f>
        <v>COHORT</v>
      </c>
      <c r="F35" s="78" t="s">
        <v>1106</v>
      </c>
      <c r="G35" s="179" t="s">
        <v>1752</v>
      </c>
      <c r="H35" s="224" t="s">
        <v>1</v>
      </c>
      <c r="I35" s="224"/>
      <c r="J35" s="224"/>
      <c r="K35" s="224"/>
      <c r="L35" s="224" t="s">
        <v>1</v>
      </c>
      <c r="M35" s="224"/>
      <c r="N35" s="224"/>
      <c r="O35" s="224"/>
      <c r="P35" s="224"/>
    </row>
    <row r="36" spans="2:16" ht="18" customHeight="1">
      <c r="B36" s="283"/>
      <c r="C36" s="283"/>
      <c r="D36" s="284"/>
      <c r="E36" s="289"/>
      <c r="F36" s="79" t="s">
        <v>1107</v>
      </c>
      <c r="G36" s="178" t="s">
        <v>1753</v>
      </c>
      <c r="H36" s="225" t="s">
        <v>1820</v>
      </c>
      <c r="I36" s="225"/>
      <c r="J36" s="225"/>
      <c r="K36" s="225"/>
      <c r="L36" s="225" t="s">
        <v>1</v>
      </c>
      <c r="M36" s="225"/>
      <c r="N36" s="225"/>
      <c r="O36" s="225"/>
      <c r="P36" s="225"/>
    </row>
    <row r="37" spans="2:16" s="176" customFormat="1" ht="18" customHeight="1">
      <c r="B37" s="283"/>
      <c r="C37" s="283"/>
      <c r="D37" s="284"/>
      <c r="E37" s="289"/>
      <c r="F37" s="79" t="s">
        <v>1750</v>
      </c>
      <c r="G37" s="178" t="s">
        <v>1789</v>
      </c>
      <c r="H37" s="225" t="s">
        <v>1820</v>
      </c>
      <c r="I37" s="225"/>
      <c r="J37" s="225"/>
      <c r="K37" s="225"/>
      <c r="L37" s="225" t="s">
        <v>1</v>
      </c>
      <c r="M37" s="225"/>
      <c r="N37" s="225"/>
      <c r="O37" s="225"/>
      <c r="P37" s="225"/>
    </row>
    <row r="38" spans="2:16" s="176" customFormat="1" ht="18" customHeight="1">
      <c r="B38" s="285"/>
      <c r="C38" s="285"/>
      <c r="D38" s="286"/>
      <c r="E38" s="288"/>
      <c r="F38" s="79" t="s">
        <v>1751</v>
      </c>
      <c r="G38" s="178" t="s">
        <v>1791</v>
      </c>
      <c r="H38" s="225" t="s">
        <v>1820</v>
      </c>
      <c r="I38" s="225"/>
      <c r="J38" s="225"/>
      <c r="K38" s="225"/>
      <c r="L38" s="225" t="s">
        <v>1</v>
      </c>
      <c r="M38" s="225"/>
      <c r="N38" s="225"/>
      <c r="O38" s="225"/>
      <c r="P38" s="225"/>
    </row>
    <row r="39" spans="2:16" ht="18" customHeight="1">
      <c r="B39" s="281" t="s">
        <v>1072</v>
      </c>
      <c r="C39" s="281"/>
      <c r="D39" s="282"/>
      <c r="E39" s="294" t="str">
        <f>HYPERLINK("#LAYOUT_m1!lay중ARA1A","ARA1A")</f>
        <v>ARA1A</v>
      </c>
      <c r="F39" s="78">
        <v>1</v>
      </c>
      <c r="G39" s="179" t="s">
        <v>1074</v>
      </c>
      <c r="H39" s="233">
        <v>16.43836263103001</v>
      </c>
      <c r="I39" s="325"/>
      <c r="J39" s="325"/>
      <c r="K39" s="325"/>
      <c r="L39" s="233">
        <v>15.913957258019837</v>
      </c>
      <c r="M39" s="325"/>
      <c r="N39" s="325"/>
      <c r="O39" s="325"/>
      <c r="P39" s="325"/>
    </row>
    <row r="40" spans="2:16" ht="18" customHeight="1">
      <c r="B40" s="283"/>
      <c r="C40" s="283"/>
      <c r="D40" s="284"/>
      <c r="E40" s="295"/>
      <c r="F40" s="79">
        <v>2</v>
      </c>
      <c r="G40" s="178" t="s">
        <v>1075</v>
      </c>
      <c r="H40" s="234">
        <v>5.7560337798535102</v>
      </c>
      <c r="I40" s="326"/>
      <c r="J40" s="326"/>
      <c r="K40" s="326"/>
      <c r="L40" s="234">
        <v>5.6822314656698438</v>
      </c>
      <c r="M40" s="326"/>
      <c r="N40" s="326"/>
      <c r="O40" s="326"/>
      <c r="P40" s="326"/>
    </row>
    <row r="41" spans="2:16" ht="18" customHeight="1">
      <c r="B41" s="283"/>
      <c r="C41" s="283"/>
      <c r="D41" s="284"/>
      <c r="E41" s="295"/>
      <c r="F41" s="79">
        <v>3</v>
      </c>
      <c r="G41" s="178" t="s">
        <v>1076</v>
      </c>
      <c r="H41" s="234">
        <v>4.872382710058889</v>
      </c>
      <c r="I41" s="326"/>
      <c r="J41" s="326"/>
      <c r="K41" s="326"/>
      <c r="L41" s="234">
        <v>4.901863970384575</v>
      </c>
      <c r="M41" s="326"/>
      <c r="N41" s="326"/>
      <c r="O41" s="326"/>
      <c r="P41" s="326"/>
    </row>
    <row r="42" spans="2:16" ht="18" customHeight="1">
      <c r="B42" s="283"/>
      <c r="C42" s="283"/>
      <c r="D42" s="284"/>
      <c r="E42" s="295"/>
      <c r="F42" s="79">
        <v>4</v>
      </c>
      <c r="G42" s="178" t="s">
        <v>1077</v>
      </c>
      <c r="H42" s="234">
        <v>5.6898596669551216</v>
      </c>
      <c r="I42" s="326"/>
      <c r="J42" s="326"/>
      <c r="K42" s="326"/>
      <c r="L42" s="234">
        <v>5.7646035901721993</v>
      </c>
      <c r="M42" s="326"/>
      <c r="N42" s="326"/>
      <c r="O42" s="326"/>
      <c r="P42" s="326"/>
    </row>
    <row r="43" spans="2:16" ht="18" customHeight="1">
      <c r="B43" s="283"/>
      <c r="C43" s="283"/>
      <c r="D43" s="284"/>
      <c r="E43" s="295"/>
      <c r="F43" s="79">
        <v>5</v>
      </c>
      <c r="G43" s="178" t="s">
        <v>1078</v>
      </c>
      <c r="H43" s="234">
        <v>3.3909219670043429</v>
      </c>
      <c r="I43" s="326"/>
      <c r="J43" s="326"/>
      <c r="K43" s="326"/>
      <c r="L43" s="234">
        <v>3.3078911050148245</v>
      </c>
      <c r="M43" s="326"/>
      <c r="N43" s="326"/>
      <c r="O43" s="326"/>
      <c r="P43" s="326"/>
    </row>
    <row r="44" spans="2:16" ht="18" customHeight="1">
      <c r="B44" s="283"/>
      <c r="C44" s="283"/>
      <c r="D44" s="284"/>
      <c r="E44" s="295"/>
      <c r="F44" s="79">
        <v>6</v>
      </c>
      <c r="G44" s="178" t="s">
        <v>1079</v>
      </c>
      <c r="H44" s="234">
        <v>3.2478789350826136</v>
      </c>
      <c r="I44" s="326"/>
      <c r="J44" s="326"/>
      <c r="K44" s="326"/>
      <c r="L44" s="234">
        <v>3.1311041477495785</v>
      </c>
      <c r="M44" s="326"/>
      <c r="N44" s="326"/>
      <c r="O44" s="326"/>
      <c r="P44" s="326"/>
    </row>
    <row r="45" spans="2:16" ht="18" customHeight="1">
      <c r="B45" s="283"/>
      <c r="C45" s="283"/>
      <c r="D45" s="284"/>
      <c r="E45" s="295"/>
      <c r="F45" s="79">
        <v>7</v>
      </c>
      <c r="G45" s="178" t="s">
        <v>1080</v>
      </c>
      <c r="H45" s="234">
        <v>2.3800399797319409</v>
      </c>
      <c r="I45" s="326"/>
      <c r="J45" s="326"/>
      <c r="K45" s="326"/>
      <c r="L45" s="234">
        <v>2.3948129646980059</v>
      </c>
      <c r="M45" s="326"/>
      <c r="N45" s="326"/>
      <c r="O45" s="326"/>
      <c r="P45" s="326"/>
    </row>
    <row r="46" spans="2:16" ht="18" customHeight="1">
      <c r="B46" s="283"/>
      <c r="C46" s="283"/>
      <c r="D46" s="284"/>
      <c r="E46" s="295"/>
      <c r="F46" s="79">
        <v>8</v>
      </c>
      <c r="G46" s="178" t="s">
        <v>1081</v>
      </c>
      <c r="H46" s="234">
        <v>0.69204307967116818</v>
      </c>
      <c r="I46" s="326"/>
      <c r="J46" s="326"/>
      <c r="K46" s="326"/>
      <c r="L46" s="234">
        <v>0.85768168231817354</v>
      </c>
      <c r="M46" s="326"/>
      <c r="N46" s="326"/>
      <c r="O46" s="326"/>
      <c r="P46" s="326"/>
    </row>
    <row r="47" spans="2:16" ht="18" customHeight="1">
      <c r="B47" s="283"/>
      <c r="C47" s="283"/>
      <c r="D47" s="284"/>
      <c r="E47" s="295"/>
      <c r="F47" s="79">
        <v>9</v>
      </c>
      <c r="G47" s="178" t="s">
        <v>1082</v>
      </c>
      <c r="H47" s="234">
        <v>26.942667521917727</v>
      </c>
      <c r="I47" s="326"/>
      <c r="J47" s="326"/>
      <c r="K47" s="326"/>
      <c r="L47" s="234">
        <v>27.096816148790047</v>
      </c>
      <c r="M47" s="326"/>
      <c r="N47" s="326"/>
      <c r="O47" s="326"/>
      <c r="P47" s="326"/>
    </row>
    <row r="48" spans="2:16" ht="18" customHeight="1">
      <c r="B48" s="283"/>
      <c r="C48" s="283"/>
      <c r="D48" s="284"/>
      <c r="E48" s="295"/>
      <c r="F48" s="79">
        <v>10</v>
      </c>
      <c r="G48" s="178" t="s">
        <v>1083</v>
      </c>
      <c r="H48" s="234">
        <v>2.9562226597157242</v>
      </c>
      <c r="I48" s="326"/>
      <c r="J48" s="326"/>
      <c r="K48" s="326"/>
      <c r="L48" s="234">
        <v>2.965878190414486</v>
      </c>
      <c r="M48" s="326"/>
      <c r="N48" s="326"/>
      <c r="O48" s="326"/>
      <c r="P48" s="326"/>
    </row>
    <row r="49" spans="2:16" ht="18" customHeight="1">
      <c r="B49" s="283"/>
      <c r="C49" s="283"/>
      <c r="D49" s="284"/>
      <c r="E49" s="295"/>
      <c r="F49" s="79">
        <v>11</v>
      </c>
      <c r="G49" s="178" t="s">
        <v>1084</v>
      </c>
      <c r="H49" s="234">
        <v>3.1478379361217832</v>
      </c>
      <c r="I49" s="326"/>
      <c r="J49" s="326"/>
      <c r="K49" s="326"/>
      <c r="L49" s="234">
        <v>3.1624151892270795</v>
      </c>
      <c r="M49" s="326"/>
      <c r="N49" s="326"/>
      <c r="O49" s="326"/>
      <c r="P49" s="326"/>
    </row>
    <row r="50" spans="2:16" ht="18" customHeight="1">
      <c r="B50" s="283"/>
      <c r="C50" s="283"/>
      <c r="D50" s="284"/>
      <c r="E50" s="295"/>
      <c r="F50" s="79">
        <v>12</v>
      </c>
      <c r="G50" s="178" t="s">
        <v>1085</v>
      </c>
      <c r="H50" s="234">
        <v>4.2173090583153972</v>
      </c>
      <c r="I50" s="326"/>
      <c r="J50" s="326"/>
      <c r="K50" s="326"/>
      <c r="L50" s="234">
        <v>4.3300761821724549</v>
      </c>
      <c r="M50" s="326"/>
      <c r="N50" s="326"/>
      <c r="O50" s="326"/>
      <c r="P50" s="326"/>
    </row>
    <row r="51" spans="2:16" ht="18" customHeight="1">
      <c r="B51" s="283"/>
      <c r="C51" s="283"/>
      <c r="D51" s="284"/>
      <c r="E51" s="295"/>
      <c r="F51" s="79">
        <v>13</v>
      </c>
      <c r="G51" s="178" t="s">
        <v>1086</v>
      </c>
      <c r="H51" s="234">
        <v>3.8102474904882904</v>
      </c>
      <c r="I51" s="326"/>
      <c r="J51" s="326"/>
      <c r="K51" s="326"/>
      <c r="L51" s="234">
        <v>3.8180202269327976</v>
      </c>
      <c r="M51" s="326"/>
      <c r="N51" s="326"/>
      <c r="O51" s="326"/>
      <c r="P51" s="326"/>
    </row>
    <row r="52" spans="2:16" ht="18" customHeight="1">
      <c r="B52" s="283"/>
      <c r="C52" s="283"/>
      <c r="D52" s="284"/>
      <c r="E52" s="295"/>
      <c r="F52" s="79">
        <v>14</v>
      </c>
      <c r="G52" s="178" t="s">
        <v>1087</v>
      </c>
      <c r="H52" s="234">
        <v>3.533519382004199</v>
      </c>
      <c r="I52" s="326"/>
      <c r="J52" s="326"/>
      <c r="K52" s="326"/>
      <c r="L52" s="234">
        <v>3.5224921662182789</v>
      </c>
      <c r="M52" s="326"/>
      <c r="N52" s="326"/>
      <c r="O52" s="326"/>
      <c r="P52" s="326"/>
    </row>
    <row r="53" spans="2:16" ht="18" customHeight="1">
      <c r="B53" s="283"/>
      <c r="C53" s="283"/>
      <c r="D53" s="284"/>
      <c r="E53" s="295"/>
      <c r="F53" s="79">
        <v>15</v>
      </c>
      <c r="G53" s="178" t="s">
        <v>1088</v>
      </c>
      <c r="H53" s="234">
        <v>4.7046006526905053</v>
      </c>
      <c r="I53" s="326"/>
      <c r="J53" s="326"/>
      <c r="K53" s="326"/>
      <c r="L53" s="234">
        <v>4.8081717001172963</v>
      </c>
      <c r="M53" s="326"/>
      <c r="N53" s="326"/>
      <c r="O53" s="326"/>
      <c r="P53" s="326"/>
    </row>
    <row r="54" spans="2:16" ht="18" customHeight="1">
      <c r="B54" s="283"/>
      <c r="C54" s="283"/>
      <c r="D54" s="284"/>
      <c r="E54" s="295"/>
      <c r="F54" s="79">
        <v>16</v>
      </c>
      <c r="G54" s="178" t="s">
        <v>1089</v>
      </c>
      <c r="H54" s="234">
        <v>6.805016013946152</v>
      </c>
      <c r="I54" s="326"/>
      <c r="J54" s="326"/>
      <c r="K54" s="326"/>
      <c r="L54" s="234">
        <v>6.8597674793889238</v>
      </c>
      <c r="M54" s="326"/>
      <c r="N54" s="326"/>
      <c r="O54" s="326"/>
      <c r="P54" s="326"/>
    </row>
    <row r="55" spans="2:16" ht="18" customHeight="1">
      <c r="B55" s="285"/>
      <c r="C55" s="285"/>
      <c r="D55" s="286"/>
      <c r="E55" s="296"/>
      <c r="F55" s="79">
        <v>17</v>
      </c>
      <c r="G55" s="178" t="s">
        <v>1090</v>
      </c>
      <c r="H55" s="234">
        <v>1.4150565354126172</v>
      </c>
      <c r="I55" s="330"/>
      <c r="J55" s="330"/>
      <c r="K55" s="330"/>
      <c r="L55" s="234">
        <v>1.4822165327116077</v>
      </c>
      <c r="M55" s="330"/>
      <c r="N55" s="330"/>
      <c r="O55" s="330"/>
      <c r="P55" s="330"/>
    </row>
    <row r="56" spans="2:16" s="228" customFormat="1" ht="18" customHeight="1">
      <c r="B56" s="281" t="s">
        <v>1797</v>
      </c>
      <c r="C56" s="281"/>
      <c r="D56" s="282"/>
      <c r="E56" s="287" t="str">
        <f>HYPERLINK("#LAYOUT_m1!lay중ARA2A","ARA2A")</f>
        <v>ARA2A</v>
      </c>
      <c r="F56" s="78">
        <v>1</v>
      </c>
      <c r="G56" s="179" t="s">
        <v>1798</v>
      </c>
      <c r="H56" s="233">
        <v>43.882579284800052</v>
      </c>
      <c r="I56" s="327"/>
      <c r="J56" s="327"/>
      <c r="K56" s="327"/>
      <c r="L56" s="233">
        <v>43.404798494203249</v>
      </c>
      <c r="M56" s="327"/>
      <c r="N56" s="327"/>
      <c r="O56" s="327"/>
      <c r="P56" s="327"/>
    </row>
    <row r="57" spans="2:16" s="228" customFormat="1" ht="18" customHeight="1">
      <c r="B57" s="283"/>
      <c r="C57" s="283"/>
      <c r="D57" s="284"/>
      <c r="E57" s="289"/>
      <c r="F57" s="79">
        <v>2</v>
      </c>
      <c r="G57" s="178" t="s">
        <v>1799</v>
      </c>
      <c r="H57" s="234">
        <v>42.831584488276576</v>
      </c>
      <c r="I57" s="328"/>
      <c r="J57" s="328"/>
      <c r="K57" s="328"/>
      <c r="L57" s="234">
        <v>43.122376524532875</v>
      </c>
      <c r="M57" s="328"/>
      <c r="N57" s="328"/>
      <c r="O57" s="328"/>
      <c r="P57" s="328"/>
    </row>
    <row r="58" spans="2:16" s="228" customFormat="1" ht="18" customHeight="1">
      <c r="B58" s="285"/>
      <c r="C58" s="285"/>
      <c r="D58" s="286"/>
      <c r="E58" s="288"/>
      <c r="F58" s="82">
        <v>3</v>
      </c>
      <c r="G58" s="180" t="s">
        <v>1800</v>
      </c>
      <c r="H58" s="234">
        <v>13.285836226923371</v>
      </c>
      <c r="I58" s="329"/>
      <c r="J58" s="329"/>
      <c r="K58" s="329"/>
      <c r="L58" s="234">
        <v>13.472824981263855</v>
      </c>
      <c r="M58" s="329"/>
      <c r="N58" s="329"/>
      <c r="O58" s="329"/>
      <c r="P58" s="329"/>
    </row>
    <row r="59" spans="2:16" ht="18" customHeight="1">
      <c r="B59" s="281" t="s">
        <v>1073</v>
      </c>
      <c r="C59" s="281"/>
      <c r="D59" s="282"/>
      <c r="E59" s="294" t="str">
        <f>HYPERLINK("#LAYOUT_m1!lay중ARA1B","ARA1B")</f>
        <v>ARA1B</v>
      </c>
      <c r="F59" s="78">
        <v>1</v>
      </c>
      <c r="G59" s="179" t="s">
        <v>1074</v>
      </c>
      <c r="H59" s="233">
        <v>16.149373868070491</v>
      </c>
      <c r="I59" s="325"/>
      <c r="J59" s="325"/>
      <c r="K59" s="325"/>
      <c r="L59" s="233">
        <v>15.913957258019837</v>
      </c>
      <c r="M59" s="325"/>
      <c r="N59" s="325"/>
      <c r="O59" s="325"/>
      <c r="P59" s="325"/>
    </row>
    <row r="60" spans="2:16" ht="18" customHeight="1">
      <c r="B60" s="283"/>
      <c r="C60" s="283"/>
      <c r="D60" s="284"/>
      <c r="E60" s="295"/>
      <c r="F60" s="79">
        <v>2</v>
      </c>
      <c r="G60" s="178" t="s">
        <v>1075</v>
      </c>
      <c r="H60" s="234">
        <v>5.7560337798535102</v>
      </c>
      <c r="I60" s="326"/>
      <c r="J60" s="326"/>
      <c r="K60" s="326"/>
      <c r="L60" s="234">
        <v>5.6822314656698438</v>
      </c>
      <c r="M60" s="326"/>
      <c r="N60" s="326"/>
      <c r="O60" s="326"/>
      <c r="P60" s="326"/>
    </row>
    <row r="61" spans="2:16" ht="18" customHeight="1">
      <c r="B61" s="283"/>
      <c r="C61" s="283"/>
      <c r="D61" s="284"/>
      <c r="E61" s="295"/>
      <c r="F61" s="79">
        <v>3</v>
      </c>
      <c r="G61" s="178" t="s">
        <v>1076</v>
      </c>
      <c r="H61" s="234">
        <v>4.872382710058889</v>
      </c>
      <c r="I61" s="326"/>
      <c r="J61" s="326"/>
      <c r="K61" s="326"/>
      <c r="L61" s="234">
        <v>4.901863970384575</v>
      </c>
      <c r="M61" s="326"/>
      <c r="N61" s="326"/>
      <c r="O61" s="326"/>
      <c r="P61" s="326"/>
    </row>
    <row r="62" spans="2:16" ht="18" customHeight="1">
      <c r="B62" s="283"/>
      <c r="C62" s="283"/>
      <c r="D62" s="284"/>
      <c r="E62" s="295"/>
      <c r="F62" s="79">
        <v>4</v>
      </c>
      <c r="G62" s="178" t="s">
        <v>1077</v>
      </c>
      <c r="H62" s="234">
        <v>5.6898596669551216</v>
      </c>
      <c r="I62" s="326"/>
      <c r="J62" s="326"/>
      <c r="K62" s="326"/>
      <c r="L62" s="234">
        <v>5.7646035901721993</v>
      </c>
      <c r="M62" s="326"/>
      <c r="N62" s="326"/>
      <c r="O62" s="326"/>
      <c r="P62" s="326"/>
    </row>
    <row r="63" spans="2:16" ht="18" customHeight="1">
      <c r="B63" s="283"/>
      <c r="C63" s="283"/>
      <c r="D63" s="284"/>
      <c r="E63" s="295"/>
      <c r="F63" s="79">
        <v>5</v>
      </c>
      <c r="G63" s="178" t="s">
        <v>1078</v>
      </c>
      <c r="H63" s="234">
        <v>3.2342530657816582</v>
      </c>
      <c r="I63" s="326"/>
      <c r="J63" s="326"/>
      <c r="K63" s="326"/>
      <c r="L63" s="234">
        <v>3.3078911050148245</v>
      </c>
      <c r="M63" s="326"/>
      <c r="N63" s="326"/>
      <c r="O63" s="326"/>
      <c r="P63" s="326"/>
    </row>
    <row r="64" spans="2:16" ht="18" customHeight="1">
      <c r="B64" s="283"/>
      <c r="C64" s="283"/>
      <c r="D64" s="284"/>
      <c r="E64" s="295"/>
      <c r="F64" s="79">
        <v>6</v>
      </c>
      <c r="G64" s="178" t="s">
        <v>1079</v>
      </c>
      <c r="H64" s="234">
        <v>3.2527381228209031</v>
      </c>
      <c r="I64" s="326"/>
      <c r="J64" s="326"/>
      <c r="K64" s="326"/>
      <c r="L64" s="234">
        <v>3.1311041477495785</v>
      </c>
      <c r="M64" s="326"/>
      <c r="N64" s="326"/>
      <c r="O64" s="326"/>
      <c r="P64" s="326"/>
    </row>
    <row r="65" spans="2:16" ht="18" customHeight="1">
      <c r="B65" s="283"/>
      <c r="C65" s="283"/>
      <c r="D65" s="284"/>
      <c r="E65" s="295"/>
      <c r="F65" s="79">
        <v>7</v>
      </c>
      <c r="G65" s="178" t="s">
        <v>1080</v>
      </c>
      <c r="H65" s="234">
        <v>2.3800399797319409</v>
      </c>
      <c r="I65" s="326"/>
      <c r="J65" s="326"/>
      <c r="K65" s="326"/>
      <c r="L65" s="234">
        <v>2.3948129646980059</v>
      </c>
      <c r="M65" s="326"/>
      <c r="N65" s="326"/>
      <c r="O65" s="326"/>
      <c r="P65" s="326"/>
    </row>
    <row r="66" spans="2:16" ht="18" customHeight="1">
      <c r="B66" s="283"/>
      <c r="C66" s="283"/>
      <c r="D66" s="284"/>
      <c r="E66" s="295"/>
      <c r="F66" s="79">
        <v>8</v>
      </c>
      <c r="G66" s="178" t="s">
        <v>1081</v>
      </c>
      <c r="H66" s="234">
        <v>0.69499851885861386</v>
      </c>
      <c r="I66" s="326"/>
      <c r="J66" s="326"/>
      <c r="K66" s="326"/>
      <c r="L66" s="234">
        <v>0.85768168231817354</v>
      </c>
      <c r="M66" s="326"/>
      <c r="N66" s="326"/>
      <c r="O66" s="326"/>
      <c r="P66" s="326"/>
    </row>
    <row r="67" spans="2:16" ht="18" customHeight="1">
      <c r="B67" s="283"/>
      <c r="C67" s="283"/>
      <c r="D67" s="284"/>
      <c r="E67" s="295"/>
      <c r="F67" s="79">
        <v>9</v>
      </c>
      <c r="G67" s="178" t="s">
        <v>1082</v>
      </c>
      <c r="H67" s="234">
        <v>27.234249727061606</v>
      </c>
      <c r="I67" s="326"/>
      <c r="J67" s="326"/>
      <c r="K67" s="326"/>
      <c r="L67" s="234">
        <v>27.096816148790047</v>
      </c>
      <c r="M67" s="326"/>
      <c r="N67" s="326"/>
      <c r="O67" s="326"/>
      <c r="P67" s="326"/>
    </row>
    <row r="68" spans="2:16" ht="18" customHeight="1">
      <c r="B68" s="283"/>
      <c r="C68" s="283"/>
      <c r="D68" s="284"/>
      <c r="E68" s="295"/>
      <c r="F68" s="79">
        <v>10</v>
      </c>
      <c r="G68" s="178" t="s">
        <v>1083</v>
      </c>
      <c r="H68" s="234">
        <v>2.95680525845769</v>
      </c>
      <c r="I68" s="326"/>
      <c r="J68" s="326"/>
      <c r="K68" s="326"/>
      <c r="L68" s="234">
        <v>2.965878190414486</v>
      </c>
      <c r="M68" s="326"/>
      <c r="N68" s="326"/>
      <c r="O68" s="326"/>
      <c r="P68" s="326"/>
    </row>
    <row r="69" spans="2:16" ht="18" customHeight="1">
      <c r="B69" s="283"/>
      <c r="C69" s="283"/>
      <c r="D69" s="284"/>
      <c r="E69" s="295"/>
      <c r="F69" s="79">
        <v>11</v>
      </c>
      <c r="G69" s="178" t="s">
        <v>1084</v>
      </c>
      <c r="H69" s="234">
        <v>3.1478379361217832</v>
      </c>
      <c r="I69" s="326"/>
      <c r="J69" s="326"/>
      <c r="K69" s="326"/>
      <c r="L69" s="234">
        <v>3.1624151892270795</v>
      </c>
      <c r="M69" s="326"/>
      <c r="N69" s="326"/>
      <c r="O69" s="326"/>
      <c r="P69" s="326"/>
    </row>
    <row r="70" spans="2:16" ht="18" customHeight="1">
      <c r="B70" s="283"/>
      <c r="C70" s="283"/>
      <c r="D70" s="284"/>
      <c r="E70" s="295"/>
      <c r="F70" s="79">
        <v>12</v>
      </c>
      <c r="G70" s="178" t="s">
        <v>1085</v>
      </c>
      <c r="H70" s="234">
        <v>4.1865277565800998</v>
      </c>
      <c r="I70" s="326"/>
      <c r="J70" s="326"/>
      <c r="K70" s="326"/>
      <c r="L70" s="234">
        <v>4.3300761821724549</v>
      </c>
      <c r="M70" s="326"/>
      <c r="N70" s="326"/>
      <c r="O70" s="326"/>
      <c r="P70" s="326"/>
    </row>
    <row r="71" spans="2:16" ht="18" customHeight="1">
      <c r="B71" s="283"/>
      <c r="C71" s="283"/>
      <c r="D71" s="284"/>
      <c r="E71" s="295"/>
      <c r="F71" s="79">
        <v>13</v>
      </c>
      <c r="G71" s="178" t="s">
        <v>1086</v>
      </c>
      <c r="H71" s="234">
        <v>3.966916391710976</v>
      </c>
      <c r="I71" s="326"/>
      <c r="J71" s="326"/>
      <c r="K71" s="326"/>
      <c r="L71" s="234">
        <v>3.8180202269327976</v>
      </c>
      <c r="M71" s="326"/>
      <c r="N71" s="326"/>
      <c r="O71" s="326"/>
      <c r="P71" s="326"/>
    </row>
    <row r="72" spans="2:16" ht="18" customHeight="1">
      <c r="B72" s="283"/>
      <c r="C72" s="283"/>
      <c r="D72" s="284"/>
      <c r="E72" s="295"/>
      <c r="F72" s="79">
        <v>14</v>
      </c>
      <c r="G72" s="178" t="s">
        <v>1087</v>
      </c>
      <c r="H72" s="234">
        <v>3.533519382004199</v>
      </c>
      <c r="I72" s="326"/>
      <c r="J72" s="326"/>
      <c r="K72" s="326"/>
      <c r="L72" s="234">
        <v>3.5224921662182789</v>
      </c>
      <c r="M72" s="326"/>
      <c r="N72" s="326"/>
      <c r="O72" s="326"/>
      <c r="P72" s="326"/>
    </row>
    <row r="73" spans="2:16" ht="18" customHeight="1">
      <c r="B73" s="283"/>
      <c r="C73" s="283"/>
      <c r="D73" s="284"/>
      <c r="E73" s="295"/>
      <c r="F73" s="79">
        <v>15</v>
      </c>
      <c r="G73" s="178" t="s">
        <v>1088</v>
      </c>
      <c r="H73" s="234">
        <v>4.7243912865737565</v>
      </c>
      <c r="I73" s="326"/>
      <c r="J73" s="326"/>
      <c r="K73" s="326"/>
      <c r="L73" s="234">
        <v>4.8081717001172963</v>
      </c>
      <c r="M73" s="326"/>
      <c r="N73" s="326"/>
      <c r="O73" s="326"/>
      <c r="P73" s="326"/>
    </row>
    <row r="74" spans="2:16" ht="18" customHeight="1">
      <c r="B74" s="283"/>
      <c r="C74" s="283"/>
      <c r="D74" s="284"/>
      <c r="E74" s="295"/>
      <c r="F74" s="79">
        <v>16</v>
      </c>
      <c r="G74" s="178" t="s">
        <v>1089</v>
      </c>
      <c r="H74" s="234">
        <v>6.805016013946152</v>
      </c>
      <c r="I74" s="326"/>
      <c r="J74" s="326"/>
      <c r="K74" s="326"/>
      <c r="L74" s="234">
        <v>6.8597674793889238</v>
      </c>
      <c r="M74" s="326"/>
      <c r="N74" s="326"/>
      <c r="O74" s="326"/>
      <c r="P74" s="326"/>
    </row>
    <row r="75" spans="2:16" ht="18" customHeight="1">
      <c r="B75" s="285"/>
      <c r="C75" s="285"/>
      <c r="D75" s="286"/>
      <c r="E75" s="296"/>
      <c r="F75" s="79">
        <v>17</v>
      </c>
      <c r="G75" s="178" t="s">
        <v>1090</v>
      </c>
      <c r="H75" s="234">
        <v>1.4150565354126172</v>
      </c>
      <c r="I75" s="330"/>
      <c r="J75" s="330"/>
      <c r="K75" s="330"/>
      <c r="L75" s="234">
        <v>1.4822165327116077</v>
      </c>
      <c r="M75" s="330"/>
      <c r="N75" s="330"/>
      <c r="O75" s="330"/>
      <c r="P75" s="330"/>
    </row>
    <row r="76" spans="2:16" ht="18" customHeight="1">
      <c r="B76" s="281" t="s">
        <v>1111</v>
      </c>
      <c r="C76" s="281"/>
      <c r="D76" s="282"/>
      <c r="E76" s="287" t="str">
        <f>HYPERLINK("#LAYOUT_m1!lay중YTWIN","YTWIN")</f>
        <v>YTWIN</v>
      </c>
      <c r="F76" s="80">
        <v>0</v>
      </c>
      <c r="G76" s="181" t="s">
        <v>1796</v>
      </c>
      <c r="H76" s="233">
        <v>99.222519875527226</v>
      </c>
      <c r="I76" s="327"/>
      <c r="J76" s="327"/>
      <c r="K76" s="327"/>
      <c r="L76" s="233">
        <v>98.329474048540703</v>
      </c>
      <c r="M76" s="327"/>
      <c r="N76" s="327"/>
      <c r="O76" s="327"/>
      <c r="P76" s="327"/>
    </row>
    <row r="77" spans="2:16" s="220" customFormat="1" ht="18" customHeight="1">
      <c r="B77" s="283"/>
      <c r="C77" s="283"/>
      <c r="D77" s="284"/>
      <c r="E77" s="289"/>
      <c r="F77" s="83">
        <v>1</v>
      </c>
      <c r="G77" s="167" t="s">
        <v>1792</v>
      </c>
      <c r="H77" s="234">
        <v>0.77748012447276105</v>
      </c>
      <c r="I77" s="328"/>
      <c r="J77" s="328"/>
      <c r="K77" s="328"/>
      <c r="L77" s="234">
        <v>0.84800901298477649</v>
      </c>
      <c r="M77" s="328"/>
      <c r="N77" s="328"/>
      <c r="O77" s="328"/>
      <c r="P77" s="328"/>
    </row>
    <row r="78" spans="2:16" s="220" customFormat="1" ht="18" customHeight="1">
      <c r="B78" s="283"/>
      <c r="C78" s="283"/>
      <c r="D78" s="284"/>
      <c r="E78" s="289"/>
      <c r="F78" s="83">
        <v>2</v>
      </c>
      <c r="G78" s="167" t="s">
        <v>1793</v>
      </c>
      <c r="H78" s="234" t="s">
        <v>1</v>
      </c>
      <c r="I78" s="328"/>
      <c r="J78" s="328"/>
      <c r="K78" s="328"/>
      <c r="L78" s="234">
        <v>0.82251693847450047</v>
      </c>
      <c r="M78" s="328"/>
      <c r="N78" s="328"/>
      <c r="O78" s="328"/>
      <c r="P78" s="328"/>
    </row>
    <row r="79" spans="2:16" ht="18" customHeight="1">
      <c r="B79" s="285"/>
      <c r="C79" s="285"/>
      <c r="D79" s="286"/>
      <c r="E79" s="288"/>
      <c r="F79" s="81">
        <v>3</v>
      </c>
      <c r="G79" s="182" t="s">
        <v>1794</v>
      </c>
      <c r="H79" s="235" t="s">
        <v>1</v>
      </c>
      <c r="I79" s="329"/>
      <c r="J79" s="329"/>
      <c r="K79" s="329"/>
      <c r="L79" s="235">
        <v>0</v>
      </c>
      <c r="M79" s="329"/>
      <c r="N79" s="329"/>
      <c r="O79" s="329"/>
      <c r="P79" s="329"/>
    </row>
    <row r="80" spans="2:16" ht="18" customHeight="1">
      <c r="B80" s="281" t="s">
        <v>1600</v>
      </c>
      <c r="C80" s="281"/>
      <c r="D80" s="282"/>
      <c r="E80" s="197" t="str">
        <f>HYPERLINK("#LAYOUT_m1!lay중YBRT1A","YBRT1A")</f>
        <v>YBRT1A</v>
      </c>
      <c r="F80" s="121" t="s">
        <v>0</v>
      </c>
      <c r="G80" s="177" t="s">
        <v>19</v>
      </c>
      <c r="H80" s="236" t="s">
        <v>1811</v>
      </c>
      <c r="I80" s="237"/>
      <c r="J80" s="237"/>
      <c r="K80" s="237"/>
      <c r="L80" s="236" t="s">
        <v>1</v>
      </c>
      <c r="M80" s="237"/>
      <c r="N80" s="237"/>
      <c r="O80" s="237"/>
      <c r="P80" s="237"/>
    </row>
    <row r="81" spans="2:16" ht="18" customHeight="1">
      <c r="B81" s="285"/>
      <c r="C81" s="285"/>
      <c r="D81" s="286"/>
      <c r="E81" s="198" t="str">
        <f>HYPERLINK("#LAYOUT_m1!lay중YBRT1B","YBRT1B")</f>
        <v>YBRT1B</v>
      </c>
      <c r="F81" s="121" t="s">
        <v>0</v>
      </c>
      <c r="G81" s="177" t="s">
        <v>20</v>
      </c>
      <c r="H81" s="236" t="s">
        <v>1811</v>
      </c>
      <c r="I81" s="238"/>
      <c r="J81" s="238"/>
      <c r="K81" s="238"/>
      <c r="L81" s="236" t="s">
        <v>1</v>
      </c>
      <c r="M81" s="250"/>
      <c r="N81" s="250"/>
      <c r="O81" s="250"/>
      <c r="P81" s="250"/>
    </row>
    <row r="82" spans="2:16" ht="18" customHeight="1">
      <c r="B82" s="281" t="s">
        <v>1601</v>
      </c>
      <c r="C82" s="281"/>
      <c r="D82" s="282"/>
      <c r="E82" s="287" t="str">
        <f>HYPERLINK("#LAYOUT_m1!lay중YGENDER","YGENDER")</f>
        <v>YGENDER</v>
      </c>
      <c r="F82" s="80">
        <v>1</v>
      </c>
      <c r="G82" s="181" t="s">
        <v>48</v>
      </c>
      <c r="H82" s="233">
        <v>51.84709052946382</v>
      </c>
      <c r="I82" s="327"/>
      <c r="J82" s="327"/>
      <c r="K82" s="327"/>
      <c r="L82" s="233">
        <v>51.873243269932445</v>
      </c>
      <c r="M82" s="327"/>
      <c r="N82" s="327"/>
      <c r="O82" s="327"/>
      <c r="P82" s="327"/>
    </row>
    <row r="83" spans="2:16" ht="18" customHeight="1">
      <c r="B83" s="285"/>
      <c r="C83" s="285"/>
      <c r="D83" s="286"/>
      <c r="E83" s="288"/>
      <c r="F83" s="81">
        <v>2</v>
      </c>
      <c r="G83" s="182" t="s">
        <v>49</v>
      </c>
      <c r="H83" s="235">
        <v>48.152909470536137</v>
      </c>
      <c r="I83" s="329"/>
      <c r="J83" s="329"/>
      <c r="K83" s="329"/>
      <c r="L83" s="235">
        <v>48.126756730067555</v>
      </c>
      <c r="M83" s="329"/>
      <c r="N83" s="329"/>
      <c r="O83" s="329"/>
      <c r="P83" s="329"/>
    </row>
    <row r="84" spans="2:16" ht="18" customHeight="1">
      <c r="B84" s="306" t="s">
        <v>1602</v>
      </c>
      <c r="C84" s="303" t="s">
        <v>50</v>
      </c>
      <c r="D84" s="303" t="s">
        <v>51</v>
      </c>
      <c r="E84" s="197" t="str">
        <f>HYPERLINK("#LAYOUT_m1!lay중YTIM1A01","YTIM1A01")</f>
        <v>YTIM1A01</v>
      </c>
      <c r="F84" s="121" t="s">
        <v>0</v>
      </c>
      <c r="G84" s="177" t="s">
        <v>52</v>
      </c>
      <c r="H84" s="236" t="s">
        <v>1</v>
      </c>
      <c r="I84" s="237"/>
      <c r="J84" s="237"/>
      <c r="K84" s="237"/>
      <c r="L84" s="236" t="s">
        <v>1</v>
      </c>
      <c r="M84" s="237"/>
      <c r="N84" s="237"/>
      <c r="O84" s="237"/>
      <c r="P84" s="237"/>
    </row>
    <row r="85" spans="2:16" ht="18" customHeight="1">
      <c r="B85" s="307"/>
      <c r="C85" s="305"/>
      <c r="D85" s="304"/>
      <c r="E85" s="197" t="str">
        <f>HYPERLINK("#LAYOUT_m1!lay중YTIM1A02","YTIM1A02")</f>
        <v>YTIM1A02</v>
      </c>
      <c r="F85" s="121" t="s">
        <v>0</v>
      </c>
      <c r="G85" s="177" t="s">
        <v>53</v>
      </c>
      <c r="H85" s="236" t="s">
        <v>1812</v>
      </c>
      <c r="I85" s="237"/>
      <c r="J85" s="237"/>
      <c r="K85" s="237"/>
      <c r="L85" s="236" t="s">
        <v>1</v>
      </c>
      <c r="M85" s="237"/>
      <c r="N85" s="237"/>
      <c r="O85" s="237"/>
      <c r="P85" s="237"/>
    </row>
    <row r="86" spans="2:16" ht="18" customHeight="1">
      <c r="B86" s="307"/>
      <c r="C86" s="305"/>
      <c r="D86" s="303" t="s">
        <v>54</v>
      </c>
      <c r="E86" s="197" t="str">
        <f>HYPERLINK("#LAYOUT_m1!lay중YTIM1B01","YTIM1B01")</f>
        <v>YTIM1B01</v>
      </c>
      <c r="F86" s="121" t="s">
        <v>0</v>
      </c>
      <c r="G86" s="177" t="s">
        <v>52</v>
      </c>
      <c r="H86" s="236" t="s">
        <v>1813</v>
      </c>
      <c r="I86" s="237"/>
      <c r="J86" s="237"/>
      <c r="K86" s="237"/>
      <c r="L86" s="236" t="s">
        <v>1</v>
      </c>
      <c r="M86" s="237"/>
      <c r="N86" s="237"/>
      <c r="O86" s="237"/>
      <c r="P86" s="237"/>
    </row>
    <row r="87" spans="2:16" ht="18" customHeight="1">
      <c r="B87" s="307"/>
      <c r="C87" s="305"/>
      <c r="D87" s="304"/>
      <c r="E87" s="198" t="str">
        <f>HYPERLINK("#LAYOUT_m1!lay중YTIM1B02","YTIM1B02")</f>
        <v>YTIM1B02</v>
      </c>
      <c r="F87" s="121" t="s">
        <v>0</v>
      </c>
      <c r="G87" s="177" t="s">
        <v>53</v>
      </c>
      <c r="H87" s="236" t="s">
        <v>1</v>
      </c>
      <c r="I87" s="238"/>
      <c r="J87" s="238"/>
      <c r="K87" s="238"/>
      <c r="L87" s="236" t="s">
        <v>1</v>
      </c>
      <c r="M87" s="250"/>
      <c r="N87" s="250"/>
      <c r="O87" s="250"/>
      <c r="P87" s="250"/>
    </row>
    <row r="88" spans="2:16" ht="18" customHeight="1">
      <c r="B88" s="307"/>
      <c r="C88" s="305"/>
      <c r="D88" s="303" t="s">
        <v>55</v>
      </c>
      <c r="E88" s="287" t="str">
        <f>HYPERLINK("#LAYOUT_m1!lay중YTIM1C01","YTIM1C01")</f>
        <v>YTIM1C01</v>
      </c>
      <c r="F88" s="80">
        <v>1</v>
      </c>
      <c r="G88" s="181" t="s">
        <v>56</v>
      </c>
      <c r="H88" s="233">
        <v>1.0518946225616039</v>
      </c>
      <c r="I88" s="327">
        <v>3.1732466031263846</v>
      </c>
      <c r="J88" s="327">
        <v>1.2776106028207329E-2</v>
      </c>
      <c r="K88" s="327">
        <v>0.40261938721118951</v>
      </c>
      <c r="L88" s="233">
        <v>0.73808293885583365</v>
      </c>
      <c r="M88" s="327">
        <v>3.125317861534727</v>
      </c>
      <c r="N88" s="327">
        <v>0.64251907297372857</v>
      </c>
      <c r="O88" s="327">
        <v>1.3012752613194378E-2</v>
      </c>
      <c r="P88" s="327">
        <v>0.4163657326939636</v>
      </c>
    </row>
    <row r="89" spans="2:16" ht="18" customHeight="1">
      <c r="B89" s="307"/>
      <c r="C89" s="305"/>
      <c r="D89" s="305"/>
      <c r="E89" s="289"/>
      <c r="F89" s="83">
        <v>2</v>
      </c>
      <c r="G89" s="167" t="s">
        <v>57</v>
      </c>
      <c r="H89" s="234">
        <v>10.812684445573016</v>
      </c>
      <c r="I89" s="328"/>
      <c r="J89" s="328"/>
      <c r="K89" s="328"/>
      <c r="L89" s="234">
        <v>12.938157797899631</v>
      </c>
      <c r="M89" s="328">
        <v>3.125317861534727</v>
      </c>
      <c r="N89" s="328">
        <v>0.64251907297372857</v>
      </c>
      <c r="O89" s="328">
        <v>1.3012752613194378E-2</v>
      </c>
      <c r="P89" s="328">
        <v>0.4163657326939636</v>
      </c>
    </row>
    <row r="90" spans="2:16" ht="18" customHeight="1">
      <c r="B90" s="307"/>
      <c r="C90" s="305"/>
      <c r="D90" s="305"/>
      <c r="E90" s="289"/>
      <c r="F90" s="83">
        <v>3</v>
      </c>
      <c r="G90" s="167" t="s">
        <v>58</v>
      </c>
      <c r="H90" s="234">
        <v>57.894286928532175</v>
      </c>
      <c r="I90" s="328"/>
      <c r="J90" s="328"/>
      <c r="K90" s="328"/>
      <c r="L90" s="234">
        <v>59.377649434159295</v>
      </c>
      <c r="M90" s="328">
        <v>3.125317861534727</v>
      </c>
      <c r="N90" s="328">
        <v>0.64251907297372857</v>
      </c>
      <c r="O90" s="328">
        <v>1.3012752613194378E-2</v>
      </c>
      <c r="P90" s="328">
        <v>0.4163657326939636</v>
      </c>
    </row>
    <row r="91" spans="2:16" ht="18" customHeight="1">
      <c r="B91" s="307"/>
      <c r="C91" s="304"/>
      <c r="D91" s="304"/>
      <c r="E91" s="288"/>
      <c r="F91" s="81">
        <v>4</v>
      </c>
      <c r="G91" s="182" t="s">
        <v>59</v>
      </c>
      <c r="H91" s="235">
        <v>30.24113400333324</v>
      </c>
      <c r="I91" s="329"/>
      <c r="J91" s="329"/>
      <c r="K91" s="329"/>
      <c r="L91" s="235">
        <v>26.946109829085234</v>
      </c>
      <c r="M91" s="329">
        <v>3.125317861534727</v>
      </c>
      <c r="N91" s="329">
        <v>0.64251907297372857</v>
      </c>
      <c r="O91" s="329">
        <v>1.3012752613194378E-2</v>
      </c>
      <c r="P91" s="329">
        <v>0.4163657326939636</v>
      </c>
    </row>
    <row r="92" spans="2:16" ht="18" customHeight="1">
      <c r="B92" s="307"/>
      <c r="C92" s="303" t="s">
        <v>60</v>
      </c>
      <c r="D92" s="303" t="s">
        <v>51</v>
      </c>
      <c r="E92" s="201" t="str">
        <f>HYPERLINK("#LAYOUT_m1!lay중YTIM1A03","YTIM1A03")</f>
        <v>YTIM1A03</v>
      </c>
      <c r="F92" s="121" t="s">
        <v>0</v>
      </c>
      <c r="G92" s="177" t="s">
        <v>52</v>
      </c>
      <c r="H92" s="236" t="s">
        <v>1811</v>
      </c>
      <c r="I92" s="239"/>
      <c r="J92" s="239"/>
      <c r="K92" s="239"/>
      <c r="L92" s="236" t="s">
        <v>1</v>
      </c>
      <c r="M92" s="252"/>
      <c r="N92" s="252"/>
      <c r="O92" s="252"/>
      <c r="P92" s="252"/>
    </row>
    <row r="93" spans="2:16" ht="18" customHeight="1">
      <c r="B93" s="307"/>
      <c r="C93" s="305"/>
      <c r="D93" s="304"/>
      <c r="E93" s="197" t="str">
        <f>HYPERLINK("#LAYOUT_m1!lay중YTIM1A04","YTIM1A04")</f>
        <v>YTIM1A04</v>
      </c>
      <c r="F93" s="121" t="s">
        <v>0</v>
      </c>
      <c r="G93" s="177" t="s">
        <v>53</v>
      </c>
      <c r="H93" s="236" t="s">
        <v>1814</v>
      </c>
      <c r="I93" s="237"/>
      <c r="J93" s="237"/>
      <c r="K93" s="237"/>
      <c r="L93" s="236" t="s">
        <v>1</v>
      </c>
      <c r="M93" s="237"/>
      <c r="N93" s="237"/>
      <c r="O93" s="237"/>
      <c r="P93" s="237"/>
    </row>
    <row r="94" spans="2:16" ht="18" customHeight="1">
      <c r="B94" s="307"/>
      <c r="C94" s="305"/>
      <c r="D94" s="303" t="s">
        <v>54</v>
      </c>
      <c r="E94" s="197" t="str">
        <f>HYPERLINK("#LAYOUT_m1!lay중YTIM1B03","YTIM1B03")</f>
        <v>YTIM1B03</v>
      </c>
      <c r="F94" s="121" t="s">
        <v>0</v>
      </c>
      <c r="G94" s="177" t="s">
        <v>52</v>
      </c>
      <c r="H94" s="236" t="s">
        <v>1815</v>
      </c>
      <c r="I94" s="237"/>
      <c r="J94" s="237"/>
      <c r="K94" s="237"/>
      <c r="L94" s="236" t="s">
        <v>1</v>
      </c>
      <c r="M94" s="237"/>
      <c r="N94" s="237"/>
      <c r="O94" s="237"/>
      <c r="P94" s="237"/>
    </row>
    <row r="95" spans="2:16" ht="18" customHeight="1">
      <c r="B95" s="307"/>
      <c r="C95" s="305"/>
      <c r="D95" s="304"/>
      <c r="E95" s="197" t="str">
        <f>HYPERLINK("#LAYOUT_m1!lay중YTIM1B04","YTIM1B04")</f>
        <v>YTIM1B04</v>
      </c>
      <c r="F95" s="121" t="s">
        <v>0</v>
      </c>
      <c r="G95" s="177" t="s">
        <v>53</v>
      </c>
      <c r="H95" s="236" t="s">
        <v>1</v>
      </c>
      <c r="I95" s="237"/>
      <c r="J95" s="237"/>
      <c r="K95" s="237"/>
      <c r="L95" s="236" t="s">
        <v>1</v>
      </c>
      <c r="M95" s="237"/>
      <c r="N95" s="237"/>
      <c r="O95" s="237"/>
      <c r="P95" s="237"/>
    </row>
    <row r="96" spans="2:16" ht="18" customHeight="1">
      <c r="B96" s="307"/>
      <c r="C96" s="305"/>
      <c r="D96" s="303" t="s">
        <v>55</v>
      </c>
      <c r="E96" s="287" t="str">
        <f>HYPERLINK("#LAYOUT_m1!lay중YTIM1C02","YTIM1C02")</f>
        <v>YTIM1C02</v>
      </c>
      <c r="F96" s="78">
        <v>1</v>
      </c>
      <c r="G96" s="181" t="s">
        <v>56</v>
      </c>
      <c r="H96" s="233">
        <v>1.1491582763649129</v>
      </c>
      <c r="I96" s="327">
        <v>3.3767522079219003</v>
      </c>
      <c r="J96" s="327">
        <v>1.2544356458821418E-2</v>
      </c>
      <c r="K96" s="327">
        <v>0.37149176742646978</v>
      </c>
      <c r="L96" s="233">
        <v>0.77055276381534321</v>
      </c>
      <c r="M96" s="327">
        <v>3.3019626392249632</v>
      </c>
      <c r="N96" s="327">
        <v>0.61689634835913831</v>
      </c>
      <c r="O96" s="327">
        <v>1.2493822995832959E-2</v>
      </c>
      <c r="P96" s="327">
        <v>0.3783756620203767</v>
      </c>
    </row>
    <row r="97" spans="2:16" ht="18" customHeight="1">
      <c r="B97" s="307"/>
      <c r="C97" s="305"/>
      <c r="D97" s="305"/>
      <c r="E97" s="289"/>
      <c r="F97" s="79">
        <v>2</v>
      </c>
      <c r="G97" s="167" t="s">
        <v>57</v>
      </c>
      <c r="H97" s="234">
        <v>5.182391865657082</v>
      </c>
      <c r="I97" s="328"/>
      <c r="J97" s="328"/>
      <c r="K97" s="328"/>
      <c r="L97" s="234">
        <v>6.1695319719802484</v>
      </c>
      <c r="M97" s="328">
        <v>3.3019626392249632</v>
      </c>
      <c r="N97" s="328">
        <v>0.61689634835913831</v>
      </c>
      <c r="O97" s="328">
        <v>1.2493822995832959E-2</v>
      </c>
      <c r="P97" s="328">
        <v>0.3783756620203767</v>
      </c>
    </row>
    <row r="98" spans="2:16" ht="18" customHeight="1">
      <c r="B98" s="307"/>
      <c r="C98" s="305"/>
      <c r="D98" s="305"/>
      <c r="E98" s="289"/>
      <c r="F98" s="79">
        <v>3</v>
      </c>
      <c r="G98" s="167" t="s">
        <v>58</v>
      </c>
      <c r="H98" s="234">
        <v>48.512520647402866</v>
      </c>
      <c r="I98" s="328"/>
      <c r="J98" s="328"/>
      <c r="K98" s="328"/>
      <c r="L98" s="234">
        <v>55.153013842096215</v>
      </c>
      <c r="M98" s="328">
        <v>3.3019626392249632</v>
      </c>
      <c r="N98" s="328">
        <v>0.61689634835913831</v>
      </c>
      <c r="O98" s="328">
        <v>1.2493822995832959E-2</v>
      </c>
      <c r="P98" s="328">
        <v>0.3783756620203767</v>
      </c>
    </row>
    <row r="99" spans="2:16" ht="18" customHeight="1">
      <c r="B99" s="307"/>
      <c r="C99" s="304"/>
      <c r="D99" s="304"/>
      <c r="E99" s="288"/>
      <c r="F99" s="82">
        <v>4</v>
      </c>
      <c r="G99" s="182" t="s">
        <v>59</v>
      </c>
      <c r="H99" s="235">
        <v>45.155929210575138</v>
      </c>
      <c r="I99" s="329"/>
      <c r="J99" s="329"/>
      <c r="K99" s="329"/>
      <c r="L99" s="235">
        <v>37.906901422108163</v>
      </c>
      <c r="M99" s="329">
        <v>3.3019626392249632</v>
      </c>
      <c r="N99" s="329">
        <v>0.61689634835913831</v>
      </c>
      <c r="O99" s="329">
        <v>1.2493822995832959E-2</v>
      </c>
      <c r="P99" s="329">
        <v>0.3783756620203767</v>
      </c>
    </row>
    <row r="100" spans="2:16" ht="18" customHeight="1">
      <c r="B100" s="307"/>
      <c r="C100" s="303" t="s">
        <v>1603</v>
      </c>
      <c r="D100" s="303" t="s">
        <v>61</v>
      </c>
      <c r="E100" s="287" t="str">
        <f>HYPERLINK("#LAYOUT_m1!lay중YTIM1D01","YTIM1D01")</f>
        <v>YTIM1D01</v>
      </c>
      <c r="F100" s="78">
        <v>1</v>
      </c>
      <c r="G100" s="181" t="s">
        <v>62</v>
      </c>
      <c r="H100" s="233">
        <v>0.5226704487239624</v>
      </c>
      <c r="I100" s="327"/>
      <c r="J100" s="327"/>
      <c r="K100" s="327"/>
      <c r="L100" s="233">
        <v>0.20154438290123405</v>
      </c>
      <c r="M100" s="327"/>
      <c r="N100" s="327"/>
      <c r="O100" s="327"/>
      <c r="P100" s="327"/>
    </row>
    <row r="101" spans="2:16" ht="18" customHeight="1">
      <c r="B101" s="307"/>
      <c r="C101" s="305"/>
      <c r="D101" s="305"/>
      <c r="E101" s="289"/>
      <c r="F101" s="79">
        <v>2</v>
      </c>
      <c r="G101" s="167" t="s">
        <v>63</v>
      </c>
      <c r="H101" s="234">
        <v>15.794444252400895</v>
      </c>
      <c r="I101" s="328"/>
      <c r="J101" s="328"/>
      <c r="K101" s="328"/>
      <c r="L101" s="234">
        <v>19.353212991556518</v>
      </c>
      <c r="M101" s="328"/>
      <c r="N101" s="328"/>
      <c r="O101" s="328"/>
      <c r="P101" s="328"/>
    </row>
    <row r="102" spans="2:16" ht="18" customHeight="1">
      <c r="B102" s="307"/>
      <c r="C102" s="305"/>
      <c r="D102" s="305"/>
      <c r="E102" s="289"/>
      <c r="F102" s="79">
        <v>3</v>
      </c>
      <c r="G102" s="167" t="s">
        <v>64</v>
      </c>
      <c r="H102" s="234">
        <v>27.991442795898283</v>
      </c>
      <c r="I102" s="328"/>
      <c r="J102" s="328"/>
      <c r="K102" s="328"/>
      <c r="L102" s="234">
        <v>30.421975287436641</v>
      </c>
      <c r="M102" s="328"/>
      <c r="N102" s="328"/>
      <c r="O102" s="328"/>
      <c r="P102" s="328"/>
    </row>
    <row r="103" spans="2:16" ht="18" customHeight="1">
      <c r="B103" s="307"/>
      <c r="C103" s="305"/>
      <c r="D103" s="305"/>
      <c r="E103" s="289"/>
      <c r="F103" s="79">
        <v>4</v>
      </c>
      <c r="G103" s="167" t="s">
        <v>65</v>
      </c>
      <c r="H103" s="234">
        <v>25.99233305859925</v>
      </c>
      <c r="I103" s="328"/>
      <c r="J103" s="328"/>
      <c r="K103" s="328"/>
      <c r="L103" s="234">
        <v>26.964510120849408</v>
      </c>
      <c r="M103" s="328"/>
      <c r="N103" s="328"/>
      <c r="O103" s="328"/>
      <c r="P103" s="328"/>
    </row>
    <row r="104" spans="2:16" ht="18" customHeight="1">
      <c r="B104" s="307"/>
      <c r="C104" s="305"/>
      <c r="D104" s="305"/>
      <c r="E104" s="289"/>
      <c r="F104" s="79">
        <v>5</v>
      </c>
      <c r="G104" s="167" t="s">
        <v>66</v>
      </c>
      <c r="H104" s="234">
        <v>15.976996471505529</v>
      </c>
      <c r="I104" s="328"/>
      <c r="J104" s="328"/>
      <c r="K104" s="328"/>
      <c r="L104" s="234">
        <v>14.770313288139036</v>
      </c>
      <c r="M104" s="328"/>
      <c r="N104" s="328"/>
      <c r="O104" s="328"/>
      <c r="P104" s="328"/>
    </row>
    <row r="105" spans="2:16" ht="18" customHeight="1">
      <c r="B105" s="307"/>
      <c r="C105" s="305"/>
      <c r="D105" s="305"/>
      <c r="E105" s="289"/>
      <c r="F105" s="79">
        <v>6</v>
      </c>
      <c r="G105" s="167" t="s">
        <v>67</v>
      </c>
      <c r="H105" s="234">
        <v>7.1550896344839554</v>
      </c>
      <c r="I105" s="328"/>
      <c r="J105" s="328"/>
      <c r="K105" s="328"/>
      <c r="L105" s="234">
        <v>3.9795606856660775</v>
      </c>
      <c r="M105" s="328"/>
      <c r="N105" s="328"/>
      <c r="O105" s="328"/>
      <c r="P105" s="328"/>
    </row>
    <row r="106" spans="2:16" ht="18" customHeight="1">
      <c r="B106" s="307"/>
      <c r="C106" s="305"/>
      <c r="D106" s="304"/>
      <c r="E106" s="288"/>
      <c r="F106" s="82">
        <v>7</v>
      </c>
      <c r="G106" s="182" t="s">
        <v>68</v>
      </c>
      <c r="H106" s="235">
        <v>6.5670233383881396</v>
      </c>
      <c r="I106" s="329"/>
      <c r="J106" s="329"/>
      <c r="K106" s="329"/>
      <c r="L106" s="235">
        <v>4.3088832434510884</v>
      </c>
      <c r="M106" s="329"/>
      <c r="N106" s="329"/>
      <c r="O106" s="329"/>
      <c r="P106" s="329"/>
    </row>
    <row r="107" spans="2:16" ht="18" customHeight="1">
      <c r="B107" s="307"/>
      <c r="C107" s="305"/>
      <c r="D107" s="303" t="s">
        <v>69</v>
      </c>
      <c r="E107" s="287" t="str">
        <f>HYPERLINK("#LAYOUT_m1!lay중YTIM1D02","YTIM1D02")</f>
        <v>YTIM1D02</v>
      </c>
      <c r="F107" s="78">
        <v>1</v>
      </c>
      <c r="G107" s="181" t="s">
        <v>62</v>
      </c>
      <c r="H107" s="233">
        <v>0.67850804800483611</v>
      </c>
      <c r="I107" s="327"/>
      <c r="J107" s="327"/>
      <c r="K107" s="327"/>
      <c r="L107" s="233">
        <v>0.70603886049010756</v>
      </c>
      <c r="M107" s="327"/>
      <c r="N107" s="327"/>
      <c r="O107" s="327"/>
      <c r="P107" s="327"/>
    </row>
    <row r="108" spans="2:16" ht="18" customHeight="1">
      <c r="B108" s="307"/>
      <c r="C108" s="305"/>
      <c r="D108" s="305"/>
      <c r="E108" s="289"/>
      <c r="F108" s="79">
        <v>2</v>
      </c>
      <c r="G108" s="167" t="s">
        <v>63</v>
      </c>
      <c r="H108" s="234">
        <v>8.2521961266108601</v>
      </c>
      <c r="I108" s="328"/>
      <c r="J108" s="328"/>
      <c r="K108" s="328"/>
      <c r="L108" s="234">
        <v>9.7565126007770377</v>
      </c>
      <c r="M108" s="328"/>
      <c r="N108" s="328"/>
      <c r="O108" s="328"/>
      <c r="P108" s="328"/>
    </row>
    <row r="109" spans="2:16" ht="18" customHeight="1">
      <c r="B109" s="307"/>
      <c r="C109" s="305"/>
      <c r="D109" s="305"/>
      <c r="E109" s="289"/>
      <c r="F109" s="79">
        <v>3</v>
      </c>
      <c r="G109" s="167" t="s">
        <v>64</v>
      </c>
      <c r="H109" s="234">
        <v>18.142502810883403</v>
      </c>
      <c r="I109" s="328"/>
      <c r="J109" s="328"/>
      <c r="K109" s="328"/>
      <c r="L109" s="234">
        <v>19.487226318286137</v>
      </c>
      <c r="M109" s="328"/>
      <c r="N109" s="328"/>
      <c r="O109" s="328"/>
      <c r="P109" s="328"/>
    </row>
    <row r="110" spans="2:16" ht="18" customHeight="1">
      <c r="B110" s="307"/>
      <c r="C110" s="305"/>
      <c r="D110" s="305"/>
      <c r="E110" s="289"/>
      <c r="F110" s="79">
        <v>4</v>
      </c>
      <c r="G110" s="167" t="s">
        <v>65</v>
      </c>
      <c r="H110" s="234">
        <v>23.735118929111955</v>
      </c>
      <c r="I110" s="328"/>
      <c r="J110" s="328"/>
      <c r="K110" s="328"/>
      <c r="L110" s="234">
        <v>27.399610455252677</v>
      </c>
      <c r="M110" s="328"/>
      <c r="N110" s="328"/>
      <c r="O110" s="328"/>
      <c r="P110" s="328"/>
    </row>
    <row r="111" spans="2:16" ht="18" customHeight="1">
      <c r="B111" s="307"/>
      <c r="C111" s="305"/>
      <c r="D111" s="305"/>
      <c r="E111" s="289"/>
      <c r="F111" s="79">
        <v>5</v>
      </c>
      <c r="G111" s="167" t="s">
        <v>66</v>
      </c>
      <c r="H111" s="234">
        <v>19.775097149021178</v>
      </c>
      <c r="I111" s="328"/>
      <c r="J111" s="328"/>
      <c r="K111" s="328"/>
      <c r="L111" s="234">
        <v>20.575374818158849</v>
      </c>
      <c r="M111" s="328"/>
      <c r="N111" s="328"/>
      <c r="O111" s="328"/>
      <c r="P111" s="328"/>
    </row>
    <row r="112" spans="2:16" ht="18" customHeight="1">
      <c r="B112" s="307"/>
      <c r="C112" s="305"/>
      <c r="D112" s="305"/>
      <c r="E112" s="289"/>
      <c r="F112" s="79">
        <v>6</v>
      </c>
      <c r="G112" s="167" t="s">
        <v>67</v>
      </c>
      <c r="H112" s="234">
        <v>12.013085195334591</v>
      </c>
      <c r="I112" s="328"/>
      <c r="J112" s="328"/>
      <c r="K112" s="328"/>
      <c r="L112" s="234">
        <v>9.2092860389334383</v>
      </c>
      <c r="M112" s="328"/>
      <c r="N112" s="328"/>
      <c r="O112" s="328"/>
      <c r="P112" s="328"/>
    </row>
    <row r="113" spans="2:16" ht="18" customHeight="1">
      <c r="B113" s="307"/>
      <c r="C113" s="304"/>
      <c r="D113" s="304"/>
      <c r="E113" s="288"/>
      <c r="F113" s="82">
        <v>7</v>
      </c>
      <c r="G113" s="182" t="s">
        <v>68</v>
      </c>
      <c r="H113" s="235">
        <v>17.403491741033182</v>
      </c>
      <c r="I113" s="329"/>
      <c r="J113" s="329"/>
      <c r="K113" s="329"/>
      <c r="L113" s="235">
        <v>12.865950908101738</v>
      </c>
      <c r="M113" s="329"/>
      <c r="N113" s="329"/>
      <c r="O113" s="329"/>
      <c r="P113" s="329"/>
    </row>
    <row r="114" spans="2:16" ht="18" customHeight="1">
      <c r="B114" s="307"/>
      <c r="C114" s="303" t="s">
        <v>70</v>
      </c>
      <c r="D114" s="303" t="s">
        <v>61</v>
      </c>
      <c r="E114" s="287" t="str">
        <f>HYPERLINK("#LAYOUT_m1!lay중YTIM1E01","YTIM1E01")</f>
        <v>YTIM1E01</v>
      </c>
      <c r="F114" s="78">
        <v>1</v>
      </c>
      <c r="G114" s="181" t="s">
        <v>62</v>
      </c>
      <c r="H114" s="233">
        <v>16.76567125384312</v>
      </c>
      <c r="I114" s="327"/>
      <c r="J114" s="327"/>
      <c r="K114" s="327"/>
      <c r="L114" s="233">
        <v>13.505701493050262</v>
      </c>
      <c r="M114" s="327"/>
      <c r="N114" s="327"/>
      <c r="O114" s="327"/>
      <c r="P114" s="327"/>
    </row>
    <row r="115" spans="2:16" ht="18" customHeight="1">
      <c r="B115" s="307"/>
      <c r="C115" s="305"/>
      <c r="D115" s="305"/>
      <c r="E115" s="289"/>
      <c r="F115" s="79">
        <v>2</v>
      </c>
      <c r="G115" s="167" t="s">
        <v>63</v>
      </c>
      <c r="H115" s="234">
        <v>1.5998178968101662</v>
      </c>
      <c r="I115" s="328"/>
      <c r="J115" s="328"/>
      <c r="K115" s="328"/>
      <c r="L115" s="234">
        <v>2.8120680994635783</v>
      </c>
      <c r="M115" s="328"/>
      <c r="N115" s="328"/>
      <c r="O115" s="328"/>
      <c r="P115" s="328"/>
    </row>
    <row r="116" spans="2:16" ht="18" customHeight="1">
      <c r="B116" s="307"/>
      <c r="C116" s="305"/>
      <c r="D116" s="305"/>
      <c r="E116" s="289"/>
      <c r="F116" s="79">
        <v>3</v>
      </c>
      <c r="G116" s="167" t="s">
        <v>64</v>
      </c>
      <c r="H116" s="234">
        <v>3.8154795330730504</v>
      </c>
      <c r="I116" s="328"/>
      <c r="J116" s="328"/>
      <c r="K116" s="328"/>
      <c r="L116" s="234">
        <v>7.3842073261887498</v>
      </c>
      <c r="M116" s="328"/>
      <c r="N116" s="328"/>
      <c r="O116" s="328"/>
      <c r="P116" s="328"/>
    </row>
    <row r="117" spans="2:16" ht="18" customHeight="1">
      <c r="B117" s="307"/>
      <c r="C117" s="305"/>
      <c r="D117" s="305"/>
      <c r="E117" s="289"/>
      <c r="F117" s="79">
        <v>4</v>
      </c>
      <c r="G117" s="167" t="s">
        <v>65</v>
      </c>
      <c r="H117" s="234">
        <v>22.396615242070034</v>
      </c>
      <c r="I117" s="328"/>
      <c r="J117" s="328"/>
      <c r="K117" s="328"/>
      <c r="L117" s="234">
        <v>21.940780895420687</v>
      </c>
      <c r="M117" s="328"/>
      <c r="N117" s="328"/>
      <c r="O117" s="328"/>
      <c r="P117" s="328"/>
    </row>
    <row r="118" spans="2:16" ht="18" customHeight="1">
      <c r="B118" s="307"/>
      <c r="C118" s="305"/>
      <c r="D118" s="305"/>
      <c r="E118" s="289"/>
      <c r="F118" s="79">
        <v>5</v>
      </c>
      <c r="G118" s="167" t="s">
        <v>66</v>
      </c>
      <c r="H118" s="234">
        <v>30.406727628212597</v>
      </c>
      <c r="I118" s="328"/>
      <c r="J118" s="328"/>
      <c r="K118" s="328"/>
      <c r="L118" s="234">
        <v>31.325591602228997</v>
      </c>
      <c r="M118" s="328"/>
      <c r="N118" s="328"/>
      <c r="O118" s="328"/>
      <c r="P118" s="328"/>
    </row>
    <row r="119" spans="2:16" ht="18" customHeight="1">
      <c r="B119" s="307"/>
      <c r="C119" s="305"/>
      <c r="D119" s="305"/>
      <c r="E119" s="289"/>
      <c r="F119" s="79">
        <v>6</v>
      </c>
      <c r="G119" s="167" t="s">
        <v>67</v>
      </c>
      <c r="H119" s="234">
        <v>15.147600392323302</v>
      </c>
      <c r="I119" s="328"/>
      <c r="J119" s="328"/>
      <c r="K119" s="328"/>
      <c r="L119" s="234">
        <v>14.035484808127215</v>
      </c>
      <c r="M119" s="328"/>
      <c r="N119" s="328"/>
      <c r="O119" s="328"/>
      <c r="P119" s="328"/>
    </row>
    <row r="120" spans="2:16" ht="18" customHeight="1">
      <c r="B120" s="307"/>
      <c r="C120" s="305"/>
      <c r="D120" s="304"/>
      <c r="E120" s="288"/>
      <c r="F120" s="82">
        <v>7</v>
      </c>
      <c r="G120" s="182" t="s">
        <v>68</v>
      </c>
      <c r="H120" s="235">
        <v>9.8680880536677371</v>
      </c>
      <c r="I120" s="329"/>
      <c r="J120" s="329"/>
      <c r="K120" s="329"/>
      <c r="L120" s="235">
        <v>8.9961657755205255</v>
      </c>
      <c r="M120" s="329"/>
      <c r="N120" s="329"/>
      <c r="O120" s="329"/>
      <c r="P120" s="329"/>
    </row>
    <row r="121" spans="2:16" ht="18" customHeight="1">
      <c r="B121" s="307"/>
      <c r="C121" s="305"/>
      <c r="D121" s="303" t="s">
        <v>69</v>
      </c>
      <c r="E121" s="287" t="str">
        <f>HYPERLINK("#LAYOUT_m1!lay중YTIM1E02","YTIM1E02")</f>
        <v>YTIM1E02</v>
      </c>
      <c r="F121" s="78">
        <v>1</v>
      </c>
      <c r="G121" s="181" t="s">
        <v>62</v>
      </c>
      <c r="H121" s="233">
        <v>61.840382425521511</v>
      </c>
      <c r="I121" s="327"/>
      <c r="J121" s="327"/>
      <c r="K121" s="327"/>
      <c r="L121" s="233">
        <v>52.442118783676229</v>
      </c>
      <c r="M121" s="327"/>
      <c r="N121" s="327"/>
      <c r="O121" s="327"/>
      <c r="P121" s="327"/>
    </row>
    <row r="122" spans="2:16" ht="18" customHeight="1">
      <c r="B122" s="307"/>
      <c r="C122" s="305"/>
      <c r="D122" s="305"/>
      <c r="E122" s="289"/>
      <c r="F122" s="79">
        <v>2</v>
      </c>
      <c r="G122" s="167" t="s">
        <v>63</v>
      </c>
      <c r="H122" s="234">
        <v>4.7193401874093324</v>
      </c>
      <c r="I122" s="328"/>
      <c r="J122" s="328"/>
      <c r="K122" s="328"/>
      <c r="L122" s="234">
        <v>4.3108681218283254</v>
      </c>
      <c r="M122" s="328"/>
      <c r="N122" s="328"/>
      <c r="O122" s="328"/>
      <c r="P122" s="328"/>
    </row>
    <row r="123" spans="2:16" ht="18" customHeight="1">
      <c r="B123" s="307"/>
      <c r="C123" s="305"/>
      <c r="D123" s="305"/>
      <c r="E123" s="289"/>
      <c r="F123" s="79">
        <v>3</v>
      </c>
      <c r="G123" s="167" t="s">
        <v>64</v>
      </c>
      <c r="H123" s="234">
        <v>5.4884410115968247</v>
      </c>
      <c r="I123" s="328"/>
      <c r="J123" s="328"/>
      <c r="K123" s="328"/>
      <c r="L123" s="234">
        <v>7.7159405880763892</v>
      </c>
      <c r="M123" s="328"/>
      <c r="N123" s="328"/>
      <c r="O123" s="328"/>
      <c r="P123" s="328"/>
    </row>
    <row r="124" spans="2:16" ht="18" customHeight="1">
      <c r="B124" s="307"/>
      <c r="C124" s="305"/>
      <c r="D124" s="305"/>
      <c r="E124" s="289"/>
      <c r="F124" s="79">
        <v>4</v>
      </c>
      <c r="G124" s="167" t="s">
        <v>65</v>
      </c>
      <c r="H124" s="234">
        <v>11.74606578030042</v>
      </c>
      <c r="I124" s="328"/>
      <c r="J124" s="328"/>
      <c r="K124" s="328"/>
      <c r="L124" s="234">
        <v>15.326611164617702</v>
      </c>
      <c r="M124" s="328"/>
      <c r="N124" s="328"/>
      <c r="O124" s="328"/>
      <c r="P124" s="328"/>
    </row>
    <row r="125" spans="2:16" ht="18" customHeight="1">
      <c r="B125" s="307"/>
      <c r="C125" s="305"/>
      <c r="D125" s="305"/>
      <c r="E125" s="289"/>
      <c r="F125" s="79">
        <v>5</v>
      </c>
      <c r="G125" s="167" t="s">
        <v>66</v>
      </c>
      <c r="H125" s="234">
        <v>8.4633593692653424</v>
      </c>
      <c r="I125" s="328"/>
      <c r="J125" s="328"/>
      <c r="K125" s="328"/>
      <c r="L125" s="234">
        <v>12.27956163721408</v>
      </c>
      <c r="M125" s="328"/>
      <c r="N125" s="328"/>
      <c r="O125" s="328"/>
      <c r="P125" s="328"/>
    </row>
    <row r="126" spans="2:16" ht="18" customHeight="1">
      <c r="B126" s="307"/>
      <c r="C126" s="305"/>
      <c r="D126" s="305"/>
      <c r="E126" s="289"/>
      <c r="F126" s="79">
        <v>6</v>
      </c>
      <c r="G126" s="167" t="s">
        <v>67</v>
      </c>
      <c r="H126" s="234">
        <v>3.7769731137953189</v>
      </c>
      <c r="I126" s="328"/>
      <c r="J126" s="328"/>
      <c r="K126" s="328"/>
      <c r="L126" s="234">
        <v>4.0464694881496817</v>
      </c>
      <c r="M126" s="328"/>
      <c r="N126" s="328"/>
      <c r="O126" s="328"/>
      <c r="P126" s="328"/>
    </row>
    <row r="127" spans="2:16" ht="18" customHeight="1">
      <c r="B127" s="307"/>
      <c r="C127" s="304"/>
      <c r="D127" s="304"/>
      <c r="E127" s="288"/>
      <c r="F127" s="82">
        <v>7</v>
      </c>
      <c r="G127" s="182" t="s">
        <v>68</v>
      </c>
      <c r="H127" s="235">
        <v>3.9654381121112872</v>
      </c>
      <c r="I127" s="329"/>
      <c r="J127" s="329"/>
      <c r="K127" s="329"/>
      <c r="L127" s="235">
        <v>3.8784302164375872</v>
      </c>
      <c r="M127" s="329"/>
      <c r="N127" s="329"/>
      <c r="O127" s="329"/>
      <c r="P127" s="329"/>
    </row>
    <row r="128" spans="2:16" ht="18" customHeight="1">
      <c r="B128" s="307"/>
      <c r="C128" s="303" t="s">
        <v>71</v>
      </c>
      <c r="D128" s="303" t="s">
        <v>61</v>
      </c>
      <c r="E128" s="287" t="str">
        <f>HYPERLINK("#LAYOUT_m1!lay중YTIM1F01","YTIM1F01")</f>
        <v>YTIM1F01</v>
      </c>
      <c r="F128" s="78">
        <v>1</v>
      </c>
      <c r="G128" s="181" t="s">
        <v>62</v>
      </c>
      <c r="H128" s="233">
        <v>55.463923483195167</v>
      </c>
      <c r="I128" s="327"/>
      <c r="J128" s="327"/>
      <c r="K128" s="327"/>
      <c r="L128" s="233">
        <v>49.704111899867769</v>
      </c>
      <c r="M128" s="327"/>
      <c r="N128" s="327"/>
      <c r="O128" s="327"/>
      <c r="P128" s="327"/>
    </row>
    <row r="129" spans="2:16" ht="18" customHeight="1">
      <c r="B129" s="307"/>
      <c r="C129" s="305"/>
      <c r="D129" s="305"/>
      <c r="E129" s="289"/>
      <c r="F129" s="79">
        <v>2</v>
      </c>
      <c r="G129" s="167" t="s">
        <v>63</v>
      </c>
      <c r="H129" s="234">
        <v>9.5694960839332968</v>
      </c>
      <c r="I129" s="328"/>
      <c r="J129" s="328"/>
      <c r="K129" s="328"/>
      <c r="L129" s="234">
        <v>10.8842965548957</v>
      </c>
      <c r="M129" s="328"/>
      <c r="N129" s="328"/>
      <c r="O129" s="328"/>
      <c r="P129" s="328"/>
    </row>
    <row r="130" spans="2:16" ht="18" customHeight="1">
      <c r="B130" s="307"/>
      <c r="C130" s="305"/>
      <c r="D130" s="305"/>
      <c r="E130" s="289"/>
      <c r="F130" s="79">
        <v>3</v>
      </c>
      <c r="G130" s="167" t="s">
        <v>64</v>
      </c>
      <c r="H130" s="234">
        <v>11.50953498330999</v>
      </c>
      <c r="I130" s="328"/>
      <c r="J130" s="328"/>
      <c r="K130" s="328"/>
      <c r="L130" s="234">
        <v>13.835942555693654</v>
      </c>
      <c r="M130" s="328"/>
      <c r="N130" s="328"/>
      <c r="O130" s="328"/>
      <c r="P130" s="328"/>
    </row>
    <row r="131" spans="2:16" ht="18" customHeight="1">
      <c r="B131" s="307"/>
      <c r="C131" s="305"/>
      <c r="D131" s="305"/>
      <c r="E131" s="289"/>
      <c r="F131" s="79">
        <v>4</v>
      </c>
      <c r="G131" s="167" t="s">
        <v>65</v>
      </c>
      <c r="H131" s="234">
        <v>13.426500647090281</v>
      </c>
      <c r="I131" s="328"/>
      <c r="J131" s="328"/>
      <c r="K131" s="328"/>
      <c r="L131" s="234">
        <v>15.894019388689324</v>
      </c>
      <c r="M131" s="328"/>
      <c r="N131" s="328"/>
      <c r="O131" s="328"/>
      <c r="P131" s="328"/>
    </row>
    <row r="132" spans="2:16" ht="18" customHeight="1">
      <c r="B132" s="307"/>
      <c r="C132" s="305"/>
      <c r="D132" s="305"/>
      <c r="E132" s="289"/>
      <c r="F132" s="79">
        <v>5</v>
      </c>
      <c r="G132" s="167" t="s">
        <v>66</v>
      </c>
      <c r="H132" s="234">
        <v>6.523690510831428</v>
      </c>
      <c r="I132" s="328"/>
      <c r="J132" s="328"/>
      <c r="K132" s="328"/>
      <c r="L132" s="234">
        <v>7.0070484765947203</v>
      </c>
      <c r="M132" s="328"/>
      <c r="N132" s="328"/>
      <c r="O132" s="328"/>
      <c r="P132" s="328"/>
    </row>
    <row r="133" spans="2:16" ht="18" customHeight="1">
      <c r="B133" s="307"/>
      <c r="C133" s="305"/>
      <c r="D133" s="305"/>
      <c r="E133" s="289"/>
      <c r="F133" s="79">
        <v>6</v>
      </c>
      <c r="G133" s="167" t="s">
        <v>67</v>
      </c>
      <c r="H133" s="234">
        <v>1.4768773943189026</v>
      </c>
      <c r="I133" s="328"/>
      <c r="J133" s="328"/>
      <c r="K133" s="328"/>
      <c r="L133" s="234">
        <v>1.6390803023013449</v>
      </c>
      <c r="M133" s="328"/>
      <c r="N133" s="328"/>
      <c r="O133" s="328"/>
      <c r="P133" s="328"/>
    </row>
    <row r="134" spans="2:16" ht="18" customHeight="1">
      <c r="B134" s="307"/>
      <c r="C134" s="305"/>
      <c r="D134" s="304"/>
      <c r="E134" s="288"/>
      <c r="F134" s="82">
        <v>7</v>
      </c>
      <c r="G134" s="182" t="s">
        <v>68</v>
      </c>
      <c r="H134" s="235">
        <v>2.0299768973209753</v>
      </c>
      <c r="I134" s="329"/>
      <c r="J134" s="329"/>
      <c r="K134" s="329"/>
      <c r="L134" s="235">
        <v>1.0355008219574799</v>
      </c>
      <c r="M134" s="329"/>
      <c r="N134" s="329"/>
      <c r="O134" s="329"/>
      <c r="P134" s="329"/>
    </row>
    <row r="135" spans="2:16" ht="18" customHeight="1">
      <c r="B135" s="307"/>
      <c r="C135" s="305"/>
      <c r="D135" s="303" t="s">
        <v>69</v>
      </c>
      <c r="E135" s="287" t="str">
        <f>HYPERLINK("#LAYOUT_m1!lay중YTIM1F02","YTIM1F02")</f>
        <v>YTIM1F02</v>
      </c>
      <c r="F135" s="78">
        <v>1</v>
      </c>
      <c r="G135" s="181" t="s">
        <v>62</v>
      </c>
      <c r="H135" s="233">
        <v>60.04181186719314</v>
      </c>
      <c r="I135" s="327"/>
      <c r="J135" s="327"/>
      <c r="K135" s="327"/>
      <c r="L135" s="233">
        <v>54.78221305972594</v>
      </c>
      <c r="M135" s="327"/>
      <c r="N135" s="327"/>
      <c r="O135" s="327"/>
      <c r="P135" s="327"/>
    </row>
    <row r="136" spans="2:16" ht="18" customHeight="1">
      <c r="B136" s="307"/>
      <c r="C136" s="305"/>
      <c r="D136" s="305"/>
      <c r="E136" s="289"/>
      <c r="F136" s="79">
        <v>2</v>
      </c>
      <c r="G136" s="167" t="s">
        <v>63</v>
      </c>
      <c r="H136" s="234">
        <v>7.6006993086365027</v>
      </c>
      <c r="I136" s="328"/>
      <c r="J136" s="328"/>
      <c r="K136" s="328"/>
      <c r="L136" s="234">
        <v>8.439021611263934</v>
      </c>
      <c r="M136" s="328"/>
      <c r="N136" s="328"/>
      <c r="O136" s="328"/>
      <c r="P136" s="328"/>
    </row>
    <row r="137" spans="2:16" ht="18" customHeight="1">
      <c r="B137" s="307"/>
      <c r="C137" s="305"/>
      <c r="D137" s="305"/>
      <c r="E137" s="289"/>
      <c r="F137" s="79">
        <v>3</v>
      </c>
      <c r="G137" s="167" t="s">
        <v>64</v>
      </c>
      <c r="H137" s="234">
        <v>8.3379421688535658</v>
      </c>
      <c r="I137" s="328"/>
      <c r="J137" s="328"/>
      <c r="K137" s="328"/>
      <c r="L137" s="234">
        <v>10.773302274415345</v>
      </c>
      <c r="M137" s="328"/>
      <c r="N137" s="328"/>
      <c r="O137" s="328"/>
      <c r="P137" s="328"/>
    </row>
    <row r="138" spans="2:16" ht="18" customHeight="1">
      <c r="B138" s="307"/>
      <c r="C138" s="305"/>
      <c r="D138" s="305"/>
      <c r="E138" s="289"/>
      <c r="F138" s="79">
        <v>4</v>
      </c>
      <c r="G138" s="167" t="s">
        <v>65</v>
      </c>
      <c r="H138" s="234">
        <v>8.5591141256221484</v>
      </c>
      <c r="I138" s="328"/>
      <c r="J138" s="328"/>
      <c r="K138" s="328"/>
      <c r="L138" s="234">
        <v>11.048303932788849</v>
      </c>
      <c r="M138" s="328"/>
      <c r="N138" s="328"/>
      <c r="O138" s="328"/>
      <c r="P138" s="328"/>
    </row>
    <row r="139" spans="2:16" ht="18" customHeight="1">
      <c r="B139" s="307"/>
      <c r="C139" s="305"/>
      <c r="D139" s="305"/>
      <c r="E139" s="289"/>
      <c r="F139" s="79">
        <v>5</v>
      </c>
      <c r="G139" s="167" t="s">
        <v>66</v>
      </c>
      <c r="H139" s="234">
        <v>6.9892119918520521</v>
      </c>
      <c r="I139" s="328"/>
      <c r="J139" s="328"/>
      <c r="K139" s="328"/>
      <c r="L139" s="234">
        <v>8.6826111111719353</v>
      </c>
      <c r="M139" s="328"/>
      <c r="N139" s="328"/>
      <c r="O139" s="328"/>
      <c r="P139" s="328"/>
    </row>
    <row r="140" spans="2:16" ht="18" customHeight="1">
      <c r="B140" s="307"/>
      <c r="C140" s="305"/>
      <c r="D140" s="305"/>
      <c r="E140" s="289"/>
      <c r="F140" s="79">
        <v>6</v>
      </c>
      <c r="G140" s="167" t="s">
        <v>67</v>
      </c>
      <c r="H140" s="234">
        <v>4.4114701869039754</v>
      </c>
      <c r="I140" s="328"/>
      <c r="J140" s="328"/>
      <c r="K140" s="328"/>
      <c r="L140" s="234">
        <v>3.6376794564117434</v>
      </c>
      <c r="M140" s="328"/>
      <c r="N140" s="328"/>
      <c r="O140" s="328"/>
      <c r="P140" s="328"/>
    </row>
    <row r="141" spans="2:16" ht="18" customHeight="1">
      <c r="B141" s="307"/>
      <c r="C141" s="304"/>
      <c r="D141" s="304"/>
      <c r="E141" s="288"/>
      <c r="F141" s="82">
        <v>7</v>
      </c>
      <c r="G141" s="182" t="s">
        <v>68</v>
      </c>
      <c r="H141" s="235">
        <v>4.0597503509385824</v>
      </c>
      <c r="I141" s="329"/>
      <c r="J141" s="329"/>
      <c r="K141" s="329"/>
      <c r="L141" s="235">
        <v>2.6368685542222532</v>
      </c>
      <c r="M141" s="329"/>
      <c r="N141" s="329"/>
      <c r="O141" s="329"/>
      <c r="P141" s="329"/>
    </row>
    <row r="142" spans="2:16" ht="18" customHeight="1">
      <c r="B142" s="307"/>
      <c r="C142" s="303" t="s">
        <v>72</v>
      </c>
      <c r="D142" s="303" t="s">
        <v>61</v>
      </c>
      <c r="E142" s="287" t="str">
        <f>HYPERLINK("#LAYOUT_m1!lay중YTIM1G01","YTIM1G01")</f>
        <v>YTIM1G01</v>
      </c>
      <c r="F142" s="78">
        <v>1</v>
      </c>
      <c r="G142" s="181" t="s">
        <v>62</v>
      </c>
      <c r="H142" s="233">
        <v>72.48643709652174</v>
      </c>
      <c r="I142" s="327"/>
      <c r="J142" s="327"/>
      <c r="K142" s="327"/>
      <c r="L142" s="233">
        <v>68.765169332931649</v>
      </c>
      <c r="M142" s="327"/>
      <c r="N142" s="327"/>
      <c r="O142" s="327"/>
      <c r="P142" s="327"/>
    </row>
    <row r="143" spans="2:16" ht="18" customHeight="1">
      <c r="B143" s="307"/>
      <c r="C143" s="305"/>
      <c r="D143" s="305"/>
      <c r="E143" s="289"/>
      <c r="F143" s="79">
        <v>2</v>
      </c>
      <c r="G143" s="167" t="s">
        <v>63</v>
      </c>
      <c r="H143" s="234">
        <v>2.5033733561540035</v>
      </c>
      <c r="I143" s="328"/>
      <c r="J143" s="328"/>
      <c r="K143" s="328"/>
      <c r="L143" s="234">
        <v>4.6633796100502005</v>
      </c>
      <c r="M143" s="328"/>
      <c r="N143" s="328"/>
      <c r="O143" s="328"/>
      <c r="P143" s="328"/>
    </row>
    <row r="144" spans="2:16" ht="18" customHeight="1">
      <c r="B144" s="307"/>
      <c r="C144" s="305"/>
      <c r="D144" s="305"/>
      <c r="E144" s="289"/>
      <c r="F144" s="79">
        <v>3</v>
      </c>
      <c r="G144" s="167" t="s">
        <v>64</v>
      </c>
      <c r="H144" s="234">
        <v>7.122171374099822</v>
      </c>
      <c r="I144" s="328"/>
      <c r="J144" s="328"/>
      <c r="K144" s="328"/>
      <c r="L144" s="234">
        <v>8.6918040665926384</v>
      </c>
      <c r="M144" s="328"/>
      <c r="N144" s="328"/>
      <c r="O144" s="328"/>
      <c r="P144" s="328"/>
    </row>
    <row r="145" spans="2:16" ht="18" customHeight="1">
      <c r="B145" s="307"/>
      <c r="C145" s="305"/>
      <c r="D145" s="305"/>
      <c r="E145" s="289"/>
      <c r="F145" s="79">
        <v>4</v>
      </c>
      <c r="G145" s="167" t="s">
        <v>65</v>
      </c>
      <c r="H145" s="234">
        <v>11.571748023605119</v>
      </c>
      <c r="I145" s="328"/>
      <c r="J145" s="328"/>
      <c r="K145" s="328"/>
      <c r="L145" s="234">
        <v>10.394724085562586</v>
      </c>
      <c r="M145" s="328"/>
      <c r="N145" s="328"/>
      <c r="O145" s="328"/>
      <c r="P145" s="328"/>
    </row>
    <row r="146" spans="2:16" ht="18" customHeight="1">
      <c r="B146" s="307"/>
      <c r="C146" s="305"/>
      <c r="D146" s="305"/>
      <c r="E146" s="289"/>
      <c r="F146" s="79">
        <v>5</v>
      </c>
      <c r="G146" s="167" t="s">
        <v>66</v>
      </c>
      <c r="H146" s="234">
        <v>4.1846277101573692</v>
      </c>
      <c r="I146" s="328"/>
      <c r="J146" s="328"/>
      <c r="K146" s="328"/>
      <c r="L146" s="234">
        <v>5.2762888519207287</v>
      </c>
      <c r="M146" s="328"/>
      <c r="N146" s="328"/>
      <c r="O146" s="328"/>
      <c r="P146" s="328"/>
    </row>
    <row r="147" spans="2:16" ht="18" customHeight="1">
      <c r="B147" s="307"/>
      <c r="C147" s="305"/>
      <c r="D147" s="305"/>
      <c r="E147" s="289"/>
      <c r="F147" s="79">
        <v>6</v>
      </c>
      <c r="G147" s="167" t="s">
        <v>67</v>
      </c>
      <c r="H147" s="234">
        <v>0.73731046484243024</v>
      </c>
      <c r="I147" s="328"/>
      <c r="J147" s="328"/>
      <c r="K147" s="328"/>
      <c r="L147" s="234">
        <v>1.7248931231264963</v>
      </c>
      <c r="M147" s="328"/>
      <c r="N147" s="328"/>
      <c r="O147" s="328"/>
      <c r="P147" s="328"/>
    </row>
    <row r="148" spans="2:16" ht="18" customHeight="1">
      <c r="B148" s="307"/>
      <c r="C148" s="305"/>
      <c r="D148" s="304"/>
      <c r="E148" s="288"/>
      <c r="F148" s="82">
        <v>7</v>
      </c>
      <c r="G148" s="182" t="s">
        <v>68</v>
      </c>
      <c r="H148" s="235">
        <v>1.3943319746194764</v>
      </c>
      <c r="I148" s="329"/>
      <c r="J148" s="329"/>
      <c r="K148" s="329"/>
      <c r="L148" s="235">
        <v>0.48374092981568756</v>
      </c>
      <c r="M148" s="329"/>
      <c r="N148" s="329"/>
      <c r="O148" s="329"/>
      <c r="P148" s="329"/>
    </row>
    <row r="149" spans="2:16" ht="18" customHeight="1">
      <c r="B149" s="307"/>
      <c r="C149" s="305"/>
      <c r="D149" s="303" t="s">
        <v>69</v>
      </c>
      <c r="E149" s="287" t="str">
        <f>HYPERLINK("#LAYOUT_m1!lay중YTIM1G02","YTIM1G02")</f>
        <v>YTIM1G02</v>
      </c>
      <c r="F149" s="78">
        <v>1</v>
      </c>
      <c r="G149" s="181" t="s">
        <v>62</v>
      </c>
      <c r="H149" s="233">
        <v>89.643890511008749</v>
      </c>
      <c r="I149" s="327"/>
      <c r="J149" s="327"/>
      <c r="K149" s="327"/>
      <c r="L149" s="233">
        <v>85.695440997055513</v>
      </c>
      <c r="M149" s="327"/>
      <c r="N149" s="327"/>
      <c r="O149" s="327"/>
      <c r="P149" s="327"/>
    </row>
    <row r="150" spans="2:16" ht="18" customHeight="1">
      <c r="B150" s="307"/>
      <c r="C150" s="305"/>
      <c r="D150" s="305"/>
      <c r="E150" s="289"/>
      <c r="F150" s="79">
        <v>2</v>
      </c>
      <c r="G150" s="167" t="s">
        <v>63</v>
      </c>
      <c r="H150" s="234">
        <v>1.9645560246211231</v>
      </c>
      <c r="I150" s="328"/>
      <c r="J150" s="328"/>
      <c r="K150" s="328"/>
      <c r="L150" s="234">
        <v>2.9793331229764606</v>
      </c>
      <c r="M150" s="328"/>
      <c r="N150" s="328"/>
      <c r="O150" s="328"/>
      <c r="P150" s="328"/>
    </row>
    <row r="151" spans="2:16" ht="18" customHeight="1">
      <c r="B151" s="307"/>
      <c r="C151" s="305"/>
      <c r="D151" s="305"/>
      <c r="E151" s="289"/>
      <c r="F151" s="79">
        <v>3</v>
      </c>
      <c r="G151" s="167" t="s">
        <v>64</v>
      </c>
      <c r="H151" s="234">
        <v>1.8630149662773405</v>
      </c>
      <c r="I151" s="328"/>
      <c r="J151" s="328"/>
      <c r="K151" s="328"/>
      <c r="L151" s="234">
        <v>2.6477929825679682</v>
      </c>
      <c r="M151" s="328"/>
      <c r="N151" s="328"/>
      <c r="O151" s="328"/>
      <c r="P151" s="328"/>
    </row>
    <row r="152" spans="2:16" ht="18" customHeight="1">
      <c r="B152" s="307"/>
      <c r="C152" s="305"/>
      <c r="D152" s="305"/>
      <c r="E152" s="289"/>
      <c r="F152" s="79">
        <v>4</v>
      </c>
      <c r="G152" s="167" t="s">
        <v>65</v>
      </c>
      <c r="H152" s="234">
        <v>2.8674078537506498</v>
      </c>
      <c r="I152" s="328"/>
      <c r="J152" s="328"/>
      <c r="K152" s="328"/>
      <c r="L152" s="234">
        <v>4.2688669366716621</v>
      </c>
      <c r="M152" s="328"/>
      <c r="N152" s="328"/>
      <c r="O152" s="328"/>
      <c r="P152" s="328"/>
    </row>
    <row r="153" spans="2:16" ht="18" customHeight="1">
      <c r="B153" s="307"/>
      <c r="C153" s="305"/>
      <c r="D153" s="305"/>
      <c r="E153" s="289"/>
      <c r="F153" s="79">
        <v>5</v>
      </c>
      <c r="G153" s="167" t="s">
        <v>66</v>
      </c>
      <c r="H153" s="234">
        <v>1.7934773113285254</v>
      </c>
      <c r="I153" s="328"/>
      <c r="J153" s="328"/>
      <c r="K153" s="328"/>
      <c r="L153" s="234">
        <v>3.0023394827456742</v>
      </c>
      <c r="M153" s="328"/>
      <c r="N153" s="328"/>
      <c r="O153" s="328"/>
      <c r="P153" s="328"/>
    </row>
    <row r="154" spans="2:16" ht="18" customHeight="1">
      <c r="B154" s="307"/>
      <c r="C154" s="305"/>
      <c r="D154" s="305"/>
      <c r="E154" s="289"/>
      <c r="F154" s="79">
        <v>6</v>
      </c>
      <c r="G154" s="167" t="s">
        <v>67</v>
      </c>
      <c r="H154" s="234">
        <v>0.4488071491530527</v>
      </c>
      <c r="I154" s="328"/>
      <c r="J154" s="328"/>
      <c r="K154" s="328"/>
      <c r="L154" s="234">
        <v>0.98316152622952113</v>
      </c>
      <c r="M154" s="328"/>
      <c r="N154" s="328"/>
      <c r="O154" s="328"/>
      <c r="P154" s="328"/>
    </row>
    <row r="155" spans="2:16" ht="18" customHeight="1">
      <c r="B155" s="307"/>
      <c r="C155" s="304"/>
      <c r="D155" s="304"/>
      <c r="E155" s="288"/>
      <c r="F155" s="82">
        <v>7</v>
      </c>
      <c r="G155" s="182" t="s">
        <v>68</v>
      </c>
      <c r="H155" s="235">
        <v>1.4188461838606017</v>
      </c>
      <c r="I155" s="329"/>
      <c r="J155" s="329"/>
      <c r="K155" s="329"/>
      <c r="L155" s="235">
        <v>0.42306495175319486</v>
      </c>
      <c r="M155" s="329"/>
      <c r="N155" s="329"/>
      <c r="O155" s="329"/>
      <c r="P155" s="329"/>
    </row>
    <row r="156" spans="2:16" ht="18" customHeight="1">
      <c r="B156" s="307"/>
      <c r="C156" s="303" t="s">
        <v>73</v>
      </c>
      <c r="D156" s="303" t="s">
        <v>61</v>
      </c>
      <c r="E156" s="287" t="str">
        <f>HYPERLINK("#LAYOUT_m1!lay중YTIM1H01","YTIM1H01")</f>
        <v>YTIM1H01</v>
      </c>
      <c r="F156" s="78">
        <v>1</v>
      </c>
      <c r="G156" s="181" t="s">
        <v>62</v>
      </c>
      <c r="H156" s="233">
        <v>7.5589267659005941</v>
      </c>
      <c r="I156" s="327"/>
      <c r="J156" s="327"/>
      <c r="K156" s="327"/>
      <c r="L156" s="233">
        <v>5.8282820887644124</v>
      </c>
      <c r="M156" s="327"/>
      <c r="N156" s="327"/>
      <c r="O156" s="327"/>
      <c r="P156" s="327"/>
    </row>
    <row r="157" spans="2:16" ht="18" customHeight="1">
      <c r="B157" s="307"/>
      <c r="C157" s="305"/>
      <c r="D157" s="305"/>
      <c r="E157" s="289"/>
      <c r="F157" s="79">
        <v>2</v>
      </c>
      <c r="G157" s="167" t="s">
        <v>63</v>
      </c>
      <c r="H157" s="234">
        <v>14.971209466170253</v>
      </c>
      <c r="I157" s="328"/>
      <c r="J157" s="328"/>
      <c r="K157" s="328"/>
      <c r="L157" s="234">
        <v>13.35459067043592</v>
      </c>
      <c r="M157" s="328"/>
      <c r="N157" s="328"/>
      <c r="O157" s="328"/>
      <c r="P157" s="328"/>
    </row>
    <row r="158" spans="2:16" ht="18" customHeight="1">
      <c r="B158" s="307"/>
      <c r="C158" s="305"/>
      <c r="D158" s="305"/>
      <c r="E158" s="289"/>
      <c r="F158" s="79">
        <v>3</v>
      </c>
      <c r="G158" s="167" t="s">
        <v>64</v>
      </c>
      <c r="H158" s="234">
        <v>27.409148955959861</v>
      </c>
      <c r="I158" s="328"/>
      <c r="J158" s="328"/>
      <c r="K158" s="328"/>
      <c r="L158" s="234">
        <v>27.618042862691286</v>
      </c>
      <c r="M158" s="328"/>
      <c r="N158" s="328"/>
      <c r="O158" s="328"/>
      <c r="P158" s="328"/>
    </row>
    <row r="159" spans="2:16" ht="18" customHeight="1">
      <c r="B159" s="307"/>
      <c r="C159" s="305"/>
      <c r="D159" s="305"/>
      <c r="E159" s="289"/>
      <c r="F159" s="79">
        <v>4</v>
      </c>
      <c r="G159" s="167" t="s">
        <v>65</v>
      </c>
      <c r="H159" s="234">
        <v>26.755153630637967</v>
      </c>
      <c r="I159" s="328"/>
      <c r="J159" s="328"/>
      <c r="K159" s="328"/>
      <c r="L159" s="234">
        <v>30.843162681205005</v>
      </c>
      <c r="M159" s="328"/>
      <c r="N159" s="328"/>
      <c r="O159" s="328"/>
      <c r="P159" s="328"/>
    </row>
    <row r="160" spans="2:16" ht="18" customHeight="1">
      <c r="B160" s="307"/>
      <c r="C160" s="305"/>
      <c r="D160" s="305"/>
      <c r="E160" s="289"/>
      <c r="F160" s="79">
        <v>5</v>
      </c>
      <c r="G160" s="167" t="s">
        <v>66</v>
      </c>
      <c r="H160" s="234">
        <v>13.623820583399569</v>
      </c>
      <c r="I160" s="328"/>
      <c r="J160" s="328"/>
      <c r="K160" s="328"/>
      <c r="L160" s="234">
        <v>14.396579180036222</v>
      </c>
      <c r="M160" s="328"/>
      <c r="N160" s="328"/>
      <c r="O160" s="328"/>
      <c r="P160" s="328"/>
    </row>
    <row r="161" spans="2:16" ht="18" customHeight="1">
      <c r="B161" s="307"/>
      <c r="C161" s="305"/>
      <c r="D161" s="305"/>
      <c r="E161" s="289"/>
      <c r="F161" s="79">
        <v>6</v>
      </c>
      <c r="G161" s="167" t="s">
        <v>67</v>
      </c>
      <c r="H161" s="234">
        <v>4.2112312918989536</v>
      </c>
      <c r="I161" s="328"/>
      <c r="J161" s="328"/>
      <c r="K161" s="328"/>
      <c r="L161" s="234">
        <v>3.8019916110932197</v>
      </c>
      <c r="M161" s="328"/>
      <c r="N161" s="328"/>
      <c r="O161" s="328"/>
      <c r="P161" s="328"/>
    </row>
    <row r="162" spans="2:16" ht="18" customHeight="1">
      <c r="B162" s="307"/>
      <c r="C162" s="305"/>
      <c r="D162" s="304"/>
      <c r="E162" s="288"/>
      <c r="F162" s="82">
        <v>7</v>
      </c>
      <c r="G162" s="182" t="s">
        <v>68</v>
      </c>
      <c r="H162" s="235">
        <v>5.4705093060328203</v>
      </c>
      <c r="I162" s="329"/>
      <c r="J162" s="329"/>
      <c r="K162" s="329"/>
      <c r="L162" s="235">
        <v>4.157350905773928</v>
      </c>
      <c r="M162" s="329"/>
      <c r="N162" s="329"/>
      <c r="O162" s="329"/>
      <c r="P162" s="329"/>
    </row>
    <row r="163" spans="2:16" ht="18" customHeight="1">
      <c r="B163" s="307"/>
      <c r="C163" s="305"/>
      <c r="D163" s="303" t="s">
        <v>69</v>
      </c>
      <c r="E163" s="287" t="str">
        <f>HYPERLINK("#LAYOUT_m1!lay중YTIM1H02","YTIM1H02")</f>
        <v>YTIM1H02</v>
      </c>
      <c r="F163" s="78">
        <v>1</v>
      </c>
      <c r="G163" s="181" t="s">
        <v>62</v>
      </c>
      <c r="H163" s="233">
        <v>19.779263814408623</v>
      </c>
      <c r="I163" s="327"/>
      <c r="J163" s="327"/>
      <c r="K163" s="327"/>
      <c r="L163" s="233">
        <v>12.980088494061551</v>
      </c>
      <c r="M163" s="327"/>
      <c r="N163" s="327"/>
      <c r="O163" s="327"/>
      <c r="P163" s="327"/>
    </row>
    <row r="164" spans="2:16" ht="18" customHeight="1">
      <c r="B164" s="307"/>
      <c r="C164" s="305"/>
      <c r="D164" s="305"/>
      <c r="E164" s="289"/>
      <c r="F164" s="79">
        <v>2</v>
      </c>
      <c r="G164" s="167" t="s">
        <v>63</v>
      </c>
      <c r="H164" s="234">
        <v>18.349464226004642</v>
      </c>
      <c r="I164" s="328"/>
      <c r="J164" s="328"/>
      <c r="K164" s="328"/>
      <c r="L164" s="234">
        <v>13.58501206225</v>
      </c>
      <c r="M164" s="328"/>
      <c r="N164" s="328"/>
      <c r="O164" s="328"/>
      <c r="P164" s="328"/>
    </row>
    <row r="165" spans="2:16" ht="18" customHeight="1">
      <c r="B165" s="307"/>
      <c r="C165" s="305"/>
      <c r="D165" s="305"/>
      <c r="E165" s="289"/>
      <c r="F165" s="79">
        <v>3</v>
      </c>
      <c r="G165" s="167" t="s">
        <v>64</v>
      </c>
      <c r="H165" s="234">
        <v>20.795519270242725</v>
      </c>
      <c r="I165" s="328"/>
      <c r="J165" s="328"/>
      <c r="K165" s="328"/>
      <c r="L165" s="234">
        <v>23.324591619769045</v>
      </c>
      <c r="M165" s="328"/>
      <c r="N165" s="328"/>
      <c r="O165" s="328"/>
      <c r="P165" s="328"/>
    </row>
    <row r="166" spans="2:16" ht="18" customHeight="1">
      <c r="B166" s="307"/>
      <c r="C166" s="305"/>
      <c r="D166" s="305"/>
      <c r="E166" s="289"/>
      <c r="F166" s="79">
        <v>4</v>
      </c>
      <c r="G166" s="167" t="s">
        <v>65</v>
      </c>
      <c r="H166" s="234">
        <v>20.671571211579213</v>
      </c>
      <c r="I166" s="328"/>
      <c r="J166" s="328"/>
      <c r="K166" s="328"/>
      <c r="L166" s="234">
        <v>24.776510336180497</v>
      </c>
      <c r="M166" s="328"/>
      <c r="N166" s="328"/>
      <c r="O166" s="328"/>
      <c r="P166" s="328"/>
    </row>
    <row r="167" spans="2:16" ht="18" customHeight="1">
      <c r="B167" s="307"/>
      <c r="C167" s="305"/>
      <c r="D167" s="305"/>
      <c r="E167" s="289"/>
      <c r="F167" s="79">
        <v>5</v>
      </c>
      <c r="G167" s="167" t="s">
        <v>66</v>
      </c>
      <c r="H167" s="234">
        <v>12.415645162389918</v>
      </c>
      <c r="I167" s="328"/>
      <c r="J167" s="328"/>
      <c r="K167" s="328"/>
      <c r="L167" s="234">
        <v>15.837537582311162</v>
      </c>
      <c r="M167" s="328"/>
      <c r="N167" s="328"/>
      <c r="O167" s="328"/>
      <c r="P167" s="328"/>
    </row>
    <row r="168" spans="2:16" ht="18" customHeight="1">
      <c r="B168" s="307"/>
      <c r="C168" s="305"/>
      <c r="D168" s="305"/>
      <c r="E168" s="289"/>
      <c r="F168" s="79">
        <v>6</v>
      </c>
      <c r="G168" s="167" t="s">
        <v>67</v>
      </c>
      <c r="H168" s="234">
        <v>4.0545814452935245</v>
      </c>
      <c r="I168" s="328"/>
      <c r="J168" s="328"/>
      <c r="K168" s="328"/>
      <c r="L168" s="234">
        <v>4.5227800372799223</v>
      </c>
      <c r="M168" s="328"/>
      <c r="N168" s="328"/>
      <c r="O168" s="328"/>
      <c r="P168" s="328"/>
    </row>
    <row r="169" spans="2:16" ht="18" customHeight="1">
      <c r="B169" s="307"/>
      <c r="C169" s="304"/>
      <c r="D169" s="304"/>
      <c r="E169" s="288"/>
      <c r="F169" s="82">
        <v>7</v>
      </c>
      <c r="G169" s="182" t="s">
        <v>68</v>
      </c>
      <c r="H169" s="235">
        <v>3.9339548700813567</v>
      </c>
      <c r="I169" s="329"/>
      <c r="J169" s="329"/>
      <c r="K169" s="329"/>
      <c r="L169" s="235">
        <v>4.9734798681478338</v>
      </c>
      <c r="M169" s="329"/>
      <c r="N169" s="329"/>
      <c r="O169" s="329"/>
      <c r="P169" s="329"/>
    </row>
    <row r="170" spans="2:16" ht="18" customHeight="1">
      <c r="B170" s="307"/>
      <c r="C170" s="303" t="s">
        <v>74</v>
      </c>
      <c r="D170" s="303" t="s">
        <v>61</v>
      </c>
      <c r="E170" s="287" t="str">
        <f>HYPERLINK("#LAYOUT_m1!lay중YTIM1I01","YTIM1I01")</f>
        <v>YTIM1I01</v>
      </c>
      <c r="F170" s="78">
        <v>1</v>
      </c>
      <c r="G170" s="181" t="s">
        <v>62</v>
      </c>
      <c r="H170" s="233">
        <v>25.467330559762338</v>
      </c>
      <c r="I170" s="327"/>
      <c r="J170" s="327"/>
      <c r="K170" s="327"/>
      <c r="L170" s="233">
        <v>27.516771288596818</v>
      </c>
      <c r="M170" s="327"/>
      <c r="N170" s="327"/>
      <c r="O170" s="327"/>
      <c r="P170" s="327"/>
    </row>
    <row r="171" spans="2:16" ht="18" customHeight="1">
      <c r="B171" s="307"/>
      <c r="C171" s="305"/>
      <c r="D171" s="305"/>
      <c r="E171" s="289"/>
      <c r="F171" s="79">
        <v>2</v>
      </c>
      <c r="G171" s="167" t="s">
        <v>63</v>
      </c>
      <c r="H171" s="234">
        <v>31.997530461335444</v>
      </c>
      <c r="I171" s="328"/>
      <c r="J171" s="328"/>
      <c r="K171" s="328"/>
      <c r="L171" s="234">
        <v>32.338826263243675</v>
      </c>
      <c r="M171" s="328"/>
      <c r="N171" s="328"/>
      <c r="O171" s="328"/>
      <c r="P171" s="328"/>
    </row>
    <row r="172" spans="2:16" ht="18" customHeight="1">
      <c r="B172" s="307"/>
      <c r="C172" s="305"/>
      <c r="D172" s="305"/>
      <c r="E172" s="289"/>
      <c r="F172" s="79">
        <v>3</v>
      </c>
      <c r="G172" s="167" t="s">
        <v>64</v>
      </c>
      <c r="H172" s="234">
        <v>23.866190152963902</v>
      </c>
      <c r="I172" s="328"/>
      <c r="J172" s="328"/>
      <c r="K172" s="328"/>
      <c r="L172" s="234">
        <v>22.338638054694997</v>
      </c>
      <c r="M172" s="328"/>
      <c r="N172" s="328"/>
      <c r="O172" s="328"/>
      <c r="P172" s="328"/>
    </row>
    <row r="173" spans="2:16" ht="18" customHeight="1">
      <c r="B173" s="307"/>
      <c r="C173" s="305"/>
      <c r="D173" s="305"/>
      <c r="E173" s="289"/>
      <c r="F173" s="79">
        <v>4</v>
      </c>
      <c r="G173" s="167" t="s">
        <v>65</v>
      </c>
      <c r="H173" s="234">
        <v>12.577316654528738</v>
      </c>
      <c r="I173" s="328"/>
      <c r="J173" s="328"/>
      <c r="K173" s="328"/>
      <c r="L173" s="234">
        <v>11.554684409168512</v>
      </c>
      <c r="M173" s="328"/>
      <c r="N173" s="328"/>
      <c r="O173" s="328"/>
      <c r="P173" s="328"/>
    </row>
    <row r="174" spans="2:16" ht="18" customHeight="1">
      <c r="B174" s="307"/>
      <c r="C174" s="305"/>
      <c r="D174" s="305"/>
      <c r="E174" s="289"/>
      <c r="F174" s="79">
        <v>5</v>
      </c>
      <c r="G174" s="167" t="s">
        <v>66</v>
      </c>
      <c r="H174" s="234">
        <v>3.54015643081858</v>
      </c>
      <c r="I174" s="328"/>
      <c r="J174" s="328"/>
      <c r="K174" s="328"/>
      <c r="L174" s="234">
        <v>4.2884833135630132</v>
      </c>
      <c r="M174" s="328"/>
      <c r="N174" s="328"/>
      <c r="O174" s="328"/>
      <c r="P174" s="328"/>
    </row>
    <row r="175" spans="2:16" ht="18" customHeight="1">
      <c r="B175" s="307"/>
      <c r="C175" s="305"/>
      <c r="D175" s="305"/>
      <c r="E175" s="289"/>
      <c r="F175" s="79">
        <v>6</v>
      </c>
      <c r="G175" s="167" t="s">
        <v>67</v>
      </c>
      <c r="H175" s="234">
        <v>1.4055383153008683</v>
      </c>
      <c r="I175" s="328"/>
      <c r="J175" s="328"/>
      <c r="K175" s="328"/>
      <c r="L175" s="234">
        <v>0.89192732156762777</v>
      </c>
      <c r="M175" s="328"/>
      <c r="N175" s="328"/>
      <c r="O175" s="328"/>
      <c r="P175" s="328"/>
    </row>
    <row r="176" spans="2:16" ht="18" customHeight="1">
      <c r="B176" s="307"/>
      <c r="C176" s="305"/>
      <c r="D176" s="304"/>
      <c r="E176" s="288"/>
      <c r="F176" s="82">
        <v>7</v>
      </c>
      <c r="G176" s="182" t="s">
        <v>68</v>
      </c>
      <c r="H176" s="235">
        <v>1.1459374252901373</v>
      </c>
      <c r="I176" s="329"/>
      <c r="J176" s="329"/>
      <c r="K176" s="329"/>
      <c r="L176" s="235">
        <v>1.0706693491653712</v>
      </c>
      <c r="M176" s="329"/>
      <c r="N176" s="329"/>
      <c r="O176" s="329"/>
      <c r="P176" s="329"/>
    </row>
    <row r="177" spans="2:16" ht="18" customHeight="1">
      <c r="B177" s="307"/>
      <c r="C177" s="305"/>
      <c r="D177" s="303" t="s">
        <v>69</v>
      </c>
      <c r="E177" s="287" t="str">
        <f>HYPERLINK("#LAYOUT_m1!lay중YTIM1I02","YTIM1I02")</f>
        <v>YTIM1I02</v>
      </c>
      <c r="F177" s="78">
        <v>1</v>
      </c>
      <c r="G177" s="181" t="s">
        <v>62</v>
      </c>
      <c r="H177" s="233">
        <v>37.166921397564174</v>
      </c>
      <c r="I177" s="327"/>
      <c r="J177" s="327"/>
      <c r="K177" s="327"/>
      <c r="L177" s="233">
        <v>34.817634058007712</v>
      </c>
      <c r="M177" s="327"/>
      <c r="N177" s="327"/>
      <c r="O177" s="327"/>
      <c r="P177" s="327"/>
    </row>
    <row r="178" spans="2:16" ht="18" customHeight="1">
      <c r="B178" s="307"/>
      <c r="C178" s="305"/>
      <c r="D178" s="305"/>
      <c r="E178" s="289"/>
      <c r="F178" s="79">
        <v>2</v>
      </c>
      <c r="G178" s="167" t="s">
        <v>63</v>
      </c>
      <c r="H178" s="234">
        <v>24.733389196597717</v>
      </c>
      <c r="I178" s="328"/>
      <c r="J178" s="328"/>
      <c r="K178" s="328"/>
      <c r="L178" s="234">
        <v>25.244759105184784</v>
      </c>
      <c r="M178" s="328"/>
      <c r="N178" s="328"/>
      <c r="O178" s="328"/>
      <c r="P178" s="328"/>
    </row>
    <row r="179" spans="2:16" ht="18" customHeight="1">
      <c r="B179" s="307"/>
      <c r="C179" s="305"/>
      <c r="D179" s="305"/>
      <c r="E179" s="289"/>
      <c r="F179" s="79">
        <v>3</v>
      </c>
      <c r="G179" s="167" t="s">
        <v>64</v>
      </c>
      <c r="H179" s="234">
        <v>18.40518366755192</v>
      </c>
      <c r="I179" s="328"/>
      <c r="J179" s="328"/>
      <c r="K179" s="328"/>
      <c r="L179" s="234">
        <v>20.058066275388718</v>
      </c>
      <c r="M179" s="328"/>
      <c r="N179" s="328"/>
      <c r="O179" s="328"/>
      <c r="P179" s="328"/>
    </row>
    <row r="180" spans="2:16" ht="18" customHeight="1">
      <c r="B180" s="307"/>
      <c r="C180" s="305"/>
      <c r="D180" s="305"/>
      <c r="E180" s="289"/>
      <c r="F180" s="79">
        <v>4</v>
      </c>
      <c r="G180" s="167" t="s">
        <v>65</v>
      </c>
      <c r="H180" s="234">
        <v>12.06456359389504</v>
      </c>
      <c r="I180" s="328"/>
      <c r="J180" s="328"/>
      <c r="K180" s="328"/>
      <c r="L180" s="234">
        <v>12.935936825582639</v>
      </c>
      <c r="M180" s="328"/>
      <c r="N180" s="328"/>
      <c r="O180" s="328"/>
      <c r="P180" s="328"/>
    </row>
    <row r="181" spans="2:16" ht="18" customHeight="1">
      <c r="B181" s="307"/>
      <c r="C181" s="305"/>
      <c r="D181" s="305"/>
      <c r="E181" s="289"/>
      <c r="F181" s="79">
        <v>5</v>
      </c>
      <c r="G181" s="167" t="s">
        <v>66</v>
      </c>
      <c r="H181" s="234">
        <v>5.2863134858239471</v>
      </c>
      <c r="I181" s="328"/>
      <c r="J181" s="328"/>
      <c r="K181" s="328"/>
      <c r="L181" s="234">
        <v>5.0542524537573907</v>
      </c>
      <c r="M181" s="328"/>
      <c r="N181" s="328"/>
      <c r="O181" s="328"/>
      <c r="P181" s="328"/>
    </row>
    <row r="182" spans="2:16" ht="18" customHeight="1">
      <c r="B182" s="307"/>
      <c r="C182" s="305"/>
      <c r="D182" s="305"/>
      <c r="E182" s="289"/>
      <c r="F182" s="79">
        <v>6</v>
      </c>
      <c r="G182" s="167" t="s">
        <v>67</v>
      </c>
      <c r="H182" s="234">
        <v>1.2774786162329406</v>
      </c>
      <c r="I182" s="328"/>
      <c r="J182" s="328"/>
      <c r="K182" s="328"/>
      <c r="L182" s="234">
        <v>1.363029480326575</v>
      </c>
      <c r="M182" s="328"/>
      <c r="N182" s="328"/>
      <c r="O182" s="328"/>
      <c r="P182" s="328"/>
    </row>
    <row r="183" spans="2:16" ht="18" customHeight="1">
      <c r="B183" s="307"/>
      <c r="C183" s="304"/>
      <c r="D183" s="304"/>
      <c r="E183" s="288"/>
      <c r="F183" s="82">
        <v>7</v>
      </c>
      <c r="G183" s="182" t="s">
        <v>68</v>
      </c>
      <c r="H183" s="235">
        <v>1.0661500423342563</v>
      </c>
      <c r="I183" s="329"/>
      <c r="J183" s="329"/>
      <c r="K183" s="329"/>
      <c r="L183" s="235">
        <v>0.52632180175217436</v>
      </c>
      <c r="M183" s="329"/>
      <c r="N183" s="329"/>
      <c r="O183" s="329"/>
      <c r="P183" s="329"/>
    </row>
    <row r="184" spans="2:16" ht="18" customHeight="1">
      <c r="B184" s="307"/>
      <c r="C184" s="303" t="s">
        <v>75</v>
      </c>
      <c r="D184" s="303" t="s">
        <v>61</v>
      </c>
      <c r="E184" s="287" t="str">
        <f>HYPERLINK("#LAYOUT_m1!lay중YTIM1J01","YTIM1J01")</f>
        <v>YTIM1J01</v>
      </c>
      <c r="F184" s="78">
        <v>1</v>
      </c>
      <c r="G184" s="181" t="s">
        <v>62</v>
      </c>
      <c r="H184" s="233">
        <v>20.622753874706344</v>
      </c>
      <c r="I184" s="327"/>
      <c r="J184" s="327"/>
      <c r="K184" s="327"/>
      <c r="L184" s="233">
        <v>22.975394063420833</v>
      </c>
      <c r="M184" s="327"/>
      <c r="N184" s="327"/>
      <c r="O184" s="327"/>
      <c r="P184" s="327"/>
    </row>
    <row r="185" spans="2:16" ht="18" customHeight="1">
      <c r="B185" s="307"/>
      <c r="C185" s="305"/>
      <c r="D185" s="305"/>
      <c r="E185" s="289"/>
      <c r="F185" s="79">
        <v>2</v>
      </c>
      <c r="G185" s="167" t="s">
        <v>63</v>
      </c>
      <c r="H185" s="234">
        <v>22.934102582991546</v>
      </c>
      <c r="I185" s="328"/>
      <c r="J185" s="328"/>
      <c r="K185" s="328"/>
      <c r="L185" s="234">
        <v>21.981665857168881</v>
      </c>
      <c r="M185" s="328"/>
      <c r="N185" s="328"/>
      <c r="O185" s="328"/>
      <c r="P185" s="328"/>
    </row>
    <row r="186" spans="2:16" ht="18" customHeight="1">
      <c r="B186" s="307"/>
      <c r="C186" s="305"/>
      <c r="D186" s="305"/>
      <c r="E186" s="289"/>
      <c r="F186" s="79">
        <v>3</v>
      </c>
      <c r="G186" s="167" t="s">
        <v>64</v>
      </c>
      <c r="H186" s="234">
        <v>21.487473866432712</v>
      </c>
      <c r="I186" s="328"/>
      <c r="J186" s="328"/>
      <c r="K186" s="328"/>
      <c r="L186" s="234">
        <v>25.388891170328517</v>
      </c>
      <c r="M186" s="328"/>
      <c r="N186" s="328"/>
      <c r="O186" s="328"/>
      <c r="P186" s="328"/>
    </row>
    <row r="187" spans="2:16" ht="18" customHeight="1">
      <c r="B187" s="307"/>
      <c r="C187" s="305"/>
      <c r="D187" s="305"/>
      <c r="E187" s="289"/>
      <c r="F187" s="79">
        <v>4</v>
      </c>
      <c r="G187" s="167" t="s">
        <v>65</v>
      </c>
      <c r="H187" s="234">
        <v>20.559543635728911</v>
      </c>
      <c r="I187" s="328"/>
      <c r="J187" s="328"/>
      <c r="K187" s="328"/>
      <c r="L187" s="234">
        <v>18.535467067374906</v>
      </c>
      <c r="M187" s="328"/>
      <c r="N187" s="328"/>
      <c r="O187" s="328"/>
      <c r="P187" s="328"/>
    </row>
    <row r="188" spans="2:16" ht="18" customHeight="1">
      <c r="B188" s="307"/>
      <c r="C188" s="305"/>
      <c r="D188" s="305"/>
      <c r="E188" s="289"/>
      <c r="F188" s="79">
        <v>5</v>
      </c>
      <c r="G188" s="167" t="s">
        <v>66</v>
      </c>
      <c r="H188" s="234">
        <v>8.9208706741464709</v>
      </c>
      <c r="I188" s="328"/>
      <c r="J188" s="328"/>
      <c r="K188" s="328"/>
      <c r="L188" s="234">
        <v>7.0779590344732686</v>
      </c>
      <c r="M188" s="328"/>
      <c r="N188" s="328"/>
      <c r="O188" s="328"/>
      <c r="P188" s="328"/>
    </row>
    <row r="189" spans="2:16" ht="18" customHeight="1">
      <c r="B189" s="307"/>
      <c r="C189" s="305"/>
      <c r="D189" s="305"/>
      <c r="E189" s="289"/>
      <c r="F189" s="79">
        <v>6</v>
      </c>
      <c r="G189" s="167" t="s">
        <v>67</v>
      </c>
      <c r="H189" s="234">
        <v>2.2216791005033154</v>
      </c>
      <c r="I189" s="328"/>
      <c r="J189" s="328"/>
      <c r="K189" s="328"/>
      <c r="L189" s="234">
        <v>1.6674467722241062</v>
      </c>
      <c r="M189" s="328"/>
      <c r="N189" s="328"/>
      <c r="O189" s="328"/>
      <c r="P189" s="328"/>
    </row>
    <row r="190" spans="2:16" ht="18" customHeight="1">
      <c r="B190" s="307"/>
      <c r="C190" s="305"/>
      <c r="D190" s="304"/>
      <c r="E190" s="288"/>
      <c r="F190" s="82">
        <v>7</v>
      </c>
      <c r="G190" s="182" t="s">
        <v>68</v>
      </c>
      <c r="H190" s="235">
        <v>3.2535762654907341</v>
      </c>
      <c r="I190" s="329"/>
      <c r="J190" s="329"/>
      <c r="K190" s="329"/>
      <c r="L190" s="235">
        <v>2.3731760350094677</v>
      </c>
      <c r="M190" s="329"/>
      <c r="N190" s="329"/>
      <c r="O190" s="329"/>
      <c r="P190" s="329"/>
    </row>
    <row r="191" spans="2:16" ht="18" customHeight="1">
      <c r="B191" s="307"/>
      <c r="C191" s="305"/>
      <c r="D191" s="303" t="s">
        <v>69</v>
      </c>
      <c r="E191" s="287" t="str">
        <f>HYPERLINK("#LAYOUT_m1!lay중YTIM1J02","YTIM1J02")</f>
        <v>YTIM1J02</v>
      </c>
      <c r="F191" s="78">
        <v>1</v>
      </c>
      <c r="G191" s="181" t="s">
        <v>62</v>
      </c>
      <c r="H191" s="233">
        <v>23.881594945334342</v>
      </c>
      <c r="I191" s="327"/>
      <c r="J191" s="327"/>
      <c r="K191" s="327"/>
      <c r="L191" s="233">
        <v>24.443923984493807</v>
      </c>
      <c r="M191" s="327"/>
      <c r="N191" s="327"/>
      <c r="O191" s="327"/>
      <c r="P191" s="327"/>
    </row>
    <row r="192" spans="2:16" ht="18" customHeight="1">
      <c r="B192" s="307"/>
      <c r="C192" s="305"/>
      <c r="D192" s="305"/>
      <c r="E192" s="289"/>
      <c r="F192" s="79">
        <v>2</v>
      </c>
      <c r="G192" s="167" t="s">
        <v>63</v>
      </c>
      <c r="H192" s="234">
        <v>22.031415750310554</v>
      </c>
      <c r="I192" s="328"/>
      <c r="J192" s="328"/>
      <c r="K192" s="328"/>
      <c r="L192" s="234">
        <v>21.759648521493787</v>
      </c>
      <c r="M192" s="328"/>
      <c r="N192" s="328"/>
      <c r="O192" s="328"/>
      <c r="P192" s="328"/>
    </row>
    <row r="193" spans="2:16" ht="18" customHeight="1">
      <c r="B193" s="307"/>
      <c r="C193" s="305"/>
      <c r="D193" s="305"/>
      <c r="E193" s="289"/>
      <c r="F193" s="79">
        <v>3</v>
      </c>
      <c r="G193" s="167" t="s">
        <v>64</v>
      </c>
      <c r="H193" s="234">
        <v>17.245268457895815</v>
      </c>
      <c r="I193" s="328"/>
      <c r="J193" s="328"/>
      <c r="K193" s="328"/>
      <c r="L193" s="234">
        <v>19.979678287675441</v>
      </c>
      <c r="M193" s="328"/>
      <c r="N193" s="328"/>
      <c r="O193" s="328"/>
      <c r="P193" s="328"/>
    </row>
    <row r="194" spans="2:16" ht="18" customHeight="1">
      <c r="B194" s="307"/>
      <c r="C194" s="305"/>
      <c r="D194" s="305"/>
      <c r="E194" s="289"/>
      <c r="F194" s="79">
        <v>4</v>
      </c>
      <c r="G194" s="167" t="s">
        <v>65</v>
      </c>
      <c r="H194" s="234">
        <v>16.495728635080173</v>
      </c>
      <c r="I194" s="328"/>
      <c r="J194" s="328"/>
      <c r="K194" s="328"/>
      <c r="L194" s="234">
        <v>19.027226332494156</v>
      </c>
      <c r="M194" s="328"/>
      <c r="N194" s="328"/>
      <c r="O194" s="328"/>
      <c r="P194" s="328"/>
    </row>
    <row r="195" spans="2:16" ht="18" customHeight="1">
      <c r="B195" s="307"/>
      <c r="C195" s="305"/>
      <c r="D195" s="305"/>
      <c r="E195" s="289"/>
      <c r="F195" s="79">
        <v>5</v>
      </c>
      <c r="G195" s="167" t="s">
        <v>66</v>
      </c>
      <c r="H195" s="234">
        <v>10.224462710254189</v>
      </c>
      <c r="I195" s="328"/>
      <c r="J195" s="328"/>
      <c r="K195" s="328"/>
      <c r="L195" s="234">
        <v>9.145174323817935</v>
      </c>
      <c r="M195" s="328"/>
      <c r="N195" s="328"/>
      <c r="O195" s="328"/>
      <c r="P195" s="328"/>
    </row>
    <row r="196" spans="2:16" ht="18" customHeight="1">
      <c r="B196" s="307"/>
      <c r="C196" s="305"/>
      <c r="D196" s="305"/>
      <c r="E196" s="289"/>
      <c r="F196" s="79">
        <v>6</v>
      </c>
      <c r="G196" s="167" t="s">
        <v>67</v>
      </c>
      <c r="H196" s="234">
        <v>4.938758475958319</v>
      </c>
      <c r="I196" s="328"/>
      <c r="J196" s="328"/>
      <c r="K196" s="328"/>
      <c r="L196" s="234">
        <v>3.0786196447049741</v>
      </c>
      <c r="M196" s="328"/>
      <c r="N196" s="328"/>
      <c r="O196" s="328"/>
      <c r="P196" s="328"/>
    </row>
    <row r="197" spans="2:16" ht="18" customHeight="1">
      <c r="B197" s="307"/>
      <c r="C197" s="304"/>
      <c r="D197" s="304"/>
      <c r="E197" s="288"/>
      <c r="F197" s="82">
        <v>7</v>
      </c>
      <c r="G197" s="182" t="s">
        <v>68</v>
      </c>
      <c r="H197" s="235">
        <v>5.182771025166601</v>
      </c>
      <c r="I197" s="329"/>
      <c r="J197" s="329"/>
      <c r="K197" s="329"/>
      <c r="L197" s="235">
        <v>2.565728905319888</v>
      </c>
      <c r="M197" s="329"/>
      <c r="N197" s="329"/>
      <c r="O197" s="329"/>
      <c r="P197" s="329"/>
    </row>
    <row r="198" spans="2:16" ht="18" customHeight="1">
      <c r="B198" s="307"/>
      <c r="C198" s="303" t="s">
        <v>76</v>
      </c>
      <c r="D198" s="303" t="s">
        <v>61</v>
      </c>
      <c r="E198" s="287" t="str">
        <f>HYPERLINK("#LAYOUT_m1!lay중YTIM1K01","YTIM1K01")</f>
        <v>YTIM1K01</v>
      </c>
      <c r="F198" s="78">
        <v>1</v>
      </c>
      <c r="G198" s="181" t="s">
        <v>62</v>
      </c>
      <c r="H198" s="233">
        <v>3.2752823481561055</v>
      </c>
      <c r="I198" s="327"/>
      <c r="J198" s="327"/>
      <c r="K198" s="327"/>
      <c r="L198" s="233">
        <v>1.618934753037937</v>
      </c>
      <c r="M198" s="327"/>
      <c r="N198" s="327"/>
      <c r="O198" s="327"/>
      <c r="P198" s="327"/>
    </row>
    <row r="199" spans="2:16" ht="18" customHeight="1">
      <c r="B199" s="307"/>
      <c r="C199" s="305"/>
      <c r="D199" s="305"/>
      <c r="E199" s="289"/>
      <c r="F199" s="79">
        <v>2</v>
      </c>
      <c r="G199" s="167" t="s">
        <v>63</v>
      </c>
      <c r="H199" s="234">
        <v>5.770840965651665</v>
      </c>
      <c r="I199" s="328"/>
      <c r="J199" s="328"/>
      <c r="K199" s="328"/>
      <c r="L199" s="234">
        <v>5.8751188676452246</v>
      </c>
      <c r="M199" s="328"/>
      <c r="N199" s="328"/>
      <c r="O199" s="328"/>
      <c r="P199" s="328"/>
    </row>
    <row r="200" spans="2:16" ht="18" customHeight="1">
      <c r="B200" s="307"/>
      <c r="C200" s="305"/>
      <c r="D200" s="305"/>
      <c r="E200" s="289"/>
      <c r="F200" s="79">
        <v>3</v>
      </c>
      <c r="G200" s="167" t="s">
        <v>64</v>
      </c>
      <c r="H200" s="234">
        <v>14.73086409413486</v>
      </c>
      <c r="I200" s="328"/>
      <c r="J200" s="328"/>
      <c r="K200" s="328"/>
      <c r="L200" s="234">
        <v>15.870348657620225</v>
      </c>
      <c r="M200" s="328"/>
      <c r="N200" s="328"/>
      <c r="O200" s="328"/>
      <c r="P200" s="328"/>
    </row>
    <row r="201" spans="2:16" ht="18" customHeight="1">
      <c r="B201" s="307"/>
      <c r="C201" s="305"/>
      <c r="D201" s="305"/>
      <c r="E201" s="289"/>
      <c r="F201" s="79">
        <v>4</v>
      </c>
      <c r="G201" s="167" t="s">
        <v>65</v>
      </c>
      <c r="H201" s="234">
        <v>31.325002262458309</v>
      </c>
      <c r="I201" s="328"/>
      <c r="J201" s="328"/>
      <c r="K201" s="328"/>
      <c r="L201" s="234">
        <v>31.003961494105805</v>
      </c>
      <c r="M201" s="328"/>
      <c r="N201" s="328"/>
      <c r="O201" s="328"/>
      <c r="P201" s="328"/>
    </row>
    <row r="202" spans="2:16" ht="18" customHeight="1">
      <c r="B202" s="307"/>
      <c r="C202" s="305"/>
      <c r="D202" s="305"/>
      <c r="E202" s="289"/>
      <c r="F202" s="79">
        <v>5</v>
      </c>
      <c r="G202" s="167" t="s">
        <v>66</v>
      </c>
      <c r="H202" s="234">
        <v>24.009166672925502</v>
      </c>
      <c r="I202" s="328"/>
      <c r="J202" s="328"/>
      <c r="K202" s="328"/>
      <c r="L202" s="234">
        <v>25.219107075599059</v>
      </c>
      <c r="M202" s="328"/>
      <c r="N202" s="328"/>
      <c r="O202" s="328"/>
      <c r="P202" s="328"/>
    </row>
    <row r="203" spans="2:16" ht="18" customHeight="1">
      <c r="B203" s="307"/>
      <c r="C203" s="305"/>
      <c r="D203" s="305"/>
      <c r="E203" s="289"/>
      <c r="F203" s="79">
        <v>6</v>
      </c>
      <c r="G203" s="167" t="s">
        <v>67</v>
      </c>
      <c r="H203" s="234">
        <v>9.7837266500738043</v>
      </c>
      <c r="I203" s="328"/>
      <c r="J203" s="328"/>
      <c r="K203" s="328"/>
      <c r="L203" s="234">
        <v>9.9825645709542172</v>
      </c>
      <c r="M203" s="328"/>
      <c r="N203" s="328"/>
      <c r="O203" s="328"/>
      <c r="P203" s="328"/>
    </row>
    <row r="204" spans="2:16" ht="18" customHeight="1">
      <c r="B204" s="307"/>
      <c r="C204" s="305"/>
      <c r="D204" s="304"/>
      <c r="E204" s="288"/>
      <c r="F204" s="82">
        <v>7</v>
      </c>
      <c r="G204" s="182" t="s">
        <v>68</v>
      </c>
      <c r="H204" s="235">
        <v>11.105117006599762</v>
      </c>
      <c r="I204" s="329"/>
      <c r="J204" s="329"/>
      <c r="K204" s="329"/>
      <c r="L204" s="235">
        <v>10.42996458103751</v>
      </c>
      <c r="M204" s="329"/>
      <c r="N204" s="329"/>
      <c r="O204" s="329"/>
      <c r="P204" s="329"/>
    </row>
    <row r="205" spans="2:16" ht="18" customHeight="1">
      <c r="B205" s="307"/>
      <c r="C205" s="305"/>
      <c r="D205" s="303" t="s">
        <v>69</v>
      </c>
      <c r="E205" s="287" t="str">
        <f>HYPERLINK("#LAYOUT_m1!lay중YTIM1K02","YTIM1K02")</f>
        <v>YTIM1K02</v>
      </c>
      <c r="F205" s="78">
        <v>1</v>
      </c>
      <c r="G205" s="181" t="s">
        <v>62</v>
      </c>
      <c r="H205" s="233">
        <v>3.6587530108467932</v>
      </c>
      <c r="I205" s="327"/>
      <c r="J205" s="327"/>
      <c r="K205" s="327"/>
      <c r="L205" s="233">
        <v>2.2119348620152923</v>
      </c>
      <c r="M205" s="327"/>
      <c r="N205" s="327"/>
      <c r="O205" s="327"/>
      <c r="P205" s="327"/>
    </row>
    <row r="206" spans="2:16" ht="18" customHeight="1">
      <c r="B206" s="307"/>
      <c r="C206" s="305"/>
      <c r="D206" s="305"/>
      <c r="E206" s="289"/>
      <c r="F206" s="79">
        <v>2</v>
      </c>
      <c r="G206" s="167" t="s">
        <v>63</v>
      </c>
      <c r="H206" s="234">
        <v>4.321592691770209</v>
      </c>
      <c r="I206" s="328"/>
      <c r="J206" s="328"/>
      <c r="K206" s="328"/>
      <c r="L206" s="234">
        <v>3.0546903155195162</v>
      </c>
      <c r="M206" s="328"/>
      <c r="N206" s="328"/>
      <c r="O206" s="328"/>
      <c r="P206" s="328"/>
    </row>
    <row r="207" spans="2:16" ht="18" customHeight="1">
      <c r="B207" s="307"/>
      <c r="C207" s="305"/>
      <c r="D207" s="305"/>
      <c r="E207" s="289"/>
      <c r="F207" s="79">
        <v>3</v>
      </c>
      <c r="G207" s="167" t="s">
        <v>64</v>
      </c>
      <c r="H207" s="234">
        <v>8.6321606364430394</v>
      </c>
      <c r="I207" s="328"/>
      <c r="J207" s="328"/>
      <c r="K207" s="328"/>
      <c r="L207" s="234">
        <v>7.9555309828656755</v>
      </c>
      <c r="M207" s="328"/>
      <c r="N207" s="328"/>
      <c r="O207" s="328"/>
      <c r="P207" s="328"/>
    </row>
    <row r="208" spans="2:16" ht="18" customHeight="1">
      <c r="B208" s="307"/>
      <c r="C208" s="305"/>
      <c r="D208" s="305"/>
      <c r="E208" s="289"/>
      <c r="F208" s="79">
        <v>4</v>
      </c>
      <c r="G208" s="167" t="s">
        <v>65</v>
      </c>
      <c r="H208" s="234">
        <v>16.284153449332095</v>
      </c>
      <c r="I208" s="328"/>
      <c r="J208" s="328"/>
      <c r="K208" s="328"/>
      <c r="L208" s="234">
        <v>17.639947905043702</v>
      </c>
      <c r="M208" s="328"/>
      <c r="N208" s="328"/>
      <c r="O208" s="328"/>
      <c r="P208" s="328"/>
    </row>
    <row r="209" spans="2:16" ht="18" customHeight="1">
      <c r="B209" s="307"/>
      <c r="C209" s="305"/>
      <c r="D209" s="305"/>
      <c r="E209" s="289"/>
      <c r="F209" s="79">
        <v>5</v>
      </c>
      <c r="G209" s="167" t="s">
        <v>66</v>
      </c>
      <c r="H209" s="234">
        <v>26.498557831432699</v>
      </c>
      <c r="I209" s="328"/>
      <c r="J209" s="328"/>
      <c r="K209" s="328"/>
      <c r="L209" s="234">
        <v>28.243610745302128</v>
      </c>
      <c r="M209" s="328"/>
      <c r="N209" s="328"/>
      <c r="O209" s="328"/>
      <c r="P209" s="328"/>
    </row>
    <row r="210" spans="2:16" ht="18" customHeight="1">
      <c r="B210" s="307"/>
      <c r="C210" s="305"/>
      <c r="D210" s="305"/>
      <c r="E210" s="289"/>
      <c r="F210" s="79">
        <v>6</v>
      </c>
      <c r="G210" s="167" t="s">
        <v>67</v>
      </c>
      <c r="H210" s="234">
        <v>18.496004738758433</v>
      </c>
      <c r="I210" s="328"/>
      <c r="J210" s="328"/>
      <c r="K210" s="328"/>
      <c r="L210" s="234">
        <v>19.163219442652036</v>
      </c>
      <c r="M210" s="328"/>
      <c r="N210" s="328"/>
      <c r="O210" s="328"/>
      <c r="P210" s="328"/>
    </row>
    <row r="211" spans="2:16" ht="18" customHeight="1">
      <c r="B211" s="307"/>
      <c r="C211" s="304"/>
      <c r="D211" s="304"/>
      <c r="E211" s="288"/>
      <c r="F211" s="82">
        <v>7</v>
      </c>
      <c r="G211" s="182" t="s">
        <v>68</v>
      </c>
      <c r="H211" s="235">
        <v>22.108777641416737</v>
      </c>
      <c r="I211" s="329"/>
      <c r="J211" s="329"/>
      <c r="K211" s="329"/>
      <c r="L211" s="235">
        <v>21.731065746601637</v>
      </c>
      <c r="M211" s="329"/>
      <c r="N211" s="329"/>
      <c r="O211" s="329"/>
      <c r="P211" s="329"/>
    </row>
    <row r="212" spans="2:16" ht="18" customHeight="1">
      <c r="B212" s="307"/>
      <c r="C212" s="303" t="s">
        <v>77</v>
      </c>
      <c r="D212" s="303" t="s">
        <v>61</v>
      </c>
      <c r="E212" s="287" t="str">
        <f>HYPERLINK("#LAYOUT_m1!lay중YTIM1L01","YTIM1L01")</f>
        <v>YTIM1L01</v>
      </c>
      <c r="F212" s="78">
        <v>1</v>
      </c>
      <c r="G212" s="181" t="s">
        <v>62</v>
      </c>
      <c r="H212" s="233">
        <v>50.15640265544419</v>
      </c>
      <c r="I212" s="327"/>
      <c r="J212" s="327"/>
      <c r="K212" s="327"/>
      <c r="L212" s="233">
        <v>39.852001147311746</v>
      </c>
      <c r="M212" s="327"/>
      <c r="N212" s="327"/>
      <c r="O212" s="327"/>
      <c r="P212" s="327"/>
    </row>
    <row r="213" spans="2:16" ht="18" customHeight="1">
      <c r="B213" s="307"/>
      <c r="C213" s="305"/>
      <c r="D213" s="305"/>
      <c r="E213" s="289"/>
      <c r="F213" s="79">
        <v>2</v>
      </c>
      <c r="G213" s="167" t="s">
        <v>63</v>
      </c>
      <c r="H213" s="234">
        <v>14.32152546308469</v>
      </c>
      <c r="I213" s="328"/>
      <c r="J213" s="328"/>
      <c r="K213" s="328"/>
      <c r="L213" s="234">
        <v>14.847165058084036</v>
      </c>
      <c r="M213" s="328"/>
      <c r="N213" s="328"/>
      <c r="O213" s="328"/>
      <c r="P213" s="328"/>
    </row>
    <row r="214" spans="2:16" ht="18" customHeight="1">
      <c r="B214" s="307"/>
      <c r="C214" s="305"/>
      <c r="D214" s="305"/>
      <c r="E214" s="289"/>
      <c r="F214" s="79">
        <v>3</v>
      </c>
      <c r="G214" s="167" t="s">
        <v>64</v>
      </c>
      <c r="H214" s="234">
        <v>11.10572194285626</v>
      </c>
      <c r="I214" s="328"/>
      <c r="J214" s="328"/>
      <c r="K214" s="328"/>
      <c r="L214" s="234">
        <v>17.850814583927654</v>
      </c>
      <c r="M214" s="328"/>
      <c r="N214" s="328"/>
      <c r="O214" s="328"/>
      <c r="P214" s="328"/>
    </row>
    <row r="215" spans="2:16" ht="18" customHeight="1">
      <c r="B215" s="307"/>
      <c r="C215" s="305"/>
      <c r="D215" s="305"/>
      <c r="E215" s="289"/>
      <c r="F215" s="79">
        <v>4</v>
      </c>
      <c r="G215" s="167" t="s">
        <v>65</v>
      </c>
      <c r="H215" s="234">
        <v>13.735578561473174</v>
      </c>
      <c r="I215" s="328"/>
      <c r="J215" s="328"/>
      <c r="K215" s="328"/>
      <c r="L215" s="234">
        <v>15.433959847924838</v>
      </c>
      <c r="M215" s="328"/>
      <c r="N215" s="328"/>
      <c r="O215" s="328"/>
      <c r="P215" s="328"/>
    </row>
    <row r="216" spans="2:16" ht="18" customHeight="1">
      <c r="B216" s="307"/>
      <c r="C216" s="305"/>
      <c r="D216" s="305"/>
      <c r="E216" s="289"/>
      <c r="F216" s="79">
        <v>5</v>
      </c>
      <c r="G216" s="167" t="s">
        <v>66</v>
      </c>
      <c r="H216" s="234">
        <v>6.4176559141675007</v>
      </c>
      <c r="I216" s="328"/>
      <c r="J216" s="328"/>
      <c r="K216" s="328"/>
      <c r="L216" s="234">
        <v>7.1007876067501119</v>
      </c>
      <c r="M216" s="328"/>
      <c r="N216" s="328"/>
      <c r="O216" s="328"/>
      <c r="P216" s="328"/>
    </row>
    <row r="217" spans="2:16" ht="18" customHeight="1">
      <c r="B217" s="307"/>
      <c r="C217" s="305"/>
      <c r="D217" s="305"/>
      <c r="E217" s="289"/>
      <c r="F217" s="79">
        <v>6</v>
      </c>
      <c r="G217" s="167" t="s">
        <v>67</v>
      </c>
      <c r="H217" s="234">
        <v>2.2241819834887502</v>
      </c>
      <c r="I217" s="328"/>
      <c r="J217" s="328"/>
      <c r="K217" s="328"/>
      <c r="L217" s="234">
        <v>2.8290327017891932</v>
      </c>
      <c r="M217" s="328"/>
      <c r="N217" s="328"/>
      <c r="O217" s="328"/>
      <c r="P217" s="328"/>
    </row>
    <row r="218" spans="2:16" ht="18" customHeight="1">
      <c r="B218" s="307"/>
      <c r="C218" s="305"/>
      <c r="D218" s="304"/>
      <c r="E218" s="288"/>
      <c r="F218" s="82">
        <v>7</v>
      </c>
      <c r="G218" s="182" t="s">
        <v>68</v>
      </c>
      <c r="H218" s="235">
        <v>2.0389334794854226</v>
      </c>
      <c r="I218" s="329"/>
      <c r="J218" s="329"/>
      <c r="K218" s="329"/>
      <c r="L218" s="235">
        <v>2.0862390542124465</v>
      </c>
      <c r="M218" s="329"/>
      <c r="N218" s="329"/>
      <c r="O218" s="329"/>
      <c r="P218" s="329"/>
    </row>
    <row r="219" spans="2:16" ht="18" customHeight="1">
      <c r="B219" s="307"/>
      <c r="C219" s="305"/>
      <c r="D219" s="303" t="s">
        <v>69</v>
      </c>
      <c r="E219" s="287" t="str">
        <f>HYPERLINK("#LAYOUT_m1!lay중YTIM1L02","YTIM1L02")</f>
        <v>YTIM1L02</v>
      </c>
      <c r="F219" s="78">
        <v>1</v>
      </c>
      <c r="G219" s="181" t="s">
        <v>62</v>
      </c>
      <c r="H219" s="233">
        <v>36.154228564334282</v>
      </c>
      <c r="I219" s="327"/>
      <c r="J219" s="327"/>
      <c r="K219" s="327"/>
      <c r="L219" s="233">
        <v>32.769403220515407</v>
      </c>
      <c r="M219" s="327"/>
      <c r="N219" s="327"/>
      <c r="O219" s="327"/>
      <c r="P219" s="327"/>
    </row>
    <row r="220" spans="2:16" ht="18" customHeight="1">
      <c r="B220" s="307"/>
      <c r="C220" s="305"/>
      <c r="D220" s="305"/>
      <c r="E220" s="289"/>
      <c r="F220" s="79">
        <v>2</v>
      </c>
      <c r="G220" s="167" t="s">
        <v>63</v>
      </c>
      <c r="H220" s="234">
        <v>12.682255696570872</v>
      </c>
      <c r="I220" s="328"/>
      <c r="J220" s="328"/>
      <c r="K220" s="328"/>
      <c r="L220" s="234">
        <v>10.297844806931026</v>
      </c>
      <c r="M220" s="328"/>
      <c r="N220" s="328"/>
      <c r="O220" s="328"/>
      <c r="P220" s="328"/>
    </row>
    <row r="221" spans="2:16" ht="18" customHeight="1">
      <c r="B221" s="307"/>
      <c r="C221" s="305"/>
      <c r="D221" s="305"/>
      <c r="E221" s="289"/>
      <c r="F221" s="79">
        <v>3</v>
      </c>
      <c r="G221" s="167" t="s">
        <v>64</v>
      </c>
      <c r="H221" s="234">
        <v>9.3984913854143546</v>
      </c>
      <c r="I221" s="328"/>
      <c r="J221" s="328"/>
      <c r="K221" s="328"/>
      <c r="L221" s="234">
        <v>11.854224838158229</v>
      </c>
      <c r="M221" s="328"/>
      <c r="N221" s="328"/>
      <c r="O221" s="328"/>
      <c r="P221" s="328"/>
    </row>
    <row r="222" spans="2:16" ht="18" customHeight="1">
      <c r="B222" s="307"/>
      <c r="C222" s="305"/>
      <c r="D222" s="305"/>
      <c r="E222" s="289"/>
      <c r="F222" s="79">
        <v>4</v>
      </c>
      <c r="G222" s="167" t="s">
        <v>65</v>
      </c>
      <c r="H222" s="234">
        <v>15.660885407852186</v>
      </c>
      <c r="I222" s="328"/>
      <c r="J222" s="328"/>
      <c r="K222" s="328"/>
      <c r="L222" s="234">
        <v>18.297312865047758</v>
      </c>
      <c r="M222" s="328"/>
      <c r="N222" s="328"/>
      <c r="O222" s="328"/>
      <c r="P222" s="328"/>
    </row>
    <row r="223" spans="2:16" ht="18" customHeight="1">
      <c r="B223" s="307"/>
      <c r="C223" s="305"/>
      <c r="D223" s="305"/>
      <c r="E223" s="289"/>
      <c r="F223" s="79">
        <v>5</v>
      </c>
      <c r="G223" s="167" t="s">
        <v>66</v>
      </c>
      <c r="H223" s="234">
        <v>13.03818647216591</v>
      </c>
      <c r="I223" s="328"/>
      <c r="J223" s="328"/>
      <c r="K223" s="328"/>
      <c r="L223" s="234">
        <v>13.753584093263578</v>
      </c>
      <c r="M223" s="328"/>
      <c r="N223" s="328"/>
      <c r="O223" s="328"/>
      <c r="P223" s="328"/>
    </row>
    <row r="224" spans="2:16" ht="18" customHeight="1">
      <c r="B224" s="307"/>
      <c r="C224" s="305"/>
      <c r="D224" s="305"/>
      <c r="E224" s="289"/>
      <c r="F224" s="79">
        <v>6</v>
      </c>
      <c r="G224" s="167" t="s">
        <v>67</v>
      </c>
      <c r="H224" s="234">
        <v>5.9979327757788097</v>
      </c>
      <c r="I224" s="328"/>
      <c r="J224" s="328"/>
      <c r="K224" s="328"/>
      <c r="L224" s="234">
        <v>6.1621159089934618</v>
      </c>
      <c r="M224" s="328"/>
      <c r="N224" s="328"/>
      <c r="O224" s="328"/>
      <c r="P224" s="328"/>
    </row>
    <row r="225" spans="2:16" ht="18" customHeight="1">
      <c r="B225" s="307"/>
      <c r="C225" s="304"/>
      <c r="D225" s="304"/>
      <c r="E225" s="288"/>
      <c r="F225" s="82">
        <v>7</v>
      </c>
      <c r="G225" s="182" t="s">
        <v>68</v>
      </c>
      <c r="H225" s="235">
        <v>7.0680196978835879</v>
      </c>
      <c r="I225" s="329"/>
      <c r="J225" s="329"/>
      <c r="K225" s="329"/>
      <c r="L225" s="235">
        <v>6.8655142670905418</v>
      </c>
      <c r="M225" s="329"/>
      <c r="N225" s="329"/>
      <c r="O225" s="329"/>
      <c r="P225" s="329"/>
    </row>
    <row r="226" spans="2:16" ht="18" customHeight="1">
      <c r="B226" s="307"/>
      <c r="C226" s="303" t="s">
        <v>78</v>
      </c>
      <c r="D226" s="303" t="s">
        <v>61</v>
      </c>
      <c r="E226" s="287" t="str">
        <f>HYPERLINK("#LAYOUT_m1!lay중YTIM1M01","YTIM1M01")</f>
        <v>YTIM1M01</v>
      </c>
      <c r="F226" s="78">
        <v>1</v>
      </c>
      <c r="G226" s="181" t="s">
        <v>62</v>
      </c>
      <c r="H226" s="233">
        <v>26.339350215314376</v>
      </c>
      <c r="I226" s="327"/>
      <c r="J226" s="327"/>
      <c r="K226" s="327"/>
      <c r="L226" s="233">
        <v>26.716231803014843</v>
      </c>
      <c r="M226" s="327"/>
      <c r="N226" s="327"/>
      <c r="O226" s="327"/>
      <c r="P226" s="327"/>
    </row>
    <row r="227" spans="2:16" ht="18" customHeight="1">
      <c r="B227" s="307"/>
      <c r="C227" s="305"/>
      <c r="D227" s="305"/>
      <c r="E227" s="289"/>
      <c r="F227" s="79">
        <v>2</v>
      </c>
      <c r="G227" s="167" t="s">
        <v>63</v>
      </c>
      <c r="H227" s="234">
        <v>23.67404174980398</v>
      </c>
      <c r="I227" s="328"/>
      <c r="J227" s="328"/>
      <c r="K227" s="328"/>
      <c r="L227" s="234">
        <v>22.32438413990312</v>
      </c>
      <c r="M227" s="328"/>
      <c r="N227" s="328"/>
      <c r="O227" s="328"/>
      <c r="P227" s="328"/>
    </row>
    <row r="228" spans="2:16" ht="18" customHeight="1">
      <c r="B228" s="307"/>
      <c r="C228" s="305"/>
      <c r="D228" s="305"/>
      <c r="E228" s="289"/>
      <c r="F228" s="79">
        <v>3</v>
      </c>
      <c r="G228" s="167" t="s">
        <v>64</v>
      </c>
      <c r="H228" s="234">
        <v>20.908932856660229</v>
      </c>
      <c r="I228" s="328"/>
      <c r="J228" s="328"/>
      <c r="K228" s="328"/>
      <c r="L228" s="234">
        <v>23.617163418600917</v>
      </c>
      <c r="M228" s="328"/>
      <c r="N228" s="328"/>
      <c r="O228" s="328"/>
      <c r="P228" s="328"/>
    </row>
    <row r="229" spans="2:16" ht="18" customHeight="1">
      <c r="B229" s="307"/>
      <c r="C229" s="305"/>
      <c r="D229" s="305"/>
      <c r="E229" s="289"/>
      <c r="F229" s="79">
        <v>4</v>
      </c>
      <c r="G229" s="167" t="s">
        <v>65</v>
      </c>
      <c r="H229" s="234">
        <v>19.165240203415681</v>
      </c>
      <c r="I229" s="328"/>
      <c r="J229" s="328"/>
      <c r="K229" s="328"/>
      <c r="L229" s="234">
        <v>19.219009479514266</v>
      </c>
      <c r="M229" s="328"/>
      <c r="N229" s="328"/>
      <c r="O229" s="328"/>
      <c r="P229" s="328"/>
    </row>
    <row r="230" spans="2:16" ht="18" customHeight="1">
      <c r="B230" s="307"/>
      <c r="C230" s="305"/>
      <c r="D230" s="305"/>
      <c r="E230" s="289"/>
      <c r="F230" s="79">
        <v>5</v>
      </c>
      <c r="G230" s="167" t="s">
        <v>66</v>
      </c>
      <c r="H230" s="234">
        <v>6.3807868341655691</v>
      </c>
      <c r="I230" s="328"/>
      <c r="J230" s="328"/>
      <c r="K230" s="328"/>
      <c r="L230" s="234">
        <v>6.2902282179009052</v>
      </c>
      <c r="M230" s="328"/>
      <c r="N230" s="328"/>
      <c r="O230" s="328"/>
      <c r="P230" s="328"/>
    </row>
    <row r="231" spans="2:16" ht="18" customHeight="1">
      <c r="B231" s="307"/>
      <c r="C231" s="305"/>
      <c r="D231" s="305"/>
      <c r="E231" s="289"/>
      <c r="F231" s="79">
        <v>6</v>
      </c>
      <c r="G231" s="167" t="s">
        <v>67</v>
      </c>
      <c r="H231" s="234">
        <v>1.974078762095111</v>
      </c>
      <c r="I231" s="328"/>
      <c r="J231" s="328"/>
      <c r="K231" s="328"/>
      <c r="L231" s="234">
        <v>1.3076309346574297</v>
      </c>
      <c r="M231" s="328"/>
      <c r="N231" s="328"/>
      <c r="O231" s="328"/>
      <c r="P231" s="328"/>
    </row>
    <row r="232" spans="2:16" ht="18" customHeight="1">
      <c r="B232" s="307"/>
      <c r="C232" s="305"/>
      <c r="D232" s="304"/>
      <c r="E232" s="288"/>
      <c r="F232" s="82">
        <v>7</v>
      </c>
      <c r="G232" s="182" t="s">
        <v>68</v>
      </c>
      <c r="H232" s="235">
        <v>1.5575693785450611</v>
      </c>
      <c r="I232" s="329"/>
      <c r="J232" s="329"/>
      <c r="K232" s="329"/>
      <c r="L232" s="235">
        <v>0.52535200640851709</v>
      </c>
      <c r="M232" s="329"/>
      <c r="N232" s="329"/>
      <c r="O232" s="329"/>
      <c r="P232" s="329"/>
    </row>
    <row r="233" spans="2:16" ht="18" customHeight="1">
      <c r="B233" s="307"/>
      <c r="C233" s="305"/>
      <c r="D233" s="303" t="s">
        <v>69</v>
      </c>
      <c r="E233" s="287" t="str">
        <f>HYPERLINK("#LAYOUT_m1!lay중YTIM1M02","YTIM1M02")</f>
        <v>YTIM1M02</v>
      </c>
      <c r="F233" s="78">
        <v>1</v>
      </c>
      <c r="G233" s="181" t="s">
        <v>62</v>
      </c>
      <c r="H233" s="233">
        <v>15.525432931441488</v>
      </c>
      <c r="I233" s="327"/>
      <c r="J233" s="327"/>
      <c r="K233" s="327"/>
      <c r="L233" s="233">
        <v>16.971343716998668</v>
      </c>
      <c r="M233" s="327"/>
      <c r="N233" s="327"/>
      <c r="O233" s="327"/>
      <c r="P233" s="327"/>
    </row>
    <row r="234" spans="2:16" ht="18" customHeight="1">
      <c r="B234" s="307"/>
      <c r="C234" s="305"/>
      <c r="D234" s="305"/>
      <c r="E234" s="289"/>
      <c r="F234" s="79">
        <v>2</v>
      </c>
      <c r="G234" s="167" t="s">
        <v>63</v>
      </c>
      <c r="H234" s="234">
        <v>16.471142877226342</v>
      </c>
      <c r="I234" s="328"/>
      <c r="J234" s="328"/>
      <c r="K234" s="328"/>
      <c r="L234" s="234">
        <v>15.50280342560753</v>
      </c>
      <c r="M234" s="328"/>
      <c r="N234" s="328"/>
      <c r="O234" s="328"/>
      <c r="P234" s="328"/>
    </row>
    <row r="235" spans="2:16" ht="18" customHeight="1">
      <c r="B235" s="307"/>
      <c r="C235" s="305"/>
      <c r="D235" s="305"/>
      <c r="E235" s="289"/>
      <c r="F235" s="79">
        <v>3</v>
      </c>
      <c r="G235" s="167" t="s">
        <v>64</v>
      </c>
      <c r="H235" s="234">
        <v>16.643473300430777</v>
      </c>
      <c r="I235" s="328"/>
      <c r="J235" s="328"/>
      <c r="K235" s="328"/>
      <c r="L235" s="234">
        <v>19.392112986336741</v>
      </c>
      <c r="M235" s="328"/>
      <c r="N235" s="328"/>
      <c r="O235" s="328"/>
      <c r="P235" s="328"/>
    </row>
    <row r="236" spans="2:16" ht="18" customHeight="1">
      <c r="B236" s="307"/>
      <c r="C236" s="305"/>
      <c r="D236" s="305"/>
      <c r="E236" s="289"/>
      <c r="F236" s="79">
        <v>4</v>
      </c>
      <c r="G236" s="167" t="s">
        <v>65</v>
      </c>
      <c r="H236" s="234">
        <v>23.604307051278049</v>
      </c>
      <c r="I236" s="328"/>
      <c r="J236" s="328"/>
      <c r="K236" s="328"/>
      <c r="L236" s="234">
        <v>25.682293336904046</v>
      </c>
      <c r="M236" s="328"/>
      <c r="N236" s="328"/>
      <c r="O236" s="328"/>
      <c r="P236" s="328"/>
    </row>
    <row r="237" spans="2:16" ht="18" customHeight="1">
      <c r="B237" s="307"/>
      <c r="C237" s="305"/>
      <c r="D237" s="305"/>
      <c r="E237" s="289"/>
      <c r="F237" s="79">
        <v>5</v>
      </c>
      <c r="G237" s="167" t="s">
        <v>66</v>
      </c>
      <c r="H237" s="234">
        <v>16.970128934575058</v>
      </c>
      <c r="I237" s="328"/>
      <c r="J237" s="328"/>
      <c r="K237" s="328"/>
      <c r="L237" s="234">
        <v>15.447287496623117</v>
      </c>
      <c r="M237" s="328"/>
      <c r="N237" s="328"/>
      <c r="O237" s="328"/>
      <c r="P237" s="328"/>
    </row>
    <row r="238" spans="2:16" ht="18" customHeight="1">
      <c r="B238" s="307"/>
      <c r="C238" s="305"/>
      <c r="D238" s="305"/>
      <c r="E238" s="289"/>
      <c r="F238" s="79">
        <v>6</v>
      </c>
      <c r="G238" s="167" t="s">
        <v>67</v>
      </c>
      <c r="H238" s="234">
        <v>6.39093680405764</v>
      </c>
      <c r="I238" s="328"/>
      <c r="J238" s="328"/>
      <c r="K238" s="328"/>
      <c r="L238" s="234">
        <v>4.6675139929726992</v>
      </c>
      <c r="M238" s="328"/>
      <c r="N238" s="328"/>
      <c r="O238" s="328"/>
      <c r="P238" s="328"/>
    </row>
    <row r="239" spans="2:16" ht="18" customHeight="1">
      <c r="B239" s="307"/>
      <c r="C239" s="304"/>
      <c r="D239" s="304"/>
      <c r="E239" s="288"/>
      <c r="F239" s="82">
        <v>7</v>
      </c>
      <c r="G239" s="182" t="s">
        <v>68</v>
      </c>
      <c r="H239" s="235">
        <v>4.3945781009906497</v>
      </c>
      <c r="I239" s="329"/>
      <c r="J239" s="329"/>
      <c r="K239" s="329"/>
      <c r="L239" s="235">
        <v>2.336645044557172</v>
      </c>
      <c r="M239" s="329"/>
      <c r="N239" s="329"/>
      <c r="O239" s="329"/>
      <c r="P239" s="329"/>
    </row>
    <row r="240" spans="2:16" ht="18" customHeight="1">
      <c r="B240" s="307"/>
      <c r="C240" s="303" t="s">
        <v>79</v>
      </c>
      <c r="D240" s="303" t="s">
        <v>61</v>
      </c>
      <c r="E240" s="287" t="str">
        <f>HYPERLINK("#LAYOUT_m1!lay중YTIM1N01","YTIM1N01")</f>
        <v>YTIM1N01</v>
      </c>
      <c r="F240" s="78">
        <v>1</v>
      </c>
      <c r="G240" s="181" t="s">
        <v>62</v>
      </c>
      <c r="H240" s="233">
        <v>17.448330853501542</v>
      </c>
      <c r="I240" s="327"/>
      <c r="J240" s="327"/>
      <c r="K240" s="327"/>
      <c r="L240" s="233">
        <v>15.210675110373629</v>
      </c>
      <c r="M240" s="327"/>
      <c r="N240" s="327"/>
      <c r="O240" s="327"/>
      <c r="P240" s="327"/>
    </row>
    <row r="241" spans="2:16" ht="18" customHeight="1">
      <c r="B241" s="307"/>
      <c r="C241" s="305"/>
      <c r="D241" s="305"/>
      <c r="E241" s="289"/>
      <c r="F241" s="79">
        <v>2</v>
      </c>
      <c r="G241" s="167" t="s">
        <v>63</v>
      </c>
      <c r="H241" s="234">
        <v>17.119920843122785</v>
      </c>
      <c r="I241" s="328"/>
      <c r="J241" s="328"/>
      <c r="K241" s="328"/>
      <c r="L241" s="234">
        <v>16.389096758186952</v>
      </c>
      <c r="M241" s="328"/>
      <c r="N241" s="328"/>
      <c r="O241" s="328"/>
      <c r="P241" s="328"/>
    </row>
    <row r="242" spans="2:16" ht="18" customHeight="1">
      <c r="B242" s="307"/>
      <c r="C242" s="305"/>
      <c r="D242" s="305"/>
      <c r="E242" s="289"/>
      <c r="F242" s="79">
        <v>3</v>
      </c>
      <c r="G242" s="167" t="s">
        <v>64</v>
      </c>
      <c r="H242" s="234">
        <v>17.976896154345376</v>
      </c>
      <c r="I242" s="328"/>
      <c r="J242" s="328"/>
      <c r="K242" s="328"/>
      <c r="L242" s="234">
        <v>22.216931995044632</v>
      </c>
      <c r="M242" s="328"/>
      <c r="N242" s="328"/>
      <c r="O242" s="328"/>
      <c r="P242" s="328"/>
    </row>
    <row r="243" spans="2:16" ht="18" customHeight="1">
      <c r="B243" s="307"/>
      <c r="C243" s="305"/>
      <c r="D243" s="305"/>
      <c r="E243" s="289"/>
      <c r="F243" s="79">
        <v>4</v>
      </c>
      <c r="G243" s="167" t="s">
        <v>65</v>
      </c>
      <c r="H243" s="234">
        <v>23.15173527805463</v>
      </c>
      <c r="I243" s="328"/>
      <c r="J243" s="328"/>
      <c r="K243" s="328"/>
      <c r="L243" s="234">
        <v>23.811716983934904</v>
      </c>
      <c r="M243" s="328"/>
      <c r="N243" s="328"/>
      <c r="O243" s="328"/>
      <c r="P243" s="328"/>
    </row>
    <row r="244" spans="2:16" ht="18" customHeight="1">
      <c r="B244" s="307"/>
      <c r="C244" s="305"/>
      <c r="D244" s="305"/>
      <c r="E244" s="289"/>
      <c r="F244" s="79">
        <v>5</v>
      </c>
      <c r="G244" s="167" t="s">
        <v>66</v>
      </c>
      <c r="H244" s="234">
        <v>10.978346263139562</v>
      </c>
      <c r="I244" s="328"/>
      <c r="J244" s="328"/>
      <c r="K244" s="328"/>
      <c r="L244" s="234">
        <v>12.484593174331639</v>
      </c>
      <c r="M244" s="328"/>
      <c r="N244" s="328"/>
      <c r="O244" s="328"/>
      <c r="P244" s="328"/>
    </row>
    <row r="245" spans="2:16" ht="18" customHeight="1">
      <c r="B245" s="307"/>
      <c r="C245" s="305"/>
      <c r="D245" s="305"/>
      <c r="E245" s="289"/>
      <c r="F245" s="79">
        <v>6</v>
      </c>
      <c r="G245" s="167" t="s">
        <v>67</v>
      </c>
      <c r="H245" s="234">
        <v>5.3019945463046492</v>
      </c>
      <c r="I245" s="328"/>
      <c r="J245" s="328"/>
      <c r="K245" s="328"/>
      <c r="L245" s="234">
        <v>3.8634195302799692</v>
      </c>
      <c r="M245" s="328"/>
      <c r="N245" s="328"/>
      <c r="O245" s="328"/>
      <c r="P245" s="328"/>
    </row>
    <row r="246" spans="2:16" ht="18" customHeight="1">
      <c r="B246" s="307"/>
      <c r="C246" s="305"/>
      <c r="D246" s="304"/>
      <c r="E246" s="288"/>
      <c r="F246" s="82">
        <v>7</v>
      </c>
      <c r="G246" s="182" t="s">
        <v>68</v>
      </c>
      <c r="H246" s="235">
        <v>8.0227760615314754</v>
      </c>
      <c r="I246" s="329"/>
      <c r="J246" s="329"/>
      <c r="K246" s="329"/>
      <c r="L246" s="235">
        <v>6.0235664478482889</v>
      </c>
      <c r="M246" s="329"/>
      <c r="N246" s="329"/>
      <c r="O246" s="329"/>
      <c r="P246" s="329"/>
    </row>
    <row r="247" spans="2:16" ht="18" customHeight="1">
      <c r="B247" s="307"/>
      <c r="C247" s="305"/>
      <c r="D247" s="303" t="s">
        <v>69</v>
      </c>
      <c r="E247" s="287" t="str">
        <f>HYPERLINK("#LAYOUT_m1!lay중YTIM1N02","YTIM1N02")</f>
        <v>YTIM1N02</v>
      </c>
      <c r="F247" s="78">
        <v>1</v>
      </c>
      <c r="G247" s="181" t="s">
        <v>62</v>
      </c>
      <c r="H247" s="233">
        <v>11.80467733697729</v>
      </c>
      <c r="I247" s="327"/>
      <c r="J247" s="327"/>
      <c r="K247" s="327"/>
      <c r="L247" s="233">
        <v>9.856415452418668</v>
      </c>
      <c r="M247" s="327"/>
      <c r="N247" s="327"/>
      <c r="O247" s="327"/>
      <c r="P247" s="327"/>
    </row>
    <row r="248" spans="2:16" ht="18" customHeight="1">
      <c r="B248" s="307"/>
      <c r="C248" s="305"/>
      <c r="D248" s="305"/>
      <c r="E248" s="289"/>
      <c r="F248" s="79">
        <v>2</v>
      </c>
      <c r="G248" s="167" t="s">
        <v>63</v>
      </c>
      <c r="H248" s="234">
        <v>7.3233445270090014</v>
      </c>
      <c r="I248" s="328"/>
      <c r="J248" s="328"/>
      <c r="K248" s="328"/>
      <c r="L248" s="234">
        <v>8.3167281460767377</v>
      </c>
      <c r="M248" s="328"/>
      <c r="N248" s="328"/>
      <c r="O248" s="328"/>
      <c r="P248" s="328"/>
    </row>
    <row r="249" spans="2:16" ht="18" customHeight="1">
      <c r="B249" s="307"/>
      <c r="C249" s="305"/>
      <c r="D249" s="305"/>
      <c r="E249" s="289"/>
      <c r="F249" s="79">
        <v>3</v>
      </c>
      <c r="G249" s="167" t="s">
        <v>64</v>
      </c>
      <c r="H249" s="234">
        <v>9.7666389931583666</v>
      </c>
      <c r="I249" s="328"/>
      <c r="J249" s="328"/>
      <c r="K249" s="328"/>
      <c r="L249" s="234">
        <v>13.373404818422916</v>
      </c>
      <c r="M249" s="328"/>
      <c r="N249" s="328"/>
      <c r="O249" s="328"/>
      <c r="P249" s="328"/>
    </row>
    <row r="250" spans="2:16" ht="18" customHeight="1">
      <c r="B250" s="307"/>
      <c r="C250" s="305"/>
      <c r="D250" s="305"/>
      <c r="E250" s="289"/>
      <c r="F250" s="79">
        <v>4</v>
      </c>
      <c r="G250" s="167" t="s">
        <v>65</v>
      </c>
      <c r="H250" s="234">
        <v>16.552538049838351</v>
      </c>
      <c r="I250" s="328"/>
      <c r="J250" s="328"/>
      <c r="K250" s="328"/>
      <c r="L250" s="234">
        <v>20.424372984368528</v>
      </c>
      <c r="M250" s="328"/>
      <c r="N250" s="328"/>
      <c r="O250" s="328"/>
      <c r="P250" s="328"/>
    </row>
    <row r="251" spans="2:16" ht="18" customHeight="1">
      <c r="B251" s="307"/>
      <c r="C251" s="305"/>
      <c r="D251" s="305"/>
      <c r="E251" s="289"/>
      <c r="F251" s="79">
        <v>5</v>
      </c>
      <c r="G251" s="167" t="s">
        <v>66</v>
      </c>
      <c r="H251" s="234">
        <v>16.940354920506856</v>
      </c>
      <c r="I251" s="328"/>
      <c r="J251" s="328"/>
      <c r="K251" s="328"/>
      <c r="L251" s="234">
        <v>20.626985596137999</v>
      </c>
      <c r="M251" s="328"/>
      <c r="N251" s="328"/>
      <c r="O251" s="328"/>
      <c r="P251" s="328"/>
    </row>
    <row r="252" spans="2:16" ht="18" customHeight="1">
      <c r="B252" s="307"/>
      <c r="C252" s="305"/>
      <c r="D252" s="305"/>
      <c r="E252" s="289"/>
      <c r="F252" s="79">
        <v>6</v>
      </c>
      <c r="G252" s="167" t="s">
        <v>67</v>
      </c>
      <c r="H252" s="234">
        <v>14.575402990534535</v>
      </c>
      <c r="I252" s="328"/>
      <c r="J252" s="328"/>
      <c r="K252" s="328"/>
      <c r="L252" s="234">
        <v>10.299279348042957</v>
      </c>
      <c r="M252" s="328"/>
      <c r="N252" s="328"/>
      <c r="O252" s="328"/>
      <c r="P252" s="328"/>
    </row>
    <row r="253" spans="2:16" ht="18" customHeight="1">
      <c r="B253" s="308"/>
      <c r="C253" s="304"/>
      <c r="D253" s="304"/>
      <c r="E253" s="288"/>
      <c r="F253" s="82">
        <v>7</v>
      </c>
      <c r="G253" s="182" t="s">
        <v>68</v>
      </c>
      <c r="H253" s="235">
        <v>23.037043181975609</v>
      </c>
      <c r="I253" s="329"/>
      <c r="J253" s="329"/>
      <c r="K253" s="329"/>
      <c r="L253" s="235">
        <v>17.102813654532188</v>
      </c>
      <c r="M253" s="329"/>
      <c r="N253" s="329"/>
      <c r="O253" s="329"/>
      <c r="P253" s="329"/>
    </row>
    <row r="254" spans="2:16" ht="18" customHeight="1">
      <c r="B254" s="315" t="s">
        <v>80</v>
      </c>
      <c r="C254" s="315"/>
      <c r="D254" s="310"/>
      <c r="E254" s="287" t="str">
        <f>HYPERLINK("#LAYOUT_m1!lay중YMDA1A00","YMDA1A00")</f>
        <v>YMDA1A00</v>
      </c>
      <c r="F254" s="78">
        <v>1</v>
      </c>
      <c r="G254" s="179" t="s">
        <v>81</v>
      </c>
      <c r="H254" s="233">
        <v>95.522950383548519</v>
      </c>
      <c r="I254" s="327"/>
      <c r="J254" s="327"/>
      <c r="K254" s="327"/>
      <c r="L254" s="233">
        <v>97.845497390562528</v>
      </c>
      <c r="M254" s="327"/>
      <c r="N254" s="327"/>
      <c r="O254" s="327"/>
      <c r="P254" s="327"/>
    </row>
    <row r="255" spans="2:16" ht="18" customHeight="1">
      <c r="B255" s="316"/>
      <c r="C255" s="316"/>
      <c r="D255" s="312"/>
      <c r="E255" s="289"/>
      <c r="F255" s="79">
        <v>2</v>
      </c>
      <c r="G255" s="178" t="s">
        <v>82</v>
      </c>
      <c r="H255" s="234">
        <v>2.5263673481851843</v>
      </c>
      <c r="I255" s="328"/>
      <c r="J255" s="328"/>
      <c r="K255" s="328"/>
      <c r="L255" s="234">
        <v>1.0952083801222017</v>
      </c>
      <c r="M255" s="328"/>
      <c r="N255" s="328"/>
      <c r="O255" s="328"/>
      <c r="P255" s="328"/>
    </row>
    <row r="256" spans="2:16" ht="18" customHeight="1">
      <c r="B256" s="317"/>
      <c r="C256" s="317"/>
      <c r="D256" s="314"/>
      <c r="E256" s="288"/>
      <c r="F256" s="82">
        <v>3</v>
      </c>
      <c r="G256" s="180" t="s">
        <v>83</v>
      </c>
      <c r="H256" s="235">
        <v>1.9506822682662674</v>
      </c>
      <c r="I256" s="329"/>
      <c r="J256" s="329"/>
      <c r="K256" s="329"/>
      <c r="L256" s="235">
        <v>1.0592942293152894</v>
      </c>
      <c r="M256" s="329"/>
      <c r="N256" s="329"/>
      <c r="O256" s="329"/>
      <c r="P256" s="329"/>
    </row>
    <row r="257" spans="2:16" ht="18" customHeight="1">
      <c r="B257" s="282" t="s">
        <v>84</v>
      </c>
      <c r="C257" s="309" t="s">
        <v>85</v>
      </c>
      <c r="D257" s="310"/>
      <c r="E257" s="287" t="str">
        <f>HYPERLINK("#LAYOUT_m1!lay중YMDA1B01","YMDA1B01")</f>
        <v>YMDA1B01</v>
      </c>
      <c r="F257" s="78">
        <v>1</v>
      </c>
      <c r="G257" s="179" t="s">
        <v>86</v>
      </c>
      <c r="H257" s="233">
        <v>1.0081647254091071</v>
      </c>
      <c r="I257" s="327">
        <v>3.5000973810909177</v>
      </c>
      <c r="J257" s="327">
        <v>1.2896398749435344E-2</v>
      </c>
      <c r="K257" s="327">
        <v>0.36845828402110792</v>
      </c>
      <c r="L257" s="233">
        <v>0.95586988034663911</v>
      </c>
      <c r="M257" s="327">
        <v>3.4027957685056038</v>
      </c>
      <c r="N257" s="327">
        <v>0.68025216493847551</v>
      </c>
      <c r="O257" s="327">
        <v>1.3850504093971358E-2</v>
      </c>
      <c r="P257" s="327">
        <v>0.40703307034068748</v>
      </c>
    </row>
    <row r="258" spans="2:16" ht="18" customHeight="1">
      <c r="B258" s="284"/>
      <c r="C258" s="311"/>
      <c r="D258" s="312"/>
      <c r="E258" s="289"/>
      <c r="F258" s="79">
        <v>2</v>
      </c>
      <c r="G258" s="178" t="s">
        <v>87</v>
      </c>
      <c r="H258" s="234">
        <v>5.597778087390048</v>
      </c>
      <c r="I258" s="328"/>
      <c r="J258" s="328"/>
      <c r="K258" s="328"/>
      <c r="L258" s="234">
        <v>8.1539745983833143</v>
      </c>
      <c r="M258" s="328">
        <v>3.4027957685056038</v>
      </c>
      <c r="N258" s="328">
        <v>0.68025216493847551</v>
      </c>
      <c r="O258" s="328">
        <v>1.3850504093971358E-2</v>
      </c>
      <c r="P258" s="328">
        <v>0.40703307034068748</v>
      </c>
    </row>
    <row r="259" spans="2:16" ht="18" customHeight="1">
      <c r="B259" s="284"/>
      <c r="C259" s="311"/>
      <c r="D259" s="312"/>
      <c r="E259" s="289"/>
      <c r="F259" s="79">
        <v>3</v>
      </c>
      <c r="G259" s="178" t="s">
        <v>88</v>
      </c>
      <c r="H259" s="234">
        <v>35.770211539903478</v>
      </c>
      <c r="I259" s="328"/>
      <c r="J259" s="328"/>
      <c r="K259" s="328"/>
      <c r="L259" s="234">
        <v>40.544864311631009</v>
      </c>
      <c r="M259" s="328">
        <v>3.4027957685056038</v>
      </c>
      <c r="N259" s="328">
        <v>0.68025216493847551</v>
      </c>
      <c r="O259" s="328">
        <v>1.3850504093971358E-2</v>
      </c>
      <c r="P259" s="328">
        <v>0.40703307034068748</v>
      </c>
    </row>
    <row r="260" spans="2:16" ht="18" customHeight="1">
      <c r="B260" s="284"/>
      <c r="C260" s="311"/>
      <c r="D260" s="312"/>
      <c r="E260" s="289"/>
      <c r="F260" s="79">
        <v>4</v>
      </c>
      <c r="G260" s="178" t="s">
        <v>89</v>
      </c>
      <c r="H260" s="234">
        <v>57.623845647297351</v>
      </c>
      <c r="I260" s="328"/>
      <c r="J260" s="328"/>
      <c r="K260" s="328"/>
      <c r="L260" s="234">
        <v>50.345291209639043</v>
      </c>
      <c r="M260" s="328">
        <v>3.4027957685056038</v>
      </c>
      <c r="N260" s="328">
        <v>0.68025216493847551</v>
      </c>
      <c r="O260" s="328">
        <v>1.3850504093971358E-2</v>
      </c>
      <c r="P260" s="328">
        <v>0.40703307034068748</v>
      </c>
    </row>
    <row r="261" spans="2:16" ht="18" customHeight="1">
      <c r="B261" s="284"/>
      <c r="C261" s="309" t="s">
        <v>91</v>
      </c>
      <c r="D261" s="310"/>
      <c r="E261" s="287" t="str">
        <f>HYPERLINK("#LAYOUT_m1!lay중YMDA1B02","YMDA1B02")</f>
        <v>YMDA1B02</v>
      </c>
      <c r="F261" s="78">
        <v>1</v>
      </c>
      <c r="G261" s="179" t="s">
        <v>86</v>
      </c>
      <c r="H261" s="233">
        <v>2.3429984836789122</v>
      </c>
      <c r="I261" s="327">
        <v>3.2142521950136369</v>
      </c>
      <c r="J261" s="327">
        <v>1.5070639087115614E-2</v>
      </c>
      <c r="K261" s="327">
        <v>0.46886921662510267</v>
      </c>
      <c r="L261" s="233">
        <v>1.2877767499944188</v>
      </c>
      <c r="M261" s="327">
        <v>3.2557361301110643</v>
      </c>
      <c r="N261" s="327">
        <v>0.72301648565996657</v>
      </c>
      <c r="O261" s="327">
        <v>1.472122149813058E-2</v>
      </c>
      <c r="P261" s="327">
        <v>0.45216261115204021</v>
      </c>
    </row>
    <row r="262" spans="2:16" ht="18" customHeight="1">
      <c r="B262" s="284"/>
      <c r="C262" s="311"/>
      <c r="D262" s="312"/>
      <c r="E262" s="289"/>
      <c r="F262" s="79">
        <v>2</v>
      </c>
      <c r="G262" s="178" t="s">
        <v>87</v>
      </c>
      <c r="H262" s="234">
        <v>13.398363588440541</v>
      </c>
      <c r="I262" s="328"/>
      <c r="J262" s="328"/>
      <c r="K262" s="328"/>
      <c r="L262" s="234">
        <v>12.658142298674257</v>
      </c>
      <c r="M262" s="328">
        <v>3.2557361301110643</v>
      </c>
      <c r="N262" s="328">
        <v>0.72301648565996657</v>
      </c>
      <c r="O262" s="328">
        <v>1.472122149813058E-2</v>
      </c>
      <c r="P262" s="328">
        <v>0.45216261115204021</v>
      </c>
    </row>
    <row r="263" spans="2:16" ht="18" customHeight="1">
      <c r="B263" s="284"/>
      <c r="C263" s="311"/>
      <c r="D263" s="312"/>
      <c r="E263" s="289"/>
      <c r="F263" s="79">
        <v>3</v>
      </c>
      <c r="G263" s="178" t="s">
        <v>88</v>
      </c>
      <c r="H263" s="234">
        <v>44.749057870719845</v>
      </c>
      <c r="I263" s="328"/>
      <c r="J263" s="328"/>
      <c r="K263" s="328"/>
      <c r="L263" s="234">
        <v>45.246772141559376</v>
      </c>
      <c r="M263" s="328">
        <v>3.2557361301110643</v>
      </c>
      <c r="N263" s="328">
        <v>0.72301648565996657</v>
      </c>
      <c r="O263" s="328">
        <v>1.472122149813058E-2</v>
      </c>
      <c r="P263" s="328">
        <v>0.45216261115204021</v>
      </c>
    </row>
    <row r="264" spans="2:16" ht="18" customHeight="1">
      <c r="B264" s="284"/>
      <c r="C264" s="311"/>
      <c r="D264" s="312"/>
      <c r="E264" s="289"/>
      <c r="F264" s="79">
        <v>4</v>
      </c>
      <c r="G264" s="178" t="s">
        <v>89</v>
      </c>
      <c r="H264" s="234">
        <v>39.509580057160704</v>
      </c>
      <c r="I264" s="328"/>
      <c r="J264" s="328"/>
      <c r="K264" s="328"/>
      <c r="L264" s="234">
        <v>40.807308809771939</v>
      </c>
      <c r="M264" s="328">
        <v>3.2557361301110643</v>
      </c>
      <c r="N264" s="328">
        <v>0.72301648565996657</v>
      </c>
      <c r="O264" s="328">
        <v>1.472122149813058E-2</v>
      </c>
      <c r="P264" s="328">
        <v>0.45216261115204021</v>
      </c>
    </row>
    <row r="265" spans="2:16" ht="18" customHeight="1">
      <c r="B265" s="284"/>
      <c r="C265" s="309" t="s">
        <v>92</v>
      </c>
      <c r="D265" s="310"/>
      <c r="E265" s="287" t="str">
        <f>HYPERLINK("#LAYOUT_m1!lay중YMDA1B03","YMDA1B03")</f>
        <v>YMDA1B03</v>
      </c>
      <c r="F265" s="78">
        <v>1</v>
      </c>
      <c r="G265" s="179" t="s">
        <v>86</v>
      </c>
      <c r="H265" s="233">
        <v>2.5284071066209259</v>
      </c>
      <c r="I265" s="327">
        <v>3.3995135893877806</v>
      </c>
      <c r="J265" s="327">
        <v>1.4936401606769347E-2</v>
      </c>
      <c r="K265" s="327">
        <v>0.43936878656394041</v>
      </c>
      <c r="L265" s="233">
        <v>1.515007055222088</v>
      </c>
      <c r="M265" s="327">
        <v>3.37678236880426</v>
      </c>
      <c r="N265" s="327">
        <v>0.74157705157074094</v>
      </c>
      <c r="O265" s="327">
        <v>1.5099130172859828E-2</v>
      </c>
      <c r="P265" s="327">
        <v>0.44714549306908796</v>
      </c>
    </row>
    <row r="266" spans="2:16" ht="18" customHeight="1">
      <c r="B266" s="284"/>
      <c r="C266" s="311"/>
      <c r="D266" s="312"/>
      <c r="E266" s="289"/>
      <c r="F266" s="79">
        <v>2</v>
      </c>
      <c r="G266" s="178" t="s">
        <v>87</v>
      </c>
      <c r="H266" s="234">
        <v>8.7528584217788676</v>
      </c>
      <c r="I266" s="328"/>
      <c r="J266" s="328"/>
      <c r="K266" s="328"/>
      <c r="L266" s="234">
        <v>11.106353463240367</v>
      </c>
      <c r="M266" s="328">
        <v>3.37678236880426</v>
      </c>
      <c r="N266" s="328">
        <v>0.74157705157074094</v>
      </c>
      <c r="O266" s="328">
        <v>1.5099130172859828E-2</v>
      </c>
      <c r="P266" s="328">
        <v>0.44714549306908796</v>
      </c>
    </row>
    <row r="267" spans="2:16" ht="18" customHeight="1">
      <c r="B267" s="284"/>
      <c r="C267" s="311"/>
      <c r="D267" s="312"/>
      <c r="E267" s="289"/>
      <c r="F267" s="79">
        <v>3</v>
      </c>
      <c r="G267" s="178" t="s">
        <v>88</v>
      </c>
      <c r="H267" s="234">
        <v>34.957702897803699</v>
      </c>
      <c r="I267" s="328"/>
      <c r="J267" s="328"/>
      <c r="K267" s="328"/>
      <c r="L267" s="234">
        <v>35.564035027425575</v>
      </c>
      <c r="M267" s="328">
        <v>3.37678236880426</v>
      </c>
      <c r="N267" s="328">
        <v>0.74157705157074094</v>
      </c>
      <c r="O267" s="328">
        <v>1.5099130172859828E-2</v>
      </c>
      <c r="P267" s="328">
        <v>0.44714549306908796</v>
      </c>
    </row>
    <row r="268" spans="2:16" ht="18" customHeight="1">
      <c r="B268" s="284"/>
      <c r="C268" s="311"/>
      <c r="D268" s="312"/>
      <c r="E268" s="289"/>
      <c r="F268" s="79">
        <v>4</v>
      </c>
      <c r="G268" s="178" t="s">
        <v>89</v>
      </c>
      <c r="H268" s="234">
        <v>53.761031573796544</v>
      </c>
      <c r="I268" s="328"/>
      <c r="J268" s="328"/>
      <c r="K268" s="328"/>
      <c r="L268" s="234">
        <v>51.814604454111965</v>
      </c>
      <c r="M268" s="328">
        <v>3.37678236880426</v>
      </c>
      <c r="N268" s="328">
        <v>0.74157705157074094</v>
      </c>
      <c r="O268" s="328">
        <v>1.5099130172859828E-2</v>
      </c>
      <c r="P268" s="328">
        <v>0.44714549306908796</v>
      </c>
    </row>
    <row r="269" spans="2:16" ht="18" customHeight="1">
      <c r="B269" s="284"/>
      <c r="C269" s="309" t="s">
        <v>93</v>
      </c>
      <c r="D269" s="310"/>
      <c r="E269" s="287" t="str">
        <f>HYPERLINK("#LAYOUT_m1!lay중YMDA1B04","YMDA1B04")</f>
        <v>YMDA1B04</v>
      </c>
      <c r="F269" s="78">
        <v>1</v>
      </c>
      <c r="G269" s="179" t="s">
        <v>86</v>
      </c>
      <c r="H269" s="233">
        <v>1.485067642675558</v>
      </c>
      <c r="I269" s="327">
        <v>3.6535502465934453</v>
      </c>
      <c r="J269" s="327">
        <v>1.254080262150325E-2</v>
      </c>
      <c r="K269" s="327">
        <v>0.34324976461446605</v>
      </c>
      <c r="L269" s="233">
        <v>0.9843648668250754</v>
      </c>
      <c r="M269" s="327">
        <v>3.5999654561741448</v>
      </c>
      <c r="N269" s="327">
        <v>0.66544099277955704</v>
      </c>
      <c r="O269" s="327">
        <v>1.3548936217826237E-2</v>
      </c>
      <c r="P269" s="327">
        <v>0.37636295077745946</v>
      </c>
    </row>
    <row r="270" spans="2:16" ht="18" customHeight="1">
      <c r="B270" s="284"/>
      <c r="C270" s="311"/>
      <c r="D270" s="312"/>
      <c r="E270" s="289"/>
      <c r="F270" s="79">
        <v>2</v>
      </c>
      <c r="G270" s="178" t="s">
        <v>87</v>
      </c>
      <c r="H270" s="234">
        <v>4.1971907431391742</v>
      </c>
      <c r="I270" s="328"/>
      <c r="J270" s="328"/>
      <c r="K270" s="328"/>
      <c r="L270" s="234">
        <v>7.1029367879923608</v>
      </c>
      <c r="M270" s="328">
        <v>3.5999654561741448</v>
      </c>
      <c r="N270" s="328">
        <v>0.66544099277955704</v>
      </c>
      <c r="O270" s="328">
        <v>1.3548936217826237E-2</v>
      </c>
      <c r="P270" s="328">
        <v>0.37636295077745946</v>
      </c>
    </row>
    <row r="271" spans="2:16" ht="18" customHeight="1">
      <c r="B271" s="284"/>
      <c r="C271" s="311"/>
      <c r="D271" s="312"/>
      <c r="E271" s="289"/>
      <c r="F271" s="79">
        <v>3</v>
      </c>
      <c r="G271" s="178" t="s">
        <v>88</v>
      </c>
      <c r="H271" s="234">
        <v>21.795390926352557</v>
      </c>
      <c r="I271" s="328"/>
      <c r="J271" s="328"/>
      <c r="K271" s="328"/>
      <c r="L271" s="234">
        <v>22.844486206123687</v>
      </c>
      <c r="M271" s="328">
        <v>3.5999654561741448</v>
      </c>
      <c r="N271" s="328">
        <v>0.66544099277955704</v>
      </c>
      <c r="O271" s="328">
        <v>1.3548936217826237E-2</v>
      </c>
      <c r="P271" s="328">
        <v>0.37636295077745946</v>
      </c>
    </row>
    <row r="272" spans="2:16" ht="18" customHeight="1">
      <c r="B272" s="284"/>
      <c r="C272" s="311"/>
      <c r="D272" s="312"/>
      <c r="E272" s="289"/>
      <c r="F272" s="79">
        <v>4</v>
      </c>
      <c r="G272" s="178" t="s">
        <v>89</v>
      </c>
      <c r="H272" s="234">
        <v>72.522350687832727</v>
      </c>
      <c r="I272" s="328"/>
      <c r="J272" s="328"/>
      <c r="K272" s="328"/>
      <c r="L272" s="234">
        <v>69.068212139058843</v>
      </c>
      <c r="M272" s="328">
        <v>3.5999654561741448</v>
      </c>
      <c r="N272" s="328">
        <v>0.66544099277955704</v>
      </c>
      <c r="O272" s="328">
        <v>1.3548936217826237E-2</v>
      </c>
      <c r="P272" s="328">
        <v>0.37636295077745946</v>
      </c>
    </row>
    <row r="273" spans="2:16" ht="18" customHeight="1">
      <c r="B273" s="284"/>
      <c r="C273" s="309" t="s">
        <v>94</v>
      </c>
      <c r="D273" s="310"/>
      <c r="E273" s="287" t="str">
        <f>HYPERLINK("#LAYOUT_m1!lay중YMDA1B05","YMDA1B05")</f>
        <v>YMDA1B05</v>
      </c>
      <c r="F273" s="78">
        <v>1</v>
      </c>
      <c r="G273" s="179" t="s">
        <v>86</v>
      </c>
      <c r="H273" s="233">
        <v>20.046265396833036</v>
      </c>
      <c r="I273" s="327">
        <v>2.9148589533899929</v>
      </c>
      <c r="J273" s="327">
        <v>2.3185280836956007E-2</v>
      </c>
      <c r="K273" s="327">
        <v>0.79541690379191154</v>
      </c>
      <c r="L273" s="233">
        <v>11.8142640444687</v>
      </c>
      <c r="M273" s="327">
        <v>3.0672449658765797</v>
      </c>
      <c r="N273" s="327">
        <v>1.0313312297547697</v>
      </c>
      <c r="O273" s="327">
        <v>2.0998768039570875E-2</v>
      </c>
      <c r="P273" s="327">
        <v>0.68461333454563789</v>
      </c>
    </row>
    <row r="274" spans="2:16" ht="18" customHeight="1">
      <c r="B274" s="284"/>
      <c r="C274" s="311"/>
      <c r="D274" s="312"/>
      <c r="E274" s="289"/>
      <c r="F274" s="79">
        <v>2</v>
      </c>
      <c r="G274" s="178" t="s">
        <v>87</v>
      </c>
      <c r="H274" s="234">
        <v>12.750476461934033</v>
      </c>
      <c r="I274" s="328"/>
      <c r="J274" s="328"/>
      <c r="K274" s="328"/>
      <c r="L274" s="234">
        <v>14.400987184992873</v>
      </c>
      <c r="M274" s="328">
        <v>3.0672449658765797</v>
      </c>
      <c r="N274" s="328">
        <v>1.0313312297547697</v>
      </c>
      <c r="O274" s="328">
        <v>2.0998768039570875E-2</v>
      </c>
      <c r="P274" s="328">
        <v>0.68461333454563789</v>
      </c>
    </row>
    <row r="275" spans="2:16" ht="18" customHeight="1">
      <c r="B275" s="284"/>
      <c r="C275" s="311"/>
      <c r="D275" s="312"/>
      <c r="E275" s="289"/>
      <c r="F275" s="79">
        <v>3</v>
      </c>
      <c r="G275" s="178" t="s">
        <v>88</v>
      </c>
      <c r="H275" s="234">
        <v>22.874355546634607</v>
      </c>
      <c r="I275" s="328"/>
      <c r="J275" s="328"/>
      <c r="K275" s="328"/>
      <c r="L275" s="234">
        <v>29.030736908947777</v>
      </c>
      <c r="M275" s="328">
        <v>3.0672449658765797</v>
      </c>
      <c r="N275" s="328">
        <v>1.0313312297547697</v>
      </c>
      <c r="O275" s="328">
        <v>2.0998768039570875E-2</v>
      </c>
      <c r="P275" s="328">
        <v>0.68461333454563789</v>
      </c>
    </row>
    <row r="276" spans="2:16" ht="18" customHeight="1">
      <c r="B276" s="284"/>
      <c r="C276" s="311"/>
      <c r="D276" s="312"/>
      <c r="E276" s="289"/>
      <c r="F276" s="79">
        <v>4</v>
      </c>
      <c r="G276" s="178" t="s">
        <v>89</v>
      </c>
      <c r="H276" s="234">
        <v>44.328902594598304</v>
      </c>
      <c r="I276" s="328"/>
      <c r="J276" s="328"/>
      <c r="K276" s="328"/>
      <c r="L276" s="234">
        <v>44.754011861590634</v>
      </c>
      <c r="M276" s="328">
        <v>3.0672449658765797</v>
      </c>
      <c r="N276" s="328">
        <v>1.0313312297547697</v>
      </c>
      <c r="O276" s="328">
        <v>2.0998768039570875E-2</v>
      </c>
      <c r="P276" s="328">
        <v>0.68461333454563789</v>
      </c>
    </row>
    <row r="277" spans="2:16" ht="18" customHeight="1">
      <c r="B277" s="284"/>
      <c r="C277" s="309" t="s">
        <v>95</v>
      </c>
      <c r="D277" s="310"/>
      <c r="E277" s="287" t="str">
        <f>HYPERLINK("#LAYOUT_m1!lay중YMDA1B06","YMDA1B06")</f>
        <v>YMDA1B06</v>
      </c>
      <c r="F277" s="78">
        <v>1</v>
      </c>
      <c r="G277" s="179" t="s">
        <v>86</v>
      </c>
      <c r="H277" s="233">
        <v>10.344824995108874</v>
      </c>
      <c r="I277" s="327">
        <v>3.0097595062509592</v>
      </c>
      <c r="J277" s="327">
        <v>1.9869104297041765E-2</v>
      </c>
      <c r="K277" s="327">
        <v>0.66015587809509957</v>
      </c>
      <c r="L277" s="233">
        <v>11.386739353094269</v>
      </c>
      <c r="M277" s="327">
        <v>2.8859514245953606</v>
      </c>
      <c r="N277" s="327">
        <v>0.99760643380092828</v>
      </c>
      <c r="O277" s="327">
        <v>2.0312102934331163E-2</v>
      </c>
      <c r="P277" s="327">
        <v>0.70382691687817001</v>
      </c>
    </row>
    <row r="278" spans="2:16" ht="18" customHeight="1">
      <c r="B278" s="284"/>
      <c r="C278" s="311"/>
      <c r="D278" s="312"/>
      <c r="E278" s="289"/>
      <c r="F278" s="79">
        <v>2</v>
      </c>
      <c r="G278" s="178" t="s">
        <v>87</v>
      </c>
      <c r="H278" s="234">
        <v>18.619537907213036</v>
      </c>
      <c r="I278" s="328"/>
      <c r="J278" s="328"/>
      <c r="K278" s="328"/>
      <c r="L278" s="234">
        <v>21.764234891165042</v>
      </c>
      <c r="M278" s="328">
        <v>2.8859514245953606</v>
      </c>
      <c r="N278" s="328">
        <v>0.99760643380092828</v>
      </c>
      <c r="O278" s="328">
        <v>2.0312102934331163E-2</v>
      </c>
      <c r="P278" s="328">
        <v>0.70382691687817001</v>
      </c>
    </row>
    <row r="279" spans="2:16" ht="18" customHeight="1">
      <c r="B279" s="284"/>
      <c r="C279" s="311"/>
      <c r="D279" s="312"/>
      <c r="E279" s="289"/>
      <c r="F279" s="79">
        <v>3</v>
      </c>
      <c r="G279" s="178" t="s">
        <v>88</v>
      </c>
      <c r="H279" s="234">
        <v>30.750498575152395</v>
      </c>
      <c r="I279" s="328"/>
      <c r="J279" s="328"/>
      <c r="K279" s="328"/>
      <c r="L279" s="234">
        <v>33.716169698849399</v>
      </c>
      <c r="M279" s="328">
        <v>2.8859514245953606</v>
      </c>
      <c r="N279" s="328">
        <v>0.99760643380092828</v>
      </c>
      <c r="O279" s="328">
        <v>2.0312102934331163E-2</v>
      </c>
      <c r="P279" s="328">
        <v>0.70382691687817001</v>
      </c>
    </row>
    <row r="280" spans="2:16" ht="18" customHeight="1">
      <c r="B280" s="284"/>
      <c r="C280" s="311"/>
      <c r="D280" s="312"/>
      <c r="E280" s="289"/>
      <c r="F280" s="79">
        <v>4</v>
      </c>
      <c r="G280" s="178" t="s">
        <v>89</v>
      </c>
      <c r="H280" s="234">
        <v>40.285138522525699</v>
      </c>
      <c r="I280" s="328"/>
      <c r="J280" s="328"/>
      <c r="K280" s="328"/>
      <c r="L280" s="234">
        <v>33.132856056891271</v>
      </c>
      <c r="M280" s="328">
        <v>2.8859514245953606</v>
      </c>
      <c r="N280" s="328">
        <v>0.99760643380092828</v>
      </c>
      <c r="O280" s="328">
        <v>2.0312102934331163E-2</v>
      </c>
      <c r="P280" s="328">
        <v>0.70382691687817001</v>
      </c>
    </row>
    <row r="281" spans="2:16" ht="18" customHeight="1">
      <c r="B281" s="284"/>
      <c r="C281" s="309" t="s">
        <v>96</v>
      </c>
      <c r="D281" s="310"/>
      <c r="E281" s="287" t="str">
        <f>HYPERLINK("#LAYOUT_m1!lay중YMDA1B07","YMDA1B07")</f>
        <v>YMDA1B07</v>
      </c>
      <c r="F281" s="78">
        <v>1</v>
      </c>
      <c r="G281" s="179" t="s">
        <v>86</v>
      </c>
      <c r="H281" s="233">
        <v>8.2201008564665852</v>
      </c>
      <c r="I281" s="327">
        <v>2.9153673591252511</v>
      </c>
      <c r="J281" s="327">
        <v>1.8246033398392869E-2</v>
      </c>
      <c r="K281" s="327">
        <v>0.62585709280450819</v>
      </c>
      <c r="L281" s="233">
        <v>5.8477103273393398</v>
      </c>
      <c r="M281" s="327">
        <v>2.9779736323613477</v>
      </c>
      <c r="N281" s="327">
        <v>0.8591133308938067</v>
      </c>
      <c r="O281" s="327">
        <v>1.7492267309147401E-2</v>
      </c>
      <c r="P281" s="327">
        <v>0.58738825351106716</v>
      </c>
    </row>
    <row r="282" spans="2:16" ht="18" customHeight="1">
      <c r="B282" s="284"/>
      <c r="C282" s="311"/>
      <c r="D282" s="312"/>
      <c r="E282" s="289"/>
      <c r="F282" s="79">
        <v>2</v>
      </c>
      <c r="G282" s="178" t="s">
        <v>87</v>
      </c>
      <c r="H282" s="234">
        <v>22.210015985868274</v>
      </c>
      <c r="I282" s="328"/>
      <c r="J282" s="328"/>
      <c r="K282" s="328"/>
      <c r="L282" s="234">
        <v>20.345872229583826</v>
      </c>
      <c r="M282" s="328">
        <v>2.9779736323613477</v>
      </c>
      <c r="N282" s="328">
        <v>0.8591133308938067</v>
      </c>
      <c r="O282" s="328">
        <v>1.7492267309147401E-2</v>
      </c>
      <c r="P282" s="328">
        <v>0.58738825351106716</v>
      </c>
    </row>
    <row r="283" spans="2:16" ht="18" customHeight="1">
      <c r="B283" s="284"/>
      <c r="C283" s="311"/>
      <c r="D283" s="312"/>
      <c r="E283" s="289"/>
      <c r="F283" s="79">
        <v>3</v>
      </c>
      <c r="G283" s="178" t="s">
        <v>88</v>
      </c>
      <c r="H283" s="234">
        <v>39.382929546339135</v>
      </c>
      <c r="I283" s="328"/>
      <c r="J283" s="328"/>
      <c r="K283" s="328"/>
      <c r="L283" s="234">
        <v>43.967761322677511</v>
      </c>
      <c r="M283" s="328">
        <v>2.9779736323613477</v>
      </c>
      <c r="N283" s="328">
        <v>0.8591133308938067</v>
      </c>
      <c r="O283" s="328">
        <v>1.7492267309147401E-2</v>
      </c>
      <c r="P283" s="328">
        <v>0.58738825351106716</v>
      </c>
    </row>
    <row r="284" spans="2:16" ht="18" customHeight="1">
      <c r="B284" s="284"/>
      <c r="C284" s="311"/>
      <c r="D284" s="312"/>
      <c r="E284" s="289"/>
      <c r="F284" s="79">
        <v>4</v>
      </c>
      <c r="G284" s="178" t="s">
        <v>89</v>
      </c>
      <c r="H284" s="234">
        <v>30.186953611326004</v>
      </c>
      <c r="I284" s="328"/>
      <c r="J284" s="328"/>
      <c r="K284" s="328"/>
      <c r="L284" s="234">
        <v>29.838656120399303</v>
      </c>
      <c r="M284" s="328">
        <v>2.9779736323613477</v>
      </c>
      <c r="N284" s="328">
        <v>0.8591133308938067</v>
      </c>
      <c r="O284" s="328">
        <v>1.7492267309147401E-2</v>
      </c>
      <c r="P284" s="328">
        <v>0.58738825351106716</v>
      </c>
    </row>
    <row r="285" spans="2:16" ht="18" customHeight="1">
      <c r="B285" s="284"/>
      <c r="C285" s="309" t="s">
        <v>97</v>
      </c>
      <c r="D285" s="310"/>
      <c r="E285" s="287" t="str">
        <f>HYPERLINK("#LAYOUT_m1!lay중YMDA1B08","YMDA1B08")</f>
        <v>YMDA1B08</v>
      </c>
      <c r="F285" s="78">
        <v>1</v>
      </c>
      <c r="G285" s="179" t="s">
        <v>86</v>
      </c>
      <c r="H285" s="233">
        <v>4.7535483854638008</v>
      </c>
      <c r="I285" s="327">
        <v>3.4748163154936371</v>
      </c>
      <c r="J285" s="327">
        <v>1.6490136482014816E-2</v>
      </c>
      <c r="K285" s="327">
        <v>0.47456138641021112</v>
      </c>
      <c r="L285" s="233">
        <v>3.1984140625159112</v>
      </c>
      <c r="M285" s="327">
        <v>3.4434817897338861</v>
      </c>
      <c r="N285" s="327">
        <v>0.79945718017589829</v>
      </c>
      <c r="O285" s="327">
        <v>1.6277618091788869E-2</v>
      </c>
      <c r="P285" s="327">
        <v>0.4727081217713312</v>
      </c>
    </row>
    <row r="286" spans="2:16" ht="18" customHeight="1">
      <c r="B286" s="284"/>
      <c r="C286" s="311"/>
      <c r="D286" s="312"/>
      <c r="E286" s="289"/>
      <c r="F286" s="79">
        <v>2</v>
      </c>
      <c r="G286" s="178" t="s">
        <v>87</v>
      </c>
      <c r="H286" s="234">
        <v>7.8054900936997953</v>
      </c>
      <c r="I286" s="328"/>
      <c r="J286" s="328"/>
      <c r="K286" s="328"/>
      <c r="L286" s="234">
        <v>9.8995194337036416</v>
      </c>
      <c r="M286" s="328">
        <v>3.4434817897338861</v>
      </c>
      <c r="N286" s="328">
        <v>0.79945718017589829</v>
      </c>
      <c r="O286" s="328">
        <v>1.6277618091788869E-2</v>
      </c>
      <c r="P286" s="328">
        <v>0.4727081217713312</v>
      </c>
    </row>
    <row r="287" spans="2:16" ht="18" customHeight="1">
      <c r="B287" s="284"/>
      <c r="C287" s="311"/>
      <c r="D287" s="312"/>
      <c r="E287" s="289"/>
      <c r="F287" s="79">
        <v>3</v>
      </c>
      <c r="G287" s="178" t="s">
        <v>88</v>
      </c>
      <c r="H287" s="234">
        <v>22.646743106848326</v>
      </c>
      <c r="I287" s="328"/>
      <c r="J287" s="328"/>
      <c r="K287" s="328"/>
      <c r="L287" s="234">
        <v>26.257539971654445</v>
      </c>
      <c r="M287" s="328">
        <v>3.4434817897338861</v>
      </c>
      <c r="N287" s="328">
        <v>0.79945718017589829</v>
      </c>
      <c r="O287" s="328">
        <v>1.6277618091788869E-2</v>
      </c>
      <c r="P287" s="328">
        <v>0.4727081217713312</v>
      </c>
    </row>
    <row r="288" spans="2:16" ht="18" customHeight="1">
      <c r="B288" s="284"/>
      <c r="C288" s="311"/>
      <c r="D288" s="312"/>
      <c r="E288" s="289"/>
      <c r="F288" s="79">
        <v>4</v>
      </c>
      <c r="G288" s="178" t="s">
        <v>89</v>
      </c>
      <c r="H288" s="234">
        <v>64.794218413988091</v>
      </c>
      <c r="I288" s="328"/>
      <c r="J288" s="328"/>
      <c r="K288" s="328"/>
      <c r="L288" s="234">
        <v>60.644526532126015</v>
      </c>
      <c r="M288" s="328">
        <v>3.4434817897338861</v>
      </c>
      <c r="N288" s="328">
        <v>0.79945718017589829</v>
      </c>
      <c r="O288" s="328">
        <v>1.6277618091788869E-2</v>
      </c>
      <c r="P288" s="328">
        <v>0.4727081217713312</v>
      </c>
    </row>
    <row r="289" spans="2:16" ht="18" customHeight="1">
      <c r="B289" s="284"/>
      <c r="C289" s="309" t="s">
        <v>98</v>
      </c>
      <c r="D289" s="310"/>
      <c r="E289" s="287" t="str">
        <f>HYPERLINK("#LAYOUT_m1!lay중YMDA1B09","YMDA1B09")</f>
        <v>YMDA1B09</v>
      </c>
      <c r="F289" s="78">
        <v>1</v>
      </c>
      <c r="G289" s="179" t="s">
        <v>86</v>
      </c>
      <c r="H289" s="233">
        <v>4.0043891886614258</v>
      </c>
      <c r="I289" s="327">
        <v>3.458600907595724</v>
      </c>
      <c r="J289" s="327">
        <v>1.5845288935371214E-2</v>
      </c>
      <c r="K289" s="327">
        <v>0.45814158264320243</v>
      </c>
      <c r="L289" s="233">
        <v>2.6696910877800621</v>
      </c>
      <c r="M289" s="327">
        <v>3.4221233920436287</v>
      </c>
      <c r="N289" s="327">
        <v>0.78343735407911863</v>
      </c>
      <c r="O289" s="327">
        <v>1.5951441008679963E-2</v>
      </c>
      <c r="P289" s="327">
        <v>0.46612699722537049</v>
      </c>
    </row>
    <row r="290" spans="2:16" ht="18" customHeight="1">
      <c r="B290" s="284"/>
      <c r="C290" s="311"/>
      <c r="D290" s="312"/>
      <c r="E290" s="289"/>
      <c r="F290" s="79">
        <v>2</v>
      </c>
      <c r="G290" s="178" t="s">
        <v>87</v>
      </c>
      <c r="H290" s="234">
        <v>7.4588207201759742</v>
      </c>
      <c r="I290" s="328"/>
      <c r="J290" s="328"/>
      <c r="K290" s="328"/>
      <c r="L290" s="234">
        <v>10.366148740944759</v>
      </c>
      <c r="M290" s="328">
        <v>3.4221233920436287</v>
      </c>
      <c r="N290" s="328">
        <v>0.78343735407911863</v>
      </c>
      <c r="O290" s="328">
        <v>1.5951441008679963E-2</v>
      </c>
      <c r="P290" s="328">
        <v>0.46612699722537049</v>
      </c>
    </row>
    <row r="291" spans="2:16" ht="18" customHeight="1">
      <c r="B291" s="284"/>
      <c r="C291" s="311"/>
      <c r="D291" s="312"/>
      <c r="E291" s="289"/>
      <c r="F291" s="79">
        <v>3</v>
      </c>
      <c r="G291" s="178" t="s">
        <v>88</v>
      </c>
      <c r="H291" s="234">
        <v>27.209100234093185</v>
      </c>
      <c r="I291" s="328"/>
      <c r="J291" s="328"/>
      <c r="K291" s="328"/>
      <c r="L291" s="234">
        <v>29.046290050405759</v>
      </c>
      <c r="M291" s="328">
        <v>3.4221233920436287</v>
      </c>
      <c r="N291" s="328">
        <v>0.78343735407911863</v>
      </c>
      <c r="O291" s="328">
        <v>1.5951441008679963E-2</v>
      </c>
      <c r="P291" s="328">
        <v>0.46612699722537049</v>
      </c>
    </row>
    <row r="292" spans="2:16" ht="18" customHeight="1">
      <c r="B292" s="284"/>
      <c r="C292" s="311"/>
      <c r="D292" s="312"/>
      <c r="E292" s="289"/>
      <c r="F292" s="79">
        <v>4</v>
      </c>
      <c r="G292" s="178" t="s">
        <v>89</v>
      </c>
      <c r="H292" s="234">
        <v>61.327689857069416</v>
      </c>
      <c r="I292" s="328"/>
      <c r="J292" s="328"/>
      <c r="K292" s="328"/>
      <c r="L292" s="234">
        <v>57.917870120869438</v>
      </c>
      <c r="M292" s="328">
        <v>3.4221233920436287</v>
      </c>
      <c r="N292" s="328">
        <v>0.78343735407911863</v>
      </c>
      <c r="O292" s="328">
        <v>1.5951441008679963E-2</v>
      </c>
      <c r="P292" s="328">
        <v>0.46612699722537049</v>
      </c>
    </row>
    <row r="293" spans="2:16" ht="18" customHeight="1">
      <c r="B293" s="284"/>
      <c r="C293" s="309" t="s">
        <v>99</v>
      </c>
      <c r="D293" s="310"/>
      <c r="E293" s="287" t="str">
        <f>HYPERLINK("#LAYOUT_m1!lay중YMDA1B10","YMDA1B10")</f>
        <v>YMDA1B10</v>
      </c>
      <c r="F293" s="78">
        <v>1</v>
      </c>
      <c r="G293" s="179" t="s">
        <v>86</v>
      </c>
      <c r="H293" s="233">
        <v>6.3329639774353943</v>
      </c>
      <c r="I293" s="327">
        <v>3.0120575410390322</v>
      </c>
      <c r="J293" s="327">
        <v>1.7387794585799698E-2</v>
      </c>
      <c r="K293" s="327">
        <v>0.57727298860969445</v>
      </c>
      <c r="L293" s="233">
        <v>4.0075616471174902</v>
      </c>
      <c r="M293" s="327">
        <v>3.1552718346694677</v>
      </c>
      <c r="N293" s="327">
        <v>0.8179017964278088</v>
      </c>
      <c r="O293" s="327">
        <v>1.6653165934303899E-2</v>
      </c>
      <c r="P293" s="327">
        <v>0.52778862826721917</v>
      </c>
    </row>
    <row r="294" spans="2:16" ht="18" customHeight="1">
      <c r="B294" s="284"/>
      <c r="C294" s="311"/>
      <c r="D294" s="312"/>
      <c r="E294" s="289"/>
      <c r="F294" s="79">
        <v>2</v>
      </c>
      <c r="G294" s="178" t="s">
        <v>87</v>
      </c>
      <c r="H294" s="234">
        <v>18.802096101399183</v>
      </c>
      <c r="I294" s="328"/>
      <c r="J294" s="328"/>
      <c r="K294" s="328"/>
      <c r="L294" s="234">
        <v>14.740141923855411</v>
      </c>
      <c r="M294" s="328">
        <v>3.1552718346694677</v>
      </c>
      <c r="N294" s="328">
        <v>0.8179017964278088</v>
      </c>
      <c r="O294" s="328">
        <v>1.6653165934303899E-2</v>
      </c>
      <c r="P294" s="328">
        <v>0.52778862826721917</v>
      </c>
    </row>
    <row r="295" spans="2:16" ht="18" customHeight="1">
      <c r="B295" s="284"/>
      <c r="C295" s="311"/>
      <c r="D295" s="312"/>
      <c r="E295" s="289"/>
      <c r="F295" s="79">
        <v>3</v>
      </c>
      <c r="G295" s="178" t="s">
        <v>88</v>
      </c>
      <c r="H295" s="234">
        <v>42.191161760992692</v>
      </c>
      <c r="I295" s="328"/>
      <c r="J295" s="328"/>
      <c r="K295" s="328"/>
      <c r="L295" s="234">
        <v>42.969847743988645</v>
      </c>
      <c r="M295" s="328">
        <v>3.1552718346694677</v>
      </c>
      <c r="N295" s="328">
        <v>0.8179017964278088</v>
      </c>
      <c r="O295" s="328">
        <v>1.6653165934303899E-2</v>
      </c>
      <c r="P295" s="328">
        <v>0.52778862826721917</v>
      </c>
    </row>
    <row r="296" spans="2:16" ht="18" customHeight="1">
      <c r="B296" s="284"/>
      <c r="C296" s="311"/>
      <c r="D296" s="312"/>
      <c r="E296" s="289"/>
      <c r="F296" s="79">
        <v>4</v>
      </c>
      <c r="G296" s="178" t="s">
        <v>89</v>
      </c>
      <c r="H296" s="234">
        <v>32.673778160172745</v>
      </c>
      <c r="I296" s="328"/>
      <c r="J296" s="328"/>
      <c r="K296" s="328"/>
      <c r="L296" s="234">
        <v>38.282448685038453</v>
      </c>
      <c r="M296" s="328">
        <v>3.1552718346694677</v>
      </c>
      <c r="N296" s="328">
        <v>0.8179017964278088</v>
      </c>
      <c r="O296" s="328">
        <v>1.6653165934303899E-2</v>
      </c>
      <c r="P296" s="328">
        <v>0.52778862826721917</v>
      </c>
    </row>
    <row r="297" spans="2:16" ht="18" customHeight="1">
      <c r="B297" s="284"/>
      <c r="C297" s="309" t="s">
        <v>100</v>
      </c>
      <c r="D297" s="310"/>
      <c r="E297" s="287" t="str">
        <f>HYPERLINK("#LAYOUT_m1!lay중YMDA1B11","YMDA1B11")</f>
        <v>YMDA1B11</v>
      </c>
      <c r="F297" s="78">
        <v>1</v>
      </c>
      <c r="G297" s="179" t="s">
        <v>86</v>
      </c>
      <c r="H297" s="233">
        <v>19.041578590434309</v>
      </c>
      <c r="I297" s="327">
        <v>2.7855779563731962</v>
      </c>
      <c r="J297" s="327">
        <v>2.2357907105280704E-2</v>
      </c>
      <c r="K297" s="327">
        <v>0.80263081685175808</v>
      </c>
      <c r="L297" s="233">
        <v>14.75203023073262</v>
      </c>
      <c r="M297" s="327">
        <v>2.8108971539246075</v>
      </c>
      <c r="N297" s="327">
        <v>1.052677720859903</v>
      </c>
      <c r="O297" s="327">
        <v>2.1433400485717232E-2</v>
      </c>
      <c r="P297" s="327">
        <v>0.76251101737364069</v>
      </c>
    </row>
    <row r="298" spans="2:16" ht="18" customHeight="1">
      <c r="B298" s="284"/>
      <c r="C298" s="311"/>
      <c r="D298" s="312"/>
      <c r="E298" s="289"/>
      <c r="F298" s="79">
        <v>2</v>
      </c>
      <c r="G298" s="178" t="s">
        <v>87</v>
      </c>
      <c r="H298" s="234">
        <v>19.379460335993883</v>
      </c>
      <c r="I298" s="328"/>
      <c r="J298" s="328"/>
      <c r="K298" s="328"/>
      <c r="L298" s="234">
        <v>22.182833295456096</v>
      </c>
      <c r="M298" s="328">
        <v>2.8108971539246075</v>
      </c>
      <c r="N298" s="328">
        <v>1.052677720859903</v>
      </c>
      <c r="O298" s="328">
        <v>2.1433400485717232E-2</v>
      </c>
      <c r="P298" s="328">
        <v>0.76251101737364069</v>
      </c>
    </row>
    <row r="299" spans="2:16" ht="18" customHeight="1">
      <c r="B299" s="284"/>
      <c r="C299" s="311"/>
      <c r="D299" s="312"/>
      <c r="E299" s="289"/>
      <c r="F299" s="79">
        <v>3</v>
      </c>
      <c r="G299" s="178" t="s">
        <v>88</v>
      </c>
      <c r="H299" s="234">
        <v>25.558547919389788</v>
      </c>
      <c r="I299" s="328"/>
      <c r="J299" s="328"/>
      <c r="K299" s="328"/>
      <c r="L299" s="234">
        <v>30.288527324427776</v>
      </c>
      <c r="M299" s="328">
        <v>2.8108971539246075</v>
      </c>
      <c r="N299" s="328">
        <v>1.052677720859903</v>
      </c>
      <c r="O299" s="328">
        <v>2.1433400485717232E-2</v>
      </c>
      <c r="P299" s="328">
        <v>0.76251101737364069</v>
      </c>
    </row>
    <row r="300" spans="2:16" ht="18" customHeight="1">
      <c r="B300" s="284"/>
      <c r="C300" s="311"/>
      <c r="D300" s="312"/>
      <c r="E300" s="289"/>
      <c r="F300" s="79">
        <v>4</v>
      </c>
      <c r="G300" s="178" t="s">
        <v>89</v>
      </c>
      <c r="H300" s="234">
        <v>36.020413154182009</v>
      </c>
      <c r="I300" s="328"/>
      <c r="J300" s="328"/>
      <c r="K300" s="328"/>
      <c r="L300" s="234">
        <v>32.776609149383503</v>
      </c>
      <c r="M300" s="328">
        <v>2.8108971539246075</v>
      </c>
      <c r="N300" s="328">
        <v>1.052677720859903</v>
      </c>
      <c r="O300" s="328">
        <v>2.1433400485717232E-2</v>
      </c>
      <c r="P300" s="328">
        <v>0.76251101737364069</v>
      </c>
    </row>
    <row r="301" spans="2:16" ht="18" customHeight="1">
      <c r="B301" s="284"/>
      <c r="C301" s="309" t="s">
        <v>1429</v>
      </c>
      <c r="D301" s="310"/>
      <c r="E301" s="287" t="str">
        <f>HYPERLINK("#LAYOUT_m1!lay중YMDA1B12","YMDA1B12")</f>
        <v>YMDA1B12</v>
      </c>
      <c r="F301" s="78">
        <v>1</v>
      </c>
      <c r="G301" s="179" t="s">
        <v>86</v>
      </c>
      <c r="H301" s="233" t="s">
        <v>1811</v>
      </c>
      <c r="I301" s="327"/>
      <c r="J301" s="327"/>
      <c r="K301" s="327"/>
      <c r="L301" s="233">
        <v>11.23868066189568</v>
      </c>
      <c r="M301" s="327">
        <v>2.6888610839049951</v>
      </c>
      <c r="N301" s="327">
        <v>0.89438027906236262</v>
      </c>
      <c r="O301" s="327">
        <v>1.8210331925721811E-2</v>
      </c>
      <c r="P301" s="327">
        <v>0.67725075254818301</v>
      </c>
    </row>
    <row r="302" spans="2:16" ht="18" customHeight="1">
      <c r="B302" s="284"/>
      <c r="C302" s="311"/>
      <c r="D302" s="312"/>
      <c r="E302" s="289"/>
      <c r="F302" s="79">
        <v>2</v>
      </c>
      <c r="G302" s="178" t="s">
        <v>87</v>
      </c>
      <c r="H302" s="234" t="s">
        <v>1811</v>
      </c>
      <c r="I302" s="328"/>
      <c r="J302" s="328"/>
      <c r="K302" s="328"/>
      <c r="L302" s="234">
        <v>26.524960164222197</v>
      </c>
      <c r="M302" s="328">
        <v>2.6888610839049951</v>
      </c>
      <c r="N302" s="328">
        <v>0.89438027906236262</v>
      </c>
      <c r="O302" s="328">
        <v>1.8210331925721811E-2</v>
      </c>
      <c r="P302" s="328">
        <v>0.67725075254818301</v>
      </c>
    </row>
    <row r="303" spans="2:16" ht="18" customHeight="1">
      <c r="B303" s="284"/>
      <c r="C303" s="311"/>
      <c r="D303" s="312"/>
      <c r="E303" s="289"/>
      <c r="F303" s="79">
        <v>3</v>
      </c>
      <c r="G303" s="178" t="s">
        <v>88</v>
      </c>
      <c r="H303" s="234" t="s">
        <v>1815</v>
      </c>
      <c r="I303" s="328"/>
      <c r="J303" s="328"/>
      <c r="K303" s="328"/>
      <c r="L303" s="234">
        <v>44.347929295367564</v>
      </c>
      <c r="M303" s="328">
        <v>2.6888610839049951</v>
      </c>
      <c r="N303" s="328">
        <v>0.89438027906236262</v>
      </c>
      <c r="O303" s="328">
        <v>1.8210331925721811E-2</v>
      </c>
      <c r="P303" s="328">
        <v>0.67725075254818301</v>
      </c>
    </row>
    <row r="304" spans="2:16" ht="18" customHeight="1">
      <c r="B304" s="284"/>
      <c r="C304" s="311"/>
      <c r="D304" s="312"/>
      <c r="E304" s="289"/>
      <c r="F304" s="79">
        <v>4</v>
      </c>
      <c r="G304" s="178" t="s">
        <v>89</v>
      </c>
      <c r="H304" s="234" t="s">
        <v>1811</v>
      </c>
      <c r="I304" s="328"/>
      <c r="J304" s="328"/>
      <c r="K304" s="328"/>
      <c r="L304" s="234">
        <v>17.888429878514536</v>
      </c>
      <c r="M304" s="328">
        <v>2.6888610839049951</v>
      </c>
      <c r="N304" s="328">
        <v>0.89438027906236262</v>
      </c>
      <c r="O304" s="328">
        <v>1.8210331925721811E-2</v>
      </c>
      <c r="P304" s="328">
        <v>0.67725075254818301</v>
      </c>
    </row>
    <row r="305" spans="2:16" ht="18" customHeight="1">
      <c r="B305" s="284"/>
      <c r="C305" s="309" t="s">
        <v>101</v>
      </c>
      <c r="D305" s="310"/>
      <c r="E305" s="287" t="str">
        <f>HYPERLINK("#LAYOUT_m1!lay중YMDA1B13","YMDA1B13")</f>
        <v>YMDA1B13</v>
      </c>
      <c r="F305" s="78">
        <v>1</v>
      </c>
      <c r="G305" s="179" t="s">
        <v>86</v>
      </c>
      <c r="H305" s="233">
        <v>0</v>
      </c>
      <c r="I305" s="327">
        <v>3.6544675259999999</v>
      </c>
      <c r="J305" s="327">
        <v>0.139635485</v>
      </c>
      <c r="K305" s="327">
        <v>3.820952964</v>
      </c>
      <c r="L305" s="233">
        <v>1.6193338836994628E-2</v>
      </c>
      <c r="M305" s="327">
        <v>7.9531995887669122</v>
      </c>
      <c r="N305" s="327">
        <v>0.47345733255093914</v>
      </c>
      <c r="O305" s="327">
        <v>9.6399880232805098E-3</v>
      </c>
      <c r="P305" s="327">
        <v>0.12120892875486255</v>
      </c>
    </row>
    <row r="306" spans="2:16" ht="18" customHeight="1">
      <c r="B306" s="284"/>
      <c r="C306" s="311"/>
      <c r="D306" s="312"/>
      <c r="E306" s="290"/>
      <c r="F306" s="79">
        <v>2</v>
      </c>
      <c r="G306" s="178" t="s">
        <v>87</v>
      </c>
      <c r="H306" s="234">
        <v>7.955518388036685E-2</v>
      </c>
      <c r="I306" s="337"/>
      <c r="J306" s="337"/>
      <c r="K306" s="337"/>
      <c r="L306" s="234">
        <v>6.8843015005636818E-2</v>
      </c>
      <c r="M306" s="337">
        <v>7.9531995887669122</v>
      </c>
      <c r="N306" s="337">
        <v>0.47345733255093914</v>
      </c>
      <c r="O306" s="337">
        <v>9.6399880232805098E-3</v>
      </c>
      <c r="P306" s="337">
        <v>0.12120892875486255</v>
      </c>
    </row>
    <row r="307" spans="2:16" ht="18" customHeight="1">
      <c r="B307" s="284"/>
      <c r="C307" s="311"/>
      <c r="D307" s="312"/>
      <c r="E307" s="290"/>
      <c r="F307" s="79">
        <v>3</v>
      </c>
      <c r="G307" s="178" t="s">
        <v>88</v>
      </c>
      <c r="H307" s="234">
        <v>0.14079090223089302</v>
      </c>
      <c r="I307" s="337"/>
      <c r="J307" s="337"/>
      <c r="K307" s="337"/>
      <c r="L307" s="234">
        <v>0.53272289047278454</v>
      </c>
      <c r="M307" s="337">
        <v>7.9531995887669122</v>
      </c>
      <c r="N307" s="337">
        <v>0.47345733255093914</v>
      </c>
      <c r="O307" s="337">
        <v>9.6399880232805098E-3</v>
      </c>
      <c r="P307" s="337">
        <v>0.12120892875486255</v>
      </c>
    </row>
    <row r="308" spans="2:16" ht="18" customHeight="1">
      <c r="B308" s="284"/>
      <c r="C308" s="311"/>
      <c r="D308" s="312"/>
      <c r="E308" s="290"/>
      <c r="F308" s="79">
        <v>4</v>
      </c>
      <c r="G308" s="178" t="s">
        <v>89</v>
      </c>
      <c r="H308" s="234">
        <v>0.64759337798717032</v>
      </c>
      <c r="I308" s="337"/>
      <c r="J308" s="337"/>
      <c r="K308" s="337"/>
      <c r="L308" s="234">
        <v>0.37250380226300223</v>
      </c>
      <c r="M308" s="337">
        <v>7.9531995887669122</v>
      </c>
      <c r="N308" s="337">
        <v>0.47345733255093914</v>
      </c>
      <c r="O308" s="337">
        <v>9.6399880232805098E-3</v>
      </c>
      <c r="P308" s="337">
        <v>0.12120892875486255</v>
      </c>
    </row>
    <row r="309" spans="2:16" ht="18" customHeight="1">
      <c r="B309" s="284"/>
      <c r="C309" s="313"/>
      <c r="D309" s="314"/>
      <c r="E309" s="291"/>
      <c r="F309" s="82">
        <v>8</v>
      </c>
      <c r="G309" s="180" t="s">
        <v>90</v>
      </c>
      <c r="H309" s="235">
        <v>99.132060535901573</v>
      </c>
      <c r="I309" s="338"/>
      <c r="J309" s="338"/>
      <c r="K309" s="338"/>
      <c r="L309" s="235">
        <v>99.009736953421623</v>
      </c>
      <c r="M309" s="338">
        <v>7.9531995887669122</v>
      </c>
      <c r="N309" s="338">
        <v>0.47345733255093914</v>
      </c>
      <c r="O309" s="338">
        <v>9.6399880232805098E-3</v>
      </c>
      <c r="P309" s="338">
        <v>0.12120892875486255</v>
      </c>
    </row>
    <row r="310" spans="2:16" ht="18" customHeight="1">
      <c r="B310" s="286"/>
      <c r="C310" s="318" t="s">
        <v>102</v>
      </c>
      <c r="D310" s="319"/>
      <c r="E310" s="197" t="str">
        <f>HYPERLINK("#LAYOUT_m1!lay중YMDA1B13_T","YMDA1B13_T")</f>
        <v>YMDA1B13_T</v>
      </c>
      <c r="F310" s="78" t="s">
        <v>1</v>
      </c>
      <c r="G310" s="179"/>
      <c r="H310" s="233" t="s">
        <v>1811</v>
      </c>
      <c r="I310" s="237"/>
      <c r="J310" s="237"/>
      <c r="K310" s="237"/>
      <c r="L310" s="233" t="s">
        <v>1</v>
      </c>
      <c r="M310" s="237"/>
      <c r="N310" s="237"/>
      <c r="O310" s="237"/>
      <c r="P310" s="237"/>
    </row>
    <row r="311" spans="2:16" ht="18" customHeight="1">
      <c r="B311" s="282" t="s">
        <v>103</v>
      </c>
      <c r="C311" s="309" t="s">
        <v>104</v>
      </c>
      <c r="D311" s="310"/>
      <c r="E311" s="287" t="str">
        <f>HYPERLINK("#LAYOUT_m1!lay중YMDA1C01","YMDA1C01")</f>
        <v>YMDA1C01</v>
      </c>
      <c r="F311" s="78">
        <v>1</v>
      </c>
      <c r="G311" s="179" t="s">
        <v>105</v>
      </c>
      <c r="H311" s="233">
        <v>34.76927941521182</v>
      </c>
      <c r="I311" s="327">
        <v>1.8130959138267397</v>
      </c>
      <c r="J311" s="327">
        <v>1.4172344661153097E-2</v>
      </c>
      <c r="K311" s="327">
        <v>0.78166546805793602</v>
      </c>
      <c r="L311" s="233">
        <v>24.764161393293183</v>
      </c>
      <c r="M311" s="327">
        <v>1.990805077843365</v>
      </c>
      <c r="N311" s="327">
        <v>0.7184395510918955</v>
      </c>
      <c r="O311" s="327">
        <v>1.4628031275092268E-2</v>
      </c>
      <c r="P311" s="327">
        <v>0.73477968475641986</v>
      </c>
    </row>
    <row r="312" spans="2:16" ht="18" customHeight="1">
      <c r="B312" s="284"/>
      <c r="C312" s="311"/>
      <c r="D312" s="312"/>
      <c r="E312" s="289"/>
      <c r="F312" s="79">
        <v>2</v>
      </c>
      <c r="G312" s="178" t="s">
        <v>106</v>
      </c>
      <c r="H312" s="234">
        <v>50.983061407470736</v>
      </c>
      <c r="I312" s="328"/>
      <c r="J312" s="328"/>
      <c r="K312" s="328"/>
      <c r="L312" s="234">
        <v>52.800594246344254</v>
      </c>
      <c r="M312" s="328">
        <v>1.990805077843365</v>
      </c>
      <c r="N312" s="328">
        <v>0.7184395510918955</v>
      </c>
      <c r="O312" s="328">
        <v>1.4628031275092268E-2</v>
      </c>
      <c r="P312" s="328">
        <v>0.73477968475641986</v>
      </c>
    </row>
    <row r="313" spans="2:16" ht="18" customHeight="1">
      <c r="B313" s="284"/>
      <c r="C313" s="311"/>
      <c r="D313" s="312"/>
      <c r="E313" s="289"/>
      <c r="F313" s="79">
        <v>3</v>
      </c>
      <c r="G313" s="178" t="s">
        <v>107</v>
      </c>
      <c r="H313" s="234">
        <v>12.416447556749299</v>
      </c>
      <c r="I313" s="328"/>
      <c r="J313" s="328"/>
      <c r="K313" s="328"/>
      <c r="L313" s="234">
        <v>21.025819543094062</v>
      </c>
      <c r="M313" s="328">
        <v>1.990805077843365</v>
      </c>
      <c r="N313" s="328">
        <v>0.7184395510918955</v>
      </c>
      <c r="O313" s="328">
        <v>1.4628031275092268E-2</v>
      </c>
      <c r="P313" s="328">
        <v>0.73477968475641986</v>
      </c>
    </row>
    <row r="314" spans="2:16" ht="18" customHeight="1">
      <c r="B314" s="284"/>
      <c r="C314" s="313"/>
      <c r="D314" s="314"/>
      <c r="E314" s="288"/>
      <c r="F314" s="82">
        <v>4</v>
      </c>
      <c r="G314" s="180" t="s">
        <v>108</v>
      </c>
      <c r="H314" s="235">
        <v>1.8312116205681566</v>
      </c>
      <c r="I314" s="329"/>
      <c r="J314" s="329"/>
      <c r="K314" s="329"/>
      <c r="L314" s="235">
        <v>1.4094248172684822</v>
      </c>
      <c r="M314" s="329">
        <v>1.990805077843365</v>
      </c>
      <c r="N314" s="329">
        <v>0.7184395510918955</v>
      </c>
      <c r="O314" s="329">
        <v>1.4628031275092268E-2</v>
      </c>
      <c r="P314" s="329">
        <v>0.73477968475641986</v>
      </c>
    </row>
    <row r="315" spans="2:16" ht="18" customHeight="1">
      <c r="B315" s="284"/>
      <c r="C315" s="309" t="s">
        <v>109</v>
      </c>
      <c r="D315" s="310"/>
      <c r="E315" s="287" t="str">
        <f>HYPERLINK("#LAYOUT_m1!lay중YMDA1C02","YMDA1C02")</f>
        <v>YMDA1C02</v>
      </c>
      <c r="F315" s="78">
        <v>1</v>
      </c>
      <c r="G315" s="179" t="s">
        <v>105</v>
      </c>
      <c r="H315" s="233">
        <v>15.688676660354375</v>
      </c>
      <c r="I315" s="327">
        <v>2.4709048318115676</v>
      </c>
      <c r="J315" s="327">
        <v>1.7161157396561624E-2</v>
      </c>
      <c r="K315" s="327">
        <v>0.69452927428126643</v>
      </c>
      <c r="L315" s="233">
        <v>16.661326098072646</v>
      </c>
      <c r="M315" s="327">
        <v>2.3804987079838114</v>
      </c>
      <c r="N315" s="327">
        <v>0.83596590720641584</v>
      </c>
      <c r="O315" s="327">
        <v>1.7020966366538721E-2</v>
      </c>
      <c r="P315" s="327">
        <v>0.71501682859365223</v>
      </c>
    </row>
    <row r="316" spans="2:16" ht="18" customHeight="1">
      <c r="B316" s="284"/>
      <c r="C316" s="311"/>
      <c r="D316" s="312"/>
      <c r="E316" s="289"/>
      <c r="F316" s="79">
        <v>2</v>
      </c>
      <c r="G316" s="178" t="s">
        <v>106</v>
      </c>
      <c r="H316" s="234">
        <v>30.787989323450073</v>
      </c>
      <c r="I316" s="328"/>
      <c r="J316" s="328"/>
      <c r="K316" s="328"/>
      <c r="L316" s="234">
        <v>34.989231367583756</v>
      </c>
      <c r="M316" s="328">
        <v>2.3804987079838114</v>
      </c>
      <c r="N316" s="328">
        <v>0.83596590720641584</v>
      </c>
      <c r="O316" s="328">
        <v>1.7020966366538721E-2</v>
      </c>
      <c r="P316" s="328">
        <v>0.71501682859365223</v>
      </c>
    </row>
    <row r="317" spans="2:16" ht="18" customHeight="1">
      <c r="B317" s="284"/>
      <c r="C317" s="311"/>
      <c r="D317" s="312"/>
      <c r="E317" s="289"/>
      <c r="F317" s="79">
        <v>3</v>
      </c>
      <c r="G317" s="178" t="s">
        <v>107</v>
      </c>
      <c r="H317" s="234">
        <v>44.267508190879965</v>
      </c>
      <c r="I317" s="328"/>
      <c r="J317" s="328"/>
      <c r="K317" s="328"/>
      <c r="L317" s="234">
        <v>41.987688172232282</v>
      </c>
      <c r="M317" s="328">
        <v>2.3804987079838114</v>
      </c>
      <c r="N317" s="328">
        <v>0.83596590720641584</v>
      </c>
      <c r="O317" s="328">
        <v>1.7020966366538721E-2</v>
      </c>
      <c r="P317" s="328">
        <v>0.71501682859365223</v>
      </c>
    </row>
    <row r="318" spans="2:16" ht="18" customHeight="1">
      <c r="B318" s="284"/>
      <c r="C318" s="313"/>
      <c r="D318" s="314"/>
      <c r="E318" s="288"/>
      <c r="F318" s="82">
        <v>4</v>
      </c>
      <c r="G318" s="180" t="s">
        <v>108</v>
      </c>
      <c r="H318" s="235">
        <v>9.2558258253155756</v>
      </c>
      <c r="I318" s="329"/>
      <c r="J318" s="329"/>
      <c r="K318" s="329"/>
      <c r="L318" s="235">
        <v>6.3617543621112969</v>
      </c>
      <c r="M318" s="329">
        <v>2.3804987079838114</v>
      </c>
      <c r="N318" s="329">
        <v>0.83596590720641584</v>
      </c>
      <c r="O318" s="329">
        <v>1.7020966366538721E-2</v>
      </c>
      <c r="P318" s="329">
        <v>0.71501682859365223</v>
      </c>
    </row>
    <row r="319" spans="2:16" ht="18" customHeight="1">
      <c r="B319" s="284"/>
      <c r="C319" s="309" t="s">
        <v>110</v>
      </c>
      <c r="D319" s="310"/>
      <c r="E319" s="287" t="str">
        <f>HYPERLINK("#LAYOUT_m1!lay중YMDA1C03","YMDA1C03")</f>
        <v>YMDA1C03</v>
      </c>
      <c r="F319" s="78">
        <v>1</v>
      </c>
      <c r="G319" s="179" t="s">
        <v>105</v>
      </c>
      <c r="H319" s="233">
        <v>18.459447435351581</v>
      </c>
      <c r="I319" s="327">
        <v>2.4111882150735675</v>
      </c>
      <c r="J319" s="327">
        <v>1.7729548074102475E-2</v>
      </c>
      <c r="K319" s="327">
        <v>0.73530336467580748</v>
      </c>
      <c r="L319" s="233">
        <v>15.887482979504471</v>
      </c>
      <c r="M319" s="327">
        <v>2.3788568128260095</v>
      </c>
      <c r="N319" s="327">
        <v>0.8318071695297854</v>
      </c>
      <c r="O319" s="327">
        <v>1.6936290982637332E-2</v>
      </c>
      <c r="P319" s="327">
        <v>0.71195083669275294</v>
      </c>
    </row>
    <row r="320" spans="2:16" ht="18" customHeight="1">
      <c r="B320" s="284"/>
      <c r="C320" s="311"/>
      <c r="D320" s="312"/>
      <c r="E320" s="289"/>
      <c r="F320" s="79">
        <v>2</v>
      </c>
      <c r="G320" s="178" t="s">
        <v>106</v>
      </c>
      <c r="H320" s="234">
        <v>31.317995957492027</v>
      </c>
      <c r="I320" s="328"/>
      <c r="J320" s="328"/>
      <c r="K320" s="328"/>
      <c r="L320" s="234">
        <v>37.149233331481575</v>
      </c>
      <c r="M320" s="328">
        <v>2.3788568128260095</v>
      </c>
      <c r="N320" s="328">
        <v>0.8318071695297854</v>
      </c>
      <c r="O320" s="328">
        <v>1.6936290982637332E-2</v>
      </c>
      <c r="P320" s="328">
        <v>0.71195083669275294</v>
      </c>
    </row>
    <row r="321" spans="2:16" ht="18" customHeight="1">
      <c r="B321" s="284"/>
      <c r="C321" s="311"/>
      <c r="D321" s="312"/>
      <c r="E321" s="289"/>
      <c r="F321" s="79">
        <v>3</v>
      </c>
      <c r="G321" s="178" t="s">
        <v>107</v>
      </c>
      <c r="H321" s="234">
        <v>40.866844271604236</v>
      </c>
      <c r="I321" s="328"/>
      <c r="J321" s="328"/>
      <c r="K321" s="328"/>
      <c r="L321" s="234">
        <v>40.153403115921726</v>
      </c>
      <c r="M321" s="328">
        <v>2.3788568128260095</v>
      </c>
      <c r="N321" s="328">
        <v>0.8318071695297854</v>
      </c>
      <c r="O321" s="328">
        <v>1.6936290982637332E-2</v>
      </c>
      <c r="P321" s="328">
        <v>0.71195083669275294</v>
      </c>
    </row>
    <row r="322" spans="2:16" ht="18" customHeight="1">
      <c r="B322" s="284"/>
      <c r="C322" s="313"/>
      <c r="D322" s="314"/>
      <c r="E322" s="288"/>
      <c r="F322" s="82">
        <v>4</v>
      </c>
      <c r="G322" s="180" t="s">
        <v>108</v>
      </c>
      <c r="H322" s="235">
        <v>9.3557123355521554</v>
      </c>
      <c r="I322" s="329"/>
      <c r="J322" s="329"/>
      <c r="K322" s="329"/>
      <c r="L322" s="235">
        <v>6.8098805730922249</v>
      </c>
      <c r="M322" s="329">
        <v>2.3788568128260095</v>
      </c>
      <c r="N322" s="329">
        <v>0.8318071695297854</v>
      </c>
      <c r="O322" s="329">
        <v>1.6936290982637332E-2</v>
      </c>
      <c r="P322" s="329">
        <v>0.71195083669275294</v>
      </c>
    </row>
    <row r="323" spans="2:16" ht="18" customHeight="1">
      <c r="B323" s="284"/>
      <c r="C323" s="309" t="s">
        <v>111</v>
      </c>
      <c r="D323" s="310"/>
      <c r="E323" s="287" t="str">
        <f>HYPERLINK("#LAYOUT_m1!lay중YMDA1C04","YMDA1C04")</f>
        <v>YMDA1C04</v>
      </c>
      <c r="F323" s="78">
        <v>1</v>
      </c>
      <c r="G323" s="179" t="s">
        <v>105</v>
      </c>
      <c r="H323" s="233">
        <v>29.068336031764058</v>
      </c>
      <c r="I323" s="327">
        <v>2.0642323347614875</v>
      </c>
      <c r="J323" s="327">
        <v>1.7172088885226342E-2</v>
      </c>
      <c r="K323" s="327">
        <v>0.8318874089921906</v>
      </c>
      <c r="L323" s="233">
        <v>21.364573260794412</v>
      </c>
      <c r="M323" s="327">
        <v>2.1886212923829516</v>
      </c>
      <c r="N323" s="327">
        <v>0.81427164961558141</v>
      </c>
      <c r="O323" s="327">
        <v>1.657925310333332E-2</v>
      </c>
      <c r="P323" s="327">
        <v>0.75752041529679048</v>
      </c>
    </row>
    <row r="324" spans="2:16" ht="18" customHeight="1">
      <c r="B324" s="284"/>
      <c r="C324" s="311"/>
      <c r="D324" s="312"/>
      <c r="E324" s="289"/>
      <c r="F324" s="79">
        <v>2</v>
      </c>
      <c r="G324" s="178" t="s">
        <v>106</v>
      </c>
      <c r="H324" s="234">
        <v>40.816272190557555</v>
      </c>
      <c r="I324" s="328"/>
      <c r="J324" s="328"/>
      <c r="K324" s="328"/>
      <c r="L324" s="234">
        <v>42.417812717929991</v>
      </c>
      <c r="M324" s="328">
        <v>2.1886212923829516</v>
      </c>
      <c r="N324" s="328">
        <v>0.81427164961558141</v>
      </c>
      <c r="O324" s="328">
        <v>1.657925310333332E-2</v>
      </c>
      <c r="P324" s="328">
        <v>0.75752041529679048</v>
      </c>
    </row>
    <row r="325" spans="2:16" ht="18" customHeight="1">
      <c r="B325" s="284"/>
      <c r="C325" s="311"/>
      <c r="D325" s="312"/>
      <c r="E325" s="289"/>
      <c r="F325" s="79">
        <v>3</v>
      </c>
      <c r="G325" s="178" t="s">
        <v>107</v>
      </c>
      <c r="H325" s="234">
        <v>24.739214047443355</v>
      </c>
      <c r="I325" s="328"/>
      <c r="J325" s="328"/>
      <c r="K325" s="328"/>
      <c r="L325" s="234">
        <v>32.208525543460809</v>
      </c>
      <c r="M325" s="328">
        <v>2.1886212923829516</v>
      </c>
      <c r="N325" s="328">
        <v>0.81427164961558141</v>
      </c>
      <c r="O325" s="328">
        <v>1.657925310333332E-2</v>
      </c>
      <c r="P325" s="328">
        <v>0.75752041529679048</v>
      </c>
    </row>
    <row r="326" spans="2:16" ht="18" customHeight="1">
      <c r="B326" s="284"/>
      <c r="C326" s="313"/>
      <c r="D326" s="314"/>
      <c r="E326" s="288"/>
      <c r="F326" s="82">
        <v>4</v>
      </c>
      <c r="G326" s="180" t="s">
        <v>108</v>
      </c>
      <c r="H326" s="235">
        <v>5.3761777302350477</v>
      </c>
      <c r="I326" s="329"/>
      <c r="J326" s="329"/>
      <c r="K326" s="329"/>
      <c r="L326" s="235">
        <v>4.0090884778147826</v>
      </c>
      <c r="M326" s="329">
        <v>2.1886212923829516</v>
      </c>
      <c r="N326" s="329">
        <v>0.81427164961558141</v>
      </c>
      <c r="O326" s="329">
        <v>1.657925310333332E-2</v>
      </c>
      <c r="P326" s="329">
        <v>0.75752041529679048</v>
      </c>
    </row>
    <row r="327" spans="2:16" ht="18" customHeight="1">
      <c r="B327" s="284"/>
      <c r="C327" s="309" t="s">
        <v>112</v>
      </c>
      <c r="D327" s="310"/>
      <c r="E327" s="287" t="str">
        <f>HYPERLINK("#LAYOUT_m1!lay중YMDA1C05","YMDA1C05")</f>
        <v>YMDA1C05</v>
      </c>
      <c r="F327" s="78">
        <v>1</v>
      </c>
      <c r="G327" s="179" t="s">
        <v>105</v>
      </c>
      <c r="H327" s="233">
        <v>9.6109658695218556</v>
      </c>
      <c r="I327" s="327">
        <v>2.6915770427473364</v>
      </c>
      <c r="J327" s="327">
        <v>1.7177713011625406E-2</v>
      </c>
      <c r="K327" s="327">
        <v>0.63820253846762798</v>
      </c>
      <c r="L327" s="233">
        <v>9.3350871781022544</v>
      </c>
      <c r="M327" s="327">
        <v>2.5678932752972452</v>
      </c>
      <c r="N327" s="327">
        <v>0.83226409156660019</v>
      </c>
      <c r="O327" s="327">
        <v>1.6945594298183712E-2</v>
      </c>
      <c r="P327" s="327">
        <v>0.65990259257258987</v>
      </c>
    </row>
    <row r="328" spans="2:16" ht="18" customHeight="1">
      <c r="B328" s="284"/>
      <c r="C328" s="311"/>
      <c r="D328" s="312"/>
      <c r="E328" s="289"/>
      <c r="F328" s="79">
        <v>2</v>
      </c>
      <c r="G328" s="178" t="s">
        <v>106</v>
      </c>
      <c r="H328" s="234">
        <v>28.81886196943147</v>
      </c>
      <c r="I328" s="328"/>
      <c r="J328" s="328"/>
      <c r="K328" s="328"/>
      <c r="L328" s="234">
        <v>37.437338686650946</v>
      </c>
      <c r="M328" s="328">
        <v>2.5678932752972452</v>
      </c>
      <c r="N328" s="328">
        <v>0.83226409156660019</v>
      </c>
      <c r="O328" s="328">
        <v>1.6945594298183712E-2</v>
      </c>
      <c r="P328" s="328">
        <v>0.65990259257258987</v>
      </c>
    </row>
    <row r="329" spans="2:16" ht="18" customHeight="1">
      <c r="B329" s="284"/>
      <c r="C329" s="311"/>
      <c r="D329" s="312"/>
      <c r="E329" s="289"/>
      <c r="F329" s="79">
        <v>3</v>
      </c>
      <c r="G329" s="178" t="s">
        <v>107</v>
      </c>
      <c r="H329" s="234">
        <v>44.371674177838145</v>
      </c>
      <c r="I329" s="328"/>
      <c r="J329" s="328"/>
      <c r="K329" s="328"/>
      <c r="L329" s="234">
        <v>40.330733562665571</v>
      </c>
      <c r="M329" s="328">
        <v>2.5678932752972452</v>
      </c>
      <c r="N329" s="328">
        <v>0.83226409156660019</v>
      </c>
      <c r="O329" s="328">
        <v>1.6945594298183712E-2</v>
      </c>
      <c r="P329" s="328">
        <v>0.65990259257258987</v>
      </c>
    </row>
    <row r="330" spans="2:16" ht="18" customHeight="1">
      <c r="B330" s="284"/>
      <c r="C330" s="313"/>
      <c r="D330" s="314"/>
      <c r="E330" s="288"/>
      <c r="F330" s="82">
        <v>4</v>
      </c>
      <c r="G330" s="180" t="s">
        <v>108</v>
      </c>
      <c r="H330" s="235">
        <v>17.198497983208537</v>
      </c>
      <c r="I330" s="329"/>
      <c r="J330" s="329"/>
      <c r="K330" s="329"/>
      <c r="L330" s="235">
        <v>12.896840572581235</v>
      </c>
      <c r="M330" s="329">
        <v>2.5678932752972452</v>
      </c>
      <c r="N330" s="329">
        <v>0.83226409156660019</v>
      </c>
      <c r="O330" s="329">
        <v>1.6945594298183712E-2</v>
      </c>
      <c r="P330" s="329">
        <v>0.65990259257258987</v>
      </c>
    </row>
    <row r="331" spans="2:16" ht="18" customHeight="1">
      <c r="B331" s="284"/>
      <c r="C331" s="309" t="s">
        <v>113</v>
      </c>
      <c r="D331" s="310"/>
      <c r="E331" s="287" t="str">
        <f>HYPERLINK("#LAYOUT_m1!lay중YMDA1C06","YMDA1C06")</f>
        <v>YMDA1C06</v>
      </c>
      <c r="F331" s="78">
        <v>1</v>
      </c>
      <c r="G331" s="179" t="s">
        <v>105</v>
      </c>
      <c r="H331" s="233">
        <v>56.804083435066097</v>
      </c>
      <c r="I331" s="327">
        <v>1.5605368540775244</v>
      </c>
      <c r="J331" s="327">
        <v>1.4602667620404994E-2</v>
      </c>
      <c r="K331" s="327">
        <v>0.93574641202799513</v>
      </c>
      <c r="L331" s="233">
        <v>44.902256662879218</v>
      </c>
      <c r="M331" s="327">
        <v>1.7175979345904742</v>
      </c>
      <c r="N331" s="327">
        <v>0.75452519955125785</v>
      </c>
      <c r="O331" s="327">
        <v>1.5362765315615635E-2</v>
      </c>
      <c r="P331" s="327">
        <v>0.89443315028662784</v>
      </c>
    </row>
    <row r="332" spans="2:16" ht="18" customHeight="1">
      <c r="B332" s="284"/>
      <c r="C332" s="311"/>
      <c r="D332" s="312"/>
      <c r="E332" s="289"/>
      <c r="F332" s="79">
        <v>2</v>
      </c>
      <c r="G332" s="178" t="s">
        <v>106</v>
      </c>
      <c r="H332" s="234">
        <v>32.244827921644138</v>
      </c>
      <c r="I332" s="328"/>
      <c r="J332" s="328"/>
      <c r="K332" s="328"/>
      <c r="L332" s="234">
        <v>39.998235311010326</v>
      </c>
      <c r="M332" s="328">
        <v>1.7175979345904742</v>
      </c>
      <c r="N332" s="328">
        <v>0.75452519955125785</v>
      </c>
      <c r="O332" s="328">
        <v>1.5362765315615635E-2</v>
      </c>
      <c r="P332" s="328">
        <v>0.89443315028662784</v>
      </c>
    </row>
    <row r="333" spans="2:16" ht="18" customHeight="1">
      <c r="B333" s="284"/>
      <c r="C333" s="311"/>
      <c r="D333" s="312"/>
      <c r="E333" s="289"/>
      <c r="F333" s="79">
        <v>3</v>
      </c>
      <c r="G333" s="178" t="s">
        <v>107</v>
      </c>
      <c r="H333" s="234">
        <v>9.0444084437611156</v>
      </c>
      <c r="I333" s="328"/>
      <c r="J333" s="328"/>
      <c r="K333" s="328"/>
      <c r="L333" s="234">
        <v>13.536965930292823</v>
      </c>
      <c r="M333" s="328">
        <v>1.7175979345904742</v>
      </c>
      <c r="N333" s="328">
        <v>0.75452519955125785</v>
      </c>
      <c r="O333" s="328">
        <v>1.5362765315615635E-2</v>
      </c>
      <c r="P333" s="328">
        <v>0.89443315028662784</v>
      </c>
    </row>
    <row r="334" spans="2:16" ht="18" customHeight="1">
      <c r="B334" s="284"/>
      <c r="C334" s="313"/>
      <c r="D334" s="314"/>
      <c r="E334" s="288"/>
      <c r="F334" s="82">
        <v>4</v>
      </c>
      <c r="G334" s="180" t="s">
        <v>108</v>
      </c>
      <c r="H334" s="235">
        <v>1.9066801995286595</v>
      </c>
      <c r="I334" s="329"/>
      <c r="J334" s="329"/>
      <c r="K334" s="329"/>
      <c r="L334" s="235">
        <v>1.5625420958176237</v>
      </c>
      <c r="M334" s="329">
        <v>1.7175979345904742</v>
      </c>
      <c r="N334" s="329">
        <v>0.75452519955125785</v>
      </c>
      <c r="O334" s="329">
        <v>1.5362765315615635E-2</v>
      </c>
      <c r="P334" s="329">
        <v>0.89443315028662784</v>
      </c>
    </row>
    <row r="335" spans="2:16" ht="18" customHeight="1">
      <c r="B335" s="284"/>
      <c r="C335" s="309" t="s">
        <v>114</v>
      </c>
      <c r="D335" s="310"/>
      <c r="E335" s="287" t="str">
        <f>HYPERLINK("#LAYOUT_m1!lay중YMDA1C07","YMDA1C07")</f>
        <v>YMDA1C07</v>
      </c>
      <c r="F335" s="78">
        <v>1</v>
      </c>
      <c r="G335" s="179" t="s">
        <v>105</v>
      </c>
      <c r="H335" s="233">
        <v>46.946128983195855</v>
      </c>
      <c r="I335" s="327">
        <v>1.6822958391153859</v>
      </c>
      <c r="J335" s="327">
        <v>1.4873793839836252E-2</v>
      </c>
      <c r="K335" s="327">
        <v>0.88413663601863557</v>
      </c>
      <c r="L335" s="233">
        <v>37.738712486428248</v>
      </c>
      <c r="M335" s="327">
        <v>1.8203918644150434</v>
      </c>
      <c r="N335" s="327">
        <v>0.76213120668649903</v>
      </c>
      <c r="O335" s="327">
        <v>1.5517629994326298E-2</v>
      </c>
      <c r="P335" s="327">
        <v>0.85243349509874111</v>
      </c>
    </row>
    <row r="336" spans="2:16" ht="18" customHeight="1">
      <c r="B336" s="284"/>
      <c r="C336" s="311"/>
      <c r="D336" s="312"/>
      <c r="E336" s="289"/>
      <c r="F336" s="79">
        <v>2</v>
      </c>
      <c r="G336" s="178" t="s">
        <v>106</v>
      </c>
      <c r="H336" s="234">
        <v>39.960211260398054</v>
      </c>
      <c r="I336" s="328"/>
      <c r="J336" s="328"/>
      <c r="K336" s="328"/>
      <c r="L336" s="234">
        <v>44.269777399865852</v>
      </c>
      <c r="M336" s="328">
        <v>1.8203918644150434</v>
      </c>
      <c r="N336" s="328">
        <v>0.76213120668649903</v>
      </c>
      <c r="O336" s="328">
        <v>1.5517629994326298E-2</v>
      </c>
      <c r="P336" s="328">
        <v>0.85243349509874111</v>
      </c>
    </row>
    <row r="337" spans="2:16" ht="18" customHeight="1">
      <c r="B337" s="284"/>
      <c r="C337" s="311"/>
      <c r="D337" s="312"/>
      <c r="E337" s="289"/>
      <c r="F337" s="79">
        <v>3</v>
      </c>
      <c r="G337" s="178" t="s">
        <v>107</v>
      </c>
      <c r="H337" s="234">
        <v>11.011606618077773</v>
      </c>
      <c r="I337" s="328"/>
      <c r="J337" s="328"/>
      <c r="K337" s="328"/>
      <c r="L337" s="234">
        <v>16.205121299478066</v>
      </c>
      <c r="M337" s="328">
        <v>1.8203918644150434</v>
      </c>
      <c r="N337" s="328">
        <v>0.76213120668649903</v>
      </c>
      <c r="O337" s="328">
        <v>1.5517629994326298E-2</v>
      </c>
      <c r="P337" s="328">
        <v>0.85243349509874111</v>
      </c>
    </row>
    <row r="338" spans="2:16" ht="18" customHeight="1">
      <c r="B338" s="284"/>
      <c r="C338" s="313"/>
      <c r="D338" s="314"/>
      <c r="E338" s="288"/>
      <c r="F338" s="82">
        <v>4</v>
      </c>
      <c r="G338" s="180" t="s">
        <v>108</v>
      </c>
      <c r="H338" s="235">
        <v>2.0820531383283192</v>
      </c>
      <c r="I338" s="329"/>
      <c r="J338" s="329"/>
      <c r="K338" s="329"/>
      <c r="L338" s="235">
        <v>1.7863888142278537</v>
      </c>
      <c r="M338" s="329">
        <v>1.8203918644150434</v>
      </c>
      <c r="N338" s="329">
        <v>0.76213120668649903</v>
      </c>
      <c r="O338" s="329">
        <v>1.5517629994326298E-2</v>
      </c>
      <c r="P338" s="329">
        <v>0.85243349509874111</v>
      </c>
    </row>
    <row r="339" spans="2:16" ht="18" customHeight="1">
      <c r="B339" s="284"/>
      <c r="C339" s="309" t="s">
        <v>115</v>
      </c>
      <c r="D339" s="310"/>
      <c r="E339" s="287" t="str">
        <f>HYPERLINK("#LAYOUT_m1!lay중YMDA1C08","YMDA1C08")</f>
        <v>YMDA1C08</v>
      </c>
      <c r="F339" s="78">
        <v>1</v>
      </c>
      <c r="G339" s="179" t="s">
        <v>105</v>
      </c>
      <c r="H339" s="233">
        <v>42.955327147696387</v>
      </c>
      <c r="I339" s="327">
        <v>1.7845779864479856</v>
      </c>
      <c r="J339" s="327">
        <v>1.5871306990163956E-2</v>
      </c>
      <c r="K339" s="327">
        <v>0.88935911519081956</v>
      </c>
      <c r="L339" s="233">
        <v>34.617570017273245</v>
      </c>
      <c r="M339" s="327">
        <v>1.9144458082429263</v>
      </c>
      <c r="N339" s="327">
        <v>0.82006052306742194</v>
      </c>
      <c r="O339" s="327">
        <v>1.6697119417586719E-2</v>
      </c>
      <c r="P339" s="327">
        <v>0.87216464136487026</v>
      </c>
    </row>
    <row r="340" spans="2:16" ht="18" customHeight="1">
      <c r="B340" s="284"/>
      <c r="C340" s="311"/>
      <c r="D340" s="312"/>
      <c r="E340" s="289"/>
      <c r="F340" s="79">
        <v>2</v>
      </c>
      <c r="G340" s="178" t="s">
        <v>106</v>
      </c>
      <c r="H340" s="234">
        <v>37.758747754008063</v>
      </c>
      <c r="I340" s="328"/>
      <c r="J340" s="328"/>
      <c r="K340" s="328"/>
      <c r="L340" s="234">
        <v>42.843469389045502</v>
      </c>
      <c r="M340" s="328">
        <v>1.9144458082429263</v>
      </c>
      <c r="N340" s="328">
        <v>0.82006052306742194</v>
      </c>
      <c r="O340" s="328">
        <v>1.6697119417586719E-2</v>
      </c>
      <c r="P340" s="328">
        <v>0.87216464136487026</v>
      </c>
    </row>
    <row r="341" spans="2:16" ht="18" customHeight="1">
      <c r="B341" s="284"/>
      <c r="C341" s="311"/>
      <c r="D341" s="312"/>
      <c r="E341" s="289"/>
      <c r="F341" s="79">
        <v>3</v>
      </c>
      <c r="G341" s="178" t="s">
        <v>107</v>
      </c>
      <c r="H341" s="234">
        <v>17.158724404095935</v>
      </c>
      <c r="I341" s="328"/>
      <c r="J341" s="328"/>
      <c r="K341" s="328"/>
      <c r="L341" s="234">
        <v>19.015770345795872</v>
      </c>
      <c r="M341" s="328">
        <v>1.9144458082429263</v>
      </c>
      <c r="N341" s="328">
        <v>0.82006052306742194</v>
      </c>
      <c r="O341" s="328">
        <v>1.6697119417586719E-2</v>
      </c>
      <c r="P341" s="328">
        <v>0.87216464136487026</v>
      </c>
    </row>
    <row r="342" spans="2:16" ht="18" customHeight="1">
      <c r="B342" s="284"/>
      <c r="C342" s="313"/>
      <c r="D342" s="314"/>
      <c r="E342" s="288"/>
      <c r="F342" s="82">
        <v>4</v>
      </c>
      <c r="G342" s="180" t="s">
        <v>108</v>
      </c>
      <c r="H342" s="235">
        <v>2.1272006941996229</v>
      </c>
      <c r="I342" s="329"/>
      <c r="J342" s="329"/>
      <c r="K342" s="329"/>
      <c r="L342" s="235">
        <v>3.5231902478853967</v>
      </c>
      <c r="M342" s="329">
        <v>1.9144458082429263</v>
      </c>
      <c r="N342" s="329">
        <v>0.82006052306742194</v>
      </c>
      <c r="O342" s="329">
        <v>1.6697119417586719E-2</v>
      </c>
      <c r="P342" s="329">
        <v>0.87216464136487026</v>
      </c>
    </row>
    <row r="343" spans="2:16" ht="18" customHeight="1">
      <c r="B343" s="284"/>
      <c r="C343" s="309" t="s">
        <v>116</v>
      </c>
      <c r="D343" s="310"/>
      <c r="E343" s="287" t="str">
        <f>HYPERLINK("#LAYOUT_m1!lay중YMDA1C09","YMDA1C09")</f>
        <v>YMDA1C09</v>
      </c>
      <c r="F343" s="78">
        <v>1</v>
      </c>
      <c r="G343" s="179" t="s">
        <v>105</v>
      </c>
      <c r="H343" s="233">
        <v>54.504560858190949</v>
      </c>
      <c r="I343" s="327">
        <v>1.5682590460505927</v>
      </c>
      <c r="J343" s="327">
        <v>1.3981701703573423E-2</v>
      </c>
      <c r="K343" s="327">
        <v>0.89154286970536401</v>
      </c>
      <c r="L343" s="233">
        <v>43.298578641489925</v>
      </c>
      <c r="M343" s="327">
        <v>1.729224058884302</v>
      </c>
      <c r="N343" s="327">
        <v>0.74521176723827343</v>
      </c>
      <c r="O343" s="327">
        <v>1.517313602955289E-2</v>
      </c>
      <c r="P343" s="327">
        <v>0.87745344228801803</v>
      </c>
    </row>
    <row r="344" spans="2:16" ht="18" customHeight="1">
      <c r="B344" s="284"/>
      <c r="C344" s="311"/>
      <c r="D344" s="312"/>
      <c r="E344" s="289"/>
      <c r="F344" s="79">
        <v>2</v>
      </c>
      <c r="G344" s="178" t="s">
        <v>106</v>
      </c>
      <c r="H344" s="234">
        <v>35.394446864714624</v>
      </c>
      <c r="I344" s="328"/>
      <c r="J344" s="328"/>
      <c r="K344" s="328"/>
      <c r="L344" s="234">
        <v>42.048056202340888</v>
      </c>
      <c r="M344" s="328">
        <v>1.729224058884302</v>
      </c>
      <c r="N344" s="328">
        <v>0.74521176723827343</v>
      </c>
      <c r="O344" s="328">
        <v>1.517313602955289E-2</v>
      </c>
      <c r="P344" s="328">
        <v>0.87745344228801803</v>
      </c>
    </row>
    <row r="345" spans="2:16" ht="18" customHeight="1">
      <c r="B345" s="284"/>
      <c r="C345" s="311"/>
      <c r="D345" s="312"/>
      <c r="E345" s="289"/>
      <c r="F345" s="79">
        <v>3</v>
      </c>
      <c r="G345" s="178" t="s">
        <v>107</v>
      </c>
      <c r="H345" s="234">
        <v>8.8715190909388255</v>
      </c>
      <c r="I345" s="328"/>
      <c r="J345" s="328"/>
      <c r="K345" s="328"/>
      <c r="L345" s="234">
        <v>13.085745782416867</v>
      </c>
      <c r="M345" s="328">
        <v>1.729224058884302</v>
      </c>
      <c r="N345" s="328">
        <v>0.74521176723827343</v>
      </c>
      <c r="O345" s="328">
        <v>1.517313602955289E-2</v>
      </c>
      <c r="P345" s="328">
        <v>0.87745344228801803</v>
      </c>
    </row>
    <row r="346" spans="2:16" ht="18" customHeight="1">
      <c r="B346" s="284"/>
      <c r="C346" s="313"/>
      <c r="D346" s="314"/>
      <c r="E346" s="288"/>
      <c r="F346" s="82">
        <v>4</v>
      </c>
      <c r="G346" s="180" t="s">
        <v>108</v>
      </c>
      <c r="H346" s="235">
        <v>1.2294731861555901</v>
      </c>
      <c r="I346" s="329"/>
      <c r="J346" s="329"/>
      <c r="K346" s="329"/>
      <c r="L346" s="235">
        <v>1.5676193737523012</v>
      </c>
      <c r="M346" s="329">
        <v>1.729224058884302</v>
      </c>
      <c r="N346" s="329">
        <v>0.74521176723827343</v>
      </c>
      <c r="O346" s="329">
        <v>1.517313602955289E-2</v>
      </c>
      <c r="P346" s="329">
        <v>0.87745344228801803</v>
      </c>
    </row>
    <row r="347" spans="2:16" ht="18" customHeight="1">
      <c r="B347" s="284"/>
      <c r="C347" s="309" t="s">
        <v>117</v>
      </c>
      <c r="D347" s="310"/>
      <c r="E347" s="287" t="str">
        <f>HYPERLINK("#LAYOUT_m1!lay중YMDA1C10","YMDA1C10")</f>
        <v>YMDA1C10</v>
      </c>
      <c r="F347" s="78">
        <v>1</v>
      </c>
      <c r="G347" s="179" t="s">
        <v>105</v>
      </c>
      <c r="H347" s="233">
        <v>8.3633604866710485</v>
      </c>
      <c r="I347" s="327">
        <v>2.9793377405067756</v>
      </c>
      <c r="J347" s="327">
        <v>1.7789809521342161E-2</v>
      </c>
      <c r="K347" s="327">
        <v>0.59710617159893298</v>
      </c>
      <c r="L347" s="233">
        <v>6.6906691608756592</v>
      </c>
      <c r="M347" s="327">
        <v>2.8541337003543132</v>
      </c>
      <c r="N347" s="327">
        <v>0.83796032630008987</v>
      </c>
      <c r="O347" s="327">
        <v>1.706157441050507E-2</v>
      </c>
      <c r="P347" s="327">
        <v>0.59778469412231949</v>
      </c>
    </row>
    <row r="348" spans="2:16" ht="18" customHeight="1">
      <c r="B348" s="284"/>
      <c r="C348" s="311"/>
      <c r="D348" s="312"/>
      <c r="E348" s="289"/>
      <c r="F348" s="79">
        <v>2</v>
      </c>
      <c r="G348" s="178" t="s">
        <v>106</v>
      </c>
      <c r="H348" s="234">
        <v>16.156997959333147</v>
      </c>
      <c r="I348" s="328"/>
      <c r="J348" s="328"/>
      <c r="K348" s="328"/>
      <c r="L348" s="234">
        <v>23.260499530301839</v>
      </c>
      <c r="M348" s="328">
        <v>2.8541337003543132</v>
      </c>
      <c r="N348" s="328">
        <v>0.83796032630008987</v>
      </c>
      <c r="O348" s="328">
        <v>1.706157441050507E-2</v>
      </c>
      <c r="P348" s="328">
        <v>0.59778469412231949</v>
      </c>
    </row>
    <row r="349" spans="2:16" ht="18" customHeight="1">
      <c r="B349" s="284"/>
      <c r="C349" s="311"/>
      <c r="D349" s="312"/>
      <c r="E349" s="289"/>
      <c r="F349" s="79">
        <v>3</v>
      </c>
      <c r="G349" s="178" t="s">
        <v>107</v>
      </c>
      <c r="H349" s="234">
        <v>44.662148570643652</v>
      </c>
      <c r="I349" s="328"/>
      <c r="J349" s="328"/>
      <c r="K349" s="328"/>
      <c r="L349" s="234">
        <v>47.993623421336594</v>
      </c>
      <c r="M349" s="328">
        <v>2.8541337003543132</v>
      </c>
      <c r="N349" s="328">
        <v>0.83796032630008987</v>
      </c>
      <c r="O349" s="328">
        <v>1.706157441050507E-2</v>
      </c>
      <c r="P349" s="328">
        <v>0.59778469412231949</v>
      </c>
    </row>
    <row r="350" spans="2:16" ht="18" customHeight="1">
      <c r="B350" s="284"/>
      <c r="C350" s="313"/>
      <c r="D350" s="314"/>
      <c r="E350" s="288"/>
      <c r="F350" s="82">
        <v>4</v>
      </c>
      <c r="G350" s="180" t="s">
        <v>108</v>
      </c>
      <c r="H350" s="235">
        <v>30.817492983352167</v>
      </c>
      <c r="I350" s="329"/>
      <c r="J350" s="329"/>
      <c r="K350" s="329"/>
      <c r="L350" s="235">
        <v>22.055207887485881</v>
      </c>
      <c r="M350" s="329">
        <v>2.8541337003543132</v>
      </c>
      <c r="N350" s="329">
        <v>0.83796032630008987</v>
      </c>
      <c r="O350" s="329">
        <v>1.706157441050507E-2</v>
      </c>
      <c r="P350" s="329">
        <v>0.59778469412231949</v>
      </c>
    </row>
    <row r="351" spans="2:16" ht="18" customHeight="1">
      <c r="B351" s="284"/>
      <c r="C351" s="309" t="s">
        <v>118</v>
      </c>
      <c r="D351" s="310"/>
      <c r="E351" s="287" t="str">
        <f>HYPERLINK("#LAYOUT_m1!lay중YMDA1C11","YMDA1C11")</f>
        <v>YMDA1C11</v>
      </c>
      <c r="F351" s="78">
        <v>1</v>
      </c>
      <c r="G351" s="179" t="s">
        <v>105</v>
      </c>
      <c r="H351" s="233">
        <v>51.480550174763742</v>
      </c>
      <c r="I351" s="327">
        <v>1.579076069488947</v>
      </c>
      <c r="J351" s="327">
        <v>1.3359761732682312E-2</v>
      </c>
      <c r="K351" s="327">
        <v>0.84604928102077259</v>
      </c>
      <c r="L351" s="233">
        <v>41.759442550468442</v>
      </c>
      <c r="M351" s="327">
        <v>1.7410302661513302</v>
      </c>
      <c r="N351" s="327">
        <v>0.73095802498601192</v>
      </c>
      <c r="O351" s="327">
        <v>1.4882917893404487E-2</v>
      </c>
      <c r="P351" s="327">
        <v>0.85483395566144971</v>
      </c>
    </row>
    <row r="352" spans="2:16" ht="18" customHeight="1">
      <c r="B352" s="284"/>
      <c r="C352" s="311"/>
      <c r="D352" s="312"/>
      <c r="E352" s="289"/>
      <c r="F352" s="79">
        <v>2</v>
      </c>
      <c r="G352" s="178" t="s">
        <v>106</v>
      </c>
      <c r="H352" s="234">
        <v>40.223157477574887</v>
      </c>
      <c r="I352" s="328"/>
      <c r="J352" s="328"/>
      <c r="K352" s="328"/>
      <c r="L352" s="234">
        <v>43.533773167746801</v>
      </c>
      <c r="M352" s="328">
        <v>1.7410302661513302</v>
      </c>
      <c r="N352" s="328">
        <v>0.73095802498601192</v>
      </c>
      <c r="O352" s="328">
        <v>1.4882917893404487E-2</v>
      </c>
      <c r="P352" s="328">
        <v>0.85483395566144971</v>
      </c>
    </row>
    <row r="353" spans="2:16" ht="18" customHeight="1">
      <c r="B353" s="284"/>
      <c r="C353" s="311"/>
      <c r="D353" s="312"/>
      <c r="E353" s="289"/>
      <c r="F353" s="79">
        <v>3</v>
      </c>
      <c r="G353" s="178" t="s">
        <v>107</v>
      </c>
      <c r="H353" s="234">
        <v>7.2044275716648922</v>
      </c>
      <c r="I353" s="328"/>
      <c r="J353" s="328"/>
      <c r="K353" s="328"/>
      <c r="L353" s="234">
        <v>13.551099397966672</v>
      </c>
      <c r="M353" s="328">
        <v>1.7410302661513302</v>
      </c>
      <c r="N353" s="328">
        <v>0.73095802498601192</v>
      </c>
      <c r="O353" s="328">
        <v>1.4882917893404487E-2</v>
      </c>
      <c r="P353" s="328">
        <v>0.85483395566144971</v>
      </c>
    </row>
    <row r="354" spans="2:16" ht="18" customHeight="1">
      <c r="B354" s="284"/>
      <c r="C354" s="313"/>
      <c r="D354" s="314"/>
      <c r="E354" s="288"/>
      <c r="F354" s="82">
        <v>4</v>
      </c>
      <c r="G354" s="180" t="s">
        <v>108</v>
      </c>
      <c r="H354" s="235">
        <v>1.0918647759964752</v>
      </c>
      <c r="I354" s="329"/>
      <c r="J354" s="329"/>
      <c r="K354" s="329"/>
      <c r="L354" s="235">
        <v>1.1556848838180971</v>
      </c>
      <c r="M354" s="329">
        <v>1.7410302661513302</v>
      </c>
      <c r="N354" s="329">
        <v>0.73095802498601192</v>
      </c>
      <c r="O354" s="329">
        <v>1.4882917893404487E-2</v>
      </c>
      <c r="P354" s="329">
        <v>0.85483395566144971</v>
      </c>
    </row>
    <row r="355" spans="2:16" ht="18" customHeight="1">
      <c r="B355" s="284"/>
      <c r="C355" s="309" t="s">
        <v>119</v>
      </c>
      <c r="D355" s="310"/>
      <c r="E355" s="287" t="str">
        <f>HYPERLINK("#LAYOUT_m1!lay중YMDA1C12","YMDA1C12")</f>
        <v>YMDA1C12</v>
      </c>
      <c r="F355" s="78">
        <v>1</v>
      </c>
      <c r="G355" s="179" t="s">
        <v>105</v>
      </c>
      <c r="H355" s="233">
        <v>29.901416139858821</v>
      </c>
      <c r="I355" s="327">
        <v>2.0183239798282213</v>
      </c>
      <c r="J355" s="327">
        <v>1.6324776331861596E-2</v>
      </c>
      <c r="K355" s="327">
        <v>0.80882833950429456</v>
      </c>
      <c r="L355" s="233">
        <v>25.798955278568098</v>
      </c>
      <c r="M355" s="327">
        <v>2.0792433444315552</v>
      </c>
      <c r="N355" s="327">
        <v>0.81001522125749648</v>
      </c>
      <c r="O355" s="327">
        <v>1.6492588655297801E-2</v>
      </c>
      <c r="P355" s="327">
        <v>0.79320146434359373</v>
      </c>
    </row>
    <row r="356" spans="2:16" ht="18" customHeight="1">
      <c r="B356" s="284"/>
      <c r="C356" s="311"/>
      <c r="D356" s="312"/>
      <c r="E356" s="289"/>
      <c r="F356" s="79">
        <v>2</v>
      </c>
      <c r="G356" s="178" t="s">
        <v>106</v>
      </c>
      <c r="H356" s="234">
        <v>41.409229948261554</v>
      </c>
      <c r="I356" s="328"/>
      <c r="J356" s="328"/>
      <c r="K356" s="328"/>
      <c r="L356" s="234">
        <v>43.712066369821791</v>
      </c>
      <c r="M356" s="328">
        <v>2.0792433444315552</v>
      </c>
      <c r="N356" s="328">
        <v>0.81001522125749648</v>
      </c>
      <c r="O356" s="328">
        <v>1.6492588655297801E-2</v>
      </c>
      <c r="P356" s="328">
        <v>0.79320146434359373</v>
      </c>
    </row>
    <row r="357" spans="2:16" ht="18" customHeight="1">
      <c r="B357" s="284"/>
      <c r="C357" s="311"/>
      <c r="D357" s="312"/>
      <c r="E357" s="289"/>
      <c r="F357" s="79">
        <v>3</v>
      </c>
      <c r="G357" s="178" t="s">
        <v>107</v>
      </c>
      <c r="H357" s="234">
        <v>25.644893701078267</v>
      </c>
      <c r="I357" s="328"/>
      <c r="J357" s="328"/>
      <c r="K357" s="328"/>
      <c r="L357" s="234">
        <v>27.254666981495561</v>
      </c>
      <c r="M357" s="328">
        <v>2.0792433444315552</v>
      </c>
      <c r="N357" s="328">
        <v>0.81001522125749648</v>
      </c>
      <c r="O357" s="328">
        <v>1.6492588655297801E-2</v>
      </c>
      <c r="P357" s="328">
        <v>0.79320146434359373</v>
      </c>
    </row>
    <row r="358" spans="2:16" ht="18" customHeight="1">
      <c r="B358" s="284"/>
      <c r="C358" s="313"/>
      <c r="D358" s="314"/>
      <c r="E358" s="288"/>
      <c r="F358" s="82">
        <v>4</v>
      </c>
      <c r="G358" s="180" t="s">
        <v>108</v>
      </c>
      <c r="H358" s="235">
        <v>3.0444602108013643</v>
      </c>
      <c r="I358" s="329"/>
      <c r="J358" s="329"/>
      <c r="K358" s="329"/>
      <c r="L358" s="235">
        <v>3.2343113701145332</v>
      </c>
      <c r="M358" s="329">
        <v>2.0792433444315552</v>
      </c>
      <c r="N358" s="329">
        <v>0.81001522125749648</v>
      </c>
      <c r="O358" s="329">
        <v>1.6492588655297801E-2</v>
      </c>
      <c r="P358" s="329">
        <v>0.79320146434359373</v>
      </c>
    </row>
    <row r="359" spans="2:16" ht="18" customHeight="1">
      <c r="B359" s="284"/>
      <c r="C359" s="309" t="s">
        <v>120</v>
      </c>
      <c r="D359" s="310"/>
      <c r="E359" s="287" t="str">
        <f>HYPERLINK("#LAYOUT_m1!lay중YMDA1C13","YMDA1C13")</f>
        <v>YMDA1C13</v>
      </c>
      <c r="F359" s="78">
        <v>1</v>
      </c>
      <c r="G359" s="179" t="s">
        <v>105</v>
      </c>
      <c r="H359" s="233">
        <v>22.648741540310098</v>
      </c>
      <c r="I359" s="327">
        <v>2.231991752850635</v>
      </c>
      <c r="J359" s="327">
        <v>1.7103384110254305E-2</v>
      </c>
      <c r="K359" s="327">
        <v>0.76628348148734693</v>
      </c>
      <c r="L359" s="233">
        <v>18.819911857815516</v>
      </c>
      <c r="M359" s="327">
        <v>2.3027042434167755</v>
      </c>
      <c r="N359" s="327">
        <v>0.83233204610281397</v>
      </c>
      <c r="O359" s="327">
        <v>1.6946977909483373E-2</v>
      </c>
      <c r="P359" s="327">
        <v>0.73595981585274173</v>
      </c>
    </row>
    <row r="360" spans="2:16" ht="18" customHeight="1">
      <c r="B360" s="284"/>
      <c r="C360" s="311"/>
      <c r="D360" s="312"/>
      <c r="E360" s="289"/>
      <c r="F360" s="79">
        <v>2</v>
      </c>
      <c r="G360" s="178" t="s">
        <v>106</v>
      </c>
      <c r="H360" s="234">
        <v>37.096791119917427</v>
      </c>
      <c r="I360" s="328"/>
      <c r="J360" s="328"/>
      <c r="K360" s="328"/>
      <c r="L360" s="234">
        <v>37.223208103943094</v>
      </c>
      <c r="M360" s="328">
        <v>2.3027042434167755</v>
      </c>
      <c r="N360" s="328">
        <v>0.83233204610281397</v>
      </c>
      <c r="O360" s="328">
        <v>1.6946977909483373E-2</v>
      </c>
      <c r="P360" s="328">
        <v>0.73595981585274173</v>
      </c>
    </row>
    <row r="361" spans="2:16" ht="18" customHeight="1">
      <c r="B361" s="284"/>
      <c r="C361" s="311"/>
      <c r="D361" s="312"/>
      <c r="E361" s="289"/>
      <c r="F361" s="79">
        <v>3</v>
      </c>
      <c r="G361" s="178" t="s">
        <v>107</v>
      </c>
      <c r="H361" s="234">
        <v>34.661017854170538</v>
      </c>
      <c r="I361" s="328"/>
      <c r="J361" s="328"/>
      <c r="K361" s="328"/>
      <c r="L361" s="234">
        <v>38.82342387698894</v>
      </c>
      <c r="M361" s="328">
        <v>2.3027042434167755</v>
      </c>
      <c r="N361" s="328">
        <v>0.83233204610281397</v>
      </c>
      <c r="O361" s="328">
        <v>1.6946977909483373E-2</v>
      </c>
      <c r="P361" s="328">
        <v>0.73595981585274173</v>
      </c>
    </row>
    <row r="362" spans="2:16" ht="18" customHeight="1">
      <c r="B362" s="284"/>
      <c r="C362" s="313"/>
      <c r="D362" s="314"/>
      <c r="E362" s="288"/>
      <c r="F362" s="82">
        <v>4</v>
      </c>
      <c r="G362" s="180" t="s">
        <v>108</v>
      </c>
      <c r="H362" s="235">
        <v>5.5934494856019521</v>
      </c>
      <c r="I362" s="329"/>
      <c r="J362" s="329"/>
      <c r="K362" s="329"/>
      <c r="L362" s="235">
        <v>5.1334561612524841</v>
      </c>
      <c r="M362" s="329">
        <v>2.3027042434167755</v>
      </c>
      <c r="N362" s="329">
        <v>0.83233204610281397</v>
      </c>
      <c r="O362" s="329">
        <v>1.6946977909483373E-2</v>
      </c>
      <c r="P362" s="329">
        <v>0.73595981585274173</v>
      </c>
    </row>
    <row r="363" spans="2:16" ht="18" customHeight="1">
      <c r="B363" s="284"/>
      <c r="C363" s="309" t="s">
        <v>121</v>
      </c>
      <c r="D363" s="310"/>
      <c r="E363" s="287" t="str">
        <f>HYPERLINK("#LAYOUT_m1!lay중YMDA1C14","YMDA1C14")</f>
        <v>YMDA1C14</v>
      </c>
      <c r="F363" s="78">
        <v>1</v>
      </c>
      <c r="G363" s="179" t="s">
        <v>105</v>
      </c>
      <c r="H363" s="233">
        <v>17.737528524893147</v>
      </c>
      <c r="I363" s="327">
        <v>2.4240671588717793</v>
      </c>
      <c r="J363" s="327">
        <v>1.7360143629681524E-2</v>
      </c>
      <c r="K363" s="327">
        <v>0.71615770075286889</v>
      </c>
      <c r="L363" s="233">
        <v>14.374500085357699</v>
      </c>
      <c r="M363" s="327">
        <v>2.4951475728705979</v>
      </c>
      <c r="N363" s="327">
        <v>0.84883485433428663</v>
      </c>
      <c r="O363" s="327">
        <v>1.728298891356846E-2</v>
      </c>
      <c r="P363" s="327">
        <v>0.69266399717131211</v>
      </c>
    </row>
    <row r="364" spans="2:16" ht="18" customHeight="1">
      <c r="B364" s="284"/>
      <c r="C364" s="311"/>
      <c r="D364" s="312"/>
      <c r="E364" s="289"/>
      <c r="F364" s="79">
        <v>2</v>
      </c>
      <c r="G364" s="178" t="s">
        <v>106</v>
      </c>
      <c r="H364" s="234">
        <v>30.443560885314593</v>
      </c>
      <c r="I364" s="328"/>
      <c r="J364" s="328"/>
      <c r="K364" s="328"/>
      <c r="L364" s="234">
        <v>30.751929709569573</v>
      </c>
      <c r="M364" s="328">
        <v>2.4951475728705979</v>
      </c>
      <c r="N364" s="328">
        <v>0.84883485433428663</v>
      </c>
      <c r="O364" s="328">
        <v>1.728298891356846E-2</v>
      </c>
      <c r="P364" s="328">
        <v>0.69266399717131211</v>
      </c>
    </row>
    <row r="365" spans="2:16" ht="18" customHeight="1">
      <c r="B365" s="284"/>
      <c r="C365" s="311"/>
      <c r="D365" s="312"/>
      <c r="E365" s="289"/>
      <c r="F365" s="79">
        <v>3</v>
      </c>
      <c r="G365" s="178" t="s">
        <v>107</v>
      </c>
      <c r="H365" s="234">
        <v>43.493576767512586</v>
      </c>
      <c r="I365" s="328"/>
      <c r="J365" s="328"/>
      <c r="K365" s="328"/>
      <c r="L365" s="234">
        <v>45.857883037726488</v>
      </c>
      <c r="M365" s="328">
        <v>2.4951475728705979</v>
      </c>
      <c r="N365" s="328">
        <v>0.84883485433428663</v>
      </c>
      <c r="O365" s="328">
        <v>1.728298891356846E-2</v>
      </c>
      <c r="P365" s="328">
        <v>0.69266399717131211</v>
      </c>
    </row>
    <row r="366" spans="2:16" ht="18" customHeight="1">
      <c r="B366" s="284"/>
      <c r="C366" s="313"/>
      <c r="D366" s="314"/>
      <c r="E366" s="288"/>
      <c r="F366" s="82">
        <v>4</v>
      </c>
      <c r="G366" s="180" t="s">
        <v>108</v>
      </c>
      <c r="H366" s="235">
        <v>8.3253338222796867</v>
      </c>
      <c r="I366" s="329"/>
      <c r="J366" s="329"/>
      <c r="K366" s="329"/>
      <c r="L366" s="235">
        <v>9.0156871673462522</v>
      </c>
      <c r="M366" s="329">
        <v>2.4951475728705979</v>
      </c>
      <c r="N366" s="329">
        <v>0.84883485433428663</v>
      </c>
      <c r="O366" s="329">
        <v>1.728298891356846E-2</v>
      </c>
      <c r="P366" s="329">
        <v>0.69266399717131211</v>
      </c>
    </row>
    <row r="367" spans="2:16" ht="18" customHeight="1">
      <c r="B367" s="284"/>
      <c r="C367" s="309" t="s">
        <v>122</v>
      </c>
      <c r="D367" s="310"/>
      <c r="E367" s="287" t="str">
        <f>HYPERLINK("#LAYOUT_m1!lay중YMDA1C15","YMDA1C15")</f>
        <v>YMDA1C15</v>
      </c>
      <c r="F367" s="78">
        <v>1</v>
      </c>
      <c r="G367" s="179" t="s">
        <v>105</v>
      </c>
      <c r="H367" s="233">
        <v>13.234530171655939</v>
      </c>
      <c r="I367" s="327">
        <v>2.2983754417523743</v>
      </c>
      <c r="J367" s="327">
        <v>1.5501760608963036E-2</v>
      </c>
      <c r="K367" s="327">
        <v>0.67446598703403593</v>
      </c>
      <c r="L367" s="233">
        <v>12.098145337142753</v>
      </c>
      <c r="M367" s="327">
        <v>2.2966365449301089</v>
      </c>
      <c r="N367" s="327">
        <v>0.75277979449206678</v>
      </c>
      <c r="O367" s="327">
        <v>1.5327227406052121E-2</v>
      </c>
      <c r="P367" s="327">
        <v>0.66737714506404644</v>
      </c>
    </row>
    <row r="368" spans="2:16" ht="18" customHeight="1">
      <c r="B368" s="284"/>
      <c r="C368" s="311"/>
      <c r="D368" s="312"/>
      <c r="E368" s="289"/>
      <c r="F368" s="79">
        <v>2</v>
      </c>
      <c r="G368" s="178" t="s">
        <v>106</v>
      </c>
      <c r="H368" s="234">
        <v>50.510170345377077</v>
      </c>
      <c r="I368" s="328"/>
      <c r="J368" s="328"/>
      <c r="K368" s="328"/>
      <c r="L368" s="234">
        <v>51.835850818272256</v>
      </c>
      <c r="M368" s="328">
        <v>2.2966365449301089</v>
      </c>
      <c r="N368" s="328">
        <v>0.75277979449206678</v>
      </c>
      <c r="O368" s="328">
        <v>1.5327227406052121E-2</v>
      </c>
      <c r="P368" s="328">
        <v>0.66737714506404644</v>
      </c>
    </row>
    <row r="369" spans="2:16" ht="18" customHeight="1">
      <c r="B369" s="284"/>
      <c r="C369" s="311"/>
      <c r="D369" s="312"/>
      <c r="E369" s="289"/>
      <c r="F369" s="79">
        <v>3</v>
      </c>
      <c r="G369" s="178" t="s">
        <v>107</v>
      </c>
      <c r="H369" s="234">
        <v>29.43852461904039</v>
      </c>
      <c r="I369" s="328"/>
      <c r="J369" s="328"/>
      <c r="K369" s="328"/>
      <c r="L369" s="234">
        <v>30.370207859015775</v>
      </c>
      <c r="M369" s="328">
        <v>2.2966365449301089</v>
      </c>
      <c r="N369" s="328">
        <v>0.75277979449206678</v>
      </c>
      <c r="O369" s="328">
        <v>1.5327227406052121E-2</v>
      </c>
      <c r="P369" s="328">
        <v>0.66737714506404644</v>
      </c>
    </row>
    <row r="370" spans="2:16" ht="18" customHeight="1">
      <c r="B370" s="286"/>
      <c r="C370" s="313"/>
      <c r="D370" s="314"/>
      <c r="E370" s="288"/>
      <c r="F370" s="82">
        <v>4</v>
      </c>
      <c r="G370" s="180" t="s">
        <v>108</v>
      </c>
      <c r="H370" s="235">
        <v>6.8167748639265922</v>
      </c>
      <c r="I370" s="329"/>
      <c r="J370" s="329"/>
      <c r="K370" s="329"/>
      <c r="L370" s="235">
        <v>5.6957959855692</v>
      </c>
      <c r="M370" s="329">
        <v>2.2966365449301089</v>
      </c>
      <c r="N370" s="329">
        <v>0.75277979449206678</v>
      </c>
      <c r="O370" s="329">
        <v>1.5327227406052121E-2</v>
      </c>
      <c r="P370" s="329">
        <v>0.66737714506404644</v>
      </c>
    </row>
    <row r="371" spans="2:16" ht="18" customHeight="1">
      <c r="B371" s="282" t="s">
        <v>1615</v>
      </c>
      <c r="C371" s="303" t="s">
        <v>319</v>
      </c>
      <c r="D371" s="342" t="s">
        <v>320</v>
      </c>
      <c r="E371" s="287" t="str">
        <f>HYPERLINK("#LAYOUT_m1!lay중YACT1A01","YACT1A01")</f>
        <v>YACT1A01</v>
      </c>
      <c r="F371" s="78">
        <v>1</v>
      </c>
      <c r="G371" s="179" t="s">
        <v>309</v>
      </c>
      <c r="H371" s="233">
        <v>17.667859541021755</v>
      </c>
      <c r="I371" s="327"/>
      <c r="J371" s="327"/>
      <c r="K371" s="327"/>
      <c r="L371" s="233">
        <v>26.799588039958795</v>
      </c>
      <c r="M371" s="327"/>
      <c r="N371" s="327"/>
      <c r="O371" s="327"/>
      <c r="P371" s="327"/>
    </row>
    <row r="372" spans="2:16" ht="18" customHeight="1">
      <c r="B372" s="284"/>
      <c r="C372" s="305"/>
      <c r="D372" s="340"/>
      <c r="E372" s="289"/>
      <c r="F372" s="79">
        <v>2</v>
      </c>
      <c r="G372" s="178" t="s">
        <v>321</v>
      </c>
      <c r="H372" s="234">
        <v>40.477897049027554</v>
      </c>
      <c r="I372" s="328"/>
      <c r="J372" s="328"/>
      <c r="K372" s="328"/>
      <c r="L372" s="234">
        <v>38.092263229803848</v>
      </c>
      <c r="M372" s="328"/>
      <c r="N372" s="328"/>
      <c r="O372" s="328"/>
      <c r="P372" s="328"/>
    </row>
    <row r="373" spans="2:16" ht="18" customHeight="1">
      <c r="B373" s="284"/>
      <c r="C373" s="305"/>
      <c r="D373" s="340"/>
      <c r="E373" s="289"/>
      <c r="F373" s="79">
        <v>3</v>
      </c>
      <c r="G373" s="178" t="s">
        <v>322</v>
      </c>
      <c r="H373" s="234">
        <v>22.724208772046811</v>
      </c>
      <c r="I373" s="328"/>
      <c r="J373" s="328"/>
      <c r="K373" s="328"/>
      <c r="L373" s="234">
        <v>20.333526646523737</v>
      </c>
      <c r="M373" s="328"/>
      <c r="N373" s="328"/>
      <c r="O373" s="328"/>
      <c r="P373" s="328"/>
    </row>
    <row r="374" spans="2:16" ht="18" customHeight="1">
      <c r="B374" s="284"/>
      <c r="C374" s="305"/>
      <c r="D374" s="341"/>
      <c r="E374" s="288"/>
      <c r="F374" s="82">
        <v>4</v>
      </c>
      <c r="G374" s="180" t="s">
        <v>323</v>
      </c>
      <c r="H374" s="235">
        <v>19.130034637903904</v>
      </c>
      <c r="I374" s="329"/>
      <c r="J374" s="329"/>
      <c r="K374" s="329"/>
      <c r="L374" s="235">
        <v>14.774622083713625</v>
      </c>
      <c r="M374" s="329"/>
      <c r="N374" s="329"/>
      <c r="O374" s="329"/>
      <c r="P374" s="329"/>
    </row>
    <row r="375" spans="2:16" ht="18" customHeight="1">
      <c r="B375" s="284"/>
      <c r="C375" s="305"/>
      <c r="D375" s="339" t="s">
        <v>324</v>
      </c>
      <c r="E375" s="287" t="str">
        <f>HYPERLINK("#LAYOUT_m1!lay중YACT1A02","YACT1A02")</f>
        <v>YACT1A02</v>
      </c>
      <c r="F375" s="78">
        <v>1</v>
      </c>
      <c r="G375" s="179" t="s">
        <v>309</v>
      </c>
      <c r="H375" s="233">
        <v>55.803152354631209</v>
      </c>
      <c r="I375" s="327"/>
      <c r="J375" s="327"/>
      <c r="K375" s="327"/>
      <c r="L375" s="233">
        <v>61.145075485626123</v>
      </c>
      <c r="M375" s="327"/>
      <c r="N375" s="327"/>
      <c r="O375" s="327"/>
      <c r="P375" s="327"/>
    </row>
    <row r="376" spans="2:16" ht="18" customHeight="1">
      <c r="B376" s="284"/>
      <c r="C376" s="305"/>
      <c r="D376" s="340"/>
      <c r="E376" s="289"/>
      <c r="F376" s="79">
        <v>2</v>
      </c>
      <c r="G376" s="178" t="s">
        <v>321</v>
      </c>
      <c r="H376" s="234">
        <v>28.667921043648359</v>
      </c>
      <c r="I376" s="328"/>
      <c r="J376" s="328"/>
      <c r="K376" s="328"/>
      <c r="L376" s="234">
        <v>27.828809246601072</v>
      </c>
      <c r="M376" s="328"/>
      <c r="N376" s="328"/>
      <c r="O376" s="328"/>
      <c r="P376" s="328"/>
    </row>
    <row r="377" spans="2:16" ht="18" customHeight="1">
      <c r="B377" s="284"/>
      <c r="C377" s="305"/>
      <c r="D377" s="340"/>
      <c r="E377" s="289"/>
      <c r="F377" s="79">
        <v>3</v>
      </c>
      <c r="G377" s="178" t="s">
        <v>322</v>
      </c>
      <c r="H377" s="234">
        <v>9.8325286027765433</v>
      </c>
      <c r="I377" s="328"/>
      <c r="J377" s="328"/>
      <c r="K377" s="328"/>
      <c r="L377" s="234">
        <v>8.3583967297111688</v>
      </c>
      <c r="M377" s="328"/>
      <c r="N377" s="328"/>
      <c r="O377" s="328"/>
      <c r="P377" s="328"/>
    </row>
    <row r="378" spans="2:16" ht="18" customHeight="1">
      <c r="B378" s="284"/>
      <c r="C378" s="305"/>
      <c r="D378" s="341"/>
      <c r="E378" s="288"/>
      <c r="F378" s="82">
        <v>4</v>
      </c>
      <c r="G378" s="180" t="s">
        <v>323</v>
      </c>
      <c r="H378" s="235">
        <v>5.6963979989439082</v>
      </c>
      <c r="I378" s="329"/>
      <c r="J378" s="329"/>
      <c r="K378" s="329"/>
      <c r="L378" s="235">
        <v>2.6677185380616337</v>
      </c>
      <c r="M378" s="329"/>
      <c r="N378" s="329"/>
      <c r="O378" s="329"/>
      <c r="P378" s="329"/>
    </row>
    <row r="379" spans="2:16" ht="18" customHeight="1">
      <c r="B379" s="284"/>
      <c r="C379" s="305"/>
      <c r="D379" s="339" t="s">
        <v>325</v>
      </c>
      <c r="E379" s="287" t="str">
        <f>HYPERLINK("#LAYOUT_m1!lay중YACT1A03","YACT1A03")</f>
        <v>YACT1A03</v>
      </c>
      <c r="F379" s="78">
        <v>1</v>
      </c>
      <c r="G379" s="179" t="s">
        <v>309</v>
      </c>
      <c r="H379" s="233">
        <v>44.521875953710257</v>
      </c>
      <c r="I379" s="327"/>
      <c r="J379" s="327"/>
      <c r="K379" s="327"/>
      <c r="L379" s="233">
        <v>60.384015867203715</v>
      </c>
      <c r="M379" s="327"/>
      <c r="N379" s="327"/>
      <c r="O379" s="327"/>
      <c r="P379" s="327"/>
    </row>
    <row r="380" spans="2:16" ht="18" customHeight="1">
      <c r="B380" s="284"/>
      <c r="C380" s="305"/>
      <c r="D380" s="340"/>
      <c r="E380" s="289"/>
      <c r="F380" s="79">
        <v>2</v>
      </c>
      <c r="G380" s="178" t="s">
        <v>321</v>
      </c>
      <c r="H380" s="234">
        <v>36.38228021540835</v>
      </c>
      <c r="I380" s="328"/>
      <c r="J380" s="328"/>
      <c r="K380" s="328"/>
      <c r="L380" s="234">
        <v>28.170122461490553</v>
      </c>
      <c r="M380" s="328"/>
      <c r="N380" s="328"/>
      <c r="O380" s="328"/>
      <c r="P380" s="328"/>
    </row>
    <row r="381" spans="2:16" ht="18" customHeight="1">
      <c r="B381" s="284"/>
      <c r="C381" s="305"/>
      <c r="D381" s="340"/>
      <c r="E381" s="289"/>
      <c r="F381" s="79">
        <v>3</v>
      </c>
      <c r="G381" s="178" t="s">
        <v>322</v>
      </c>
      <c r="H381" s="234">
        <v>10.829063613129183</v>
      </c>
      <c r="I381" s="328"/>
      <c r="J381" s="328"/>
      <c r="K381" s="328"/>
      <c r="L381" s="234">
        <v>8.2095965439292016</v>
      </c>
      <c r="M381" s="328"/>
      <c r="N381" s="328"/>
      <c r="O381" s="328"/>
      <c r="P381" s="328"/>
    </row>
    <row r="382" spans="2:16" ht="18" customHeight="1">
      <c r="B382" s="284"/>
      <c r="C382" s="305"/>
      <c r="D382" s="341"/>
      <c r="E382" s="288"/>
      <c r="F382" s="82">
        <v>4</v>
      </c>
      <c r="G382" s="180" t="s">
        <v>323</v>
      </c>
      <c r="H382" s="235">
        <v>8.2667802177522098</v>
      </c>
      <c r="I382" s="329"/>
      <c r="J382" s="329"/>
      <c r="K382" s="329"/>
      <c r="L382" s="235">
        <v>3.2362651273765324</v>
      </c>
      <c r="M382" s="329"/>
      <c r="N382" s="329"/>
      <c r="O382" s="329"/>
      <c r="P382" s="329"/>
    </row>
    <row r="383" spans="2:16" ht="18" customHeight="1">
      <c r="B383" s="284"/>
      <c r="C383" s="305"/>
      <c r="D383" s="339" t="s">
        <v>326</v>
      </c>
      <c r="E383" s="287" t="str">
        <f>HYPERLINK("#LAYOUT_m1!lay중YACT1A04","YACT1A04")</f>
        <v>YACT1A04</v>
      </c>
      <c r="F383" s="78">
        <v>1</v>
      </c>
      <c r="G383" s="179" t="s">
        <v>309</v>
      </c>
      <c r="H383" s="233">
        <v>29.766306915747755</v>
      </c>
      <c r="I383" s="327"/>
      <c r="J383" s="327"/>
      <c r="K383" s="327"/>
      <c r="L383" s="233">
        <v>38.142452153779395</v>
      </c>
      <c r="M383" s="327"/>
      <c r="N383" s="327"/>
      <c r="O383" s="327"/>
      <c r="P383" s="327"/>
    </row>
    <row r="384" spans="2:16" ht="18" customHeight="1">
      <c r="B384" s="284"/>
      <c r="C384" s="305"/>
      <c r="D384" s="340"/>
      <c r="E384" s="289"/>
      <c r="F384" s="79">
        <v>2</v>
      </c>
      <c r="G384" s="178" t="s">
        <v>321</v>
      </c>
      <c r="H384" s="234">
        <v>33.239598775809334</v>
      </c>
      <c r="I384" s="328"/>
      <c r="J384" s="328"/>
      <c r="K384" s="328"/>
      <c r="L384" s="234">
        <v>28.481401209356942</v>
      </c>
      <c r="M384" s="328"/>
      <c r="N384" s="328"/>
      <c r="O384" s="328"/>
      <c r="P384" s="328"/>
    </row>
    <row r="385" spans="2:16" ht="18" customHeight="1">
      <c r="B385" s="284"/>
      <c r="C385" s="305"/>
      <c r="D385" s="340"/>
      <c r="E385" s="289"/>
      <c r="F385" s="79">
        <v>3</v>
      </c>
      <c r="G385" s="178" t="s">
        <v>322</v>
      </c>
      <c r="H385" s="234">
        <v>18.800402371056062</v>
      </c>
      <c r="I385" s="328"/>
      <c r="J385" s="328"/>
      <c r="K385" s="328"/>
      <c r="L385" s="234">
        <v>17.910729248052693</v>
      </c>
      <c r="M385" s="328"/>
      <c r="N385" s="328"/>
      <c r="O385" s="328"/>
      <c r="P385" s="328"/>
    </row>
    <row r="386" spans="2:16" ht="18" customHeight="1">
      <c r="B386" s="284"/>
      <c r="C386" s="305"/>
      <c r="D386" s="341"/>
      <c r="E386" s="288"/>
      <c r="F386" s="82">
        <v>4</v>
      </c>
      <c r="G386" s="180" t="s">
        <v>323</v>
      </c>
      <c r="H386" s="235">
        <v>18.193691937386841</v>
      </c>
      <c r="I386" s="329"/>
      <c r="J386" s="329"/>
      <c r="K386" s="329"/>
      <c r="L386" s="235">
        <v>15.465417388810978</v>
      </c>
      <c r="M386" s="329"/>
      <c r="N386" s="329"/>
      <c r="O386" s="329"/>
      <c r="P386" s="329"/>
    </row>
    <row r="387" spans="2:16" ht="18" customHeight="1">
      <c r="B387" s="284"/>
      <c r="C387" s="305"/>
      <c r="D387" s="339" t="s">
        <v>327</v>
      </c>
      <c r="E387" s="287" t="str">
        <f>HYPERLINK("#LAYOUT_m1!lay중YACT1A05","YACT1A05")</f>
        <v>YACT1A05</v>
      </c>
      <c r="F387" s="78">
        <v>1</v>
      </c>
      <c r="G387" s="179" t="s">
        <v>309</v>
      </c>
      <c r="H387" s="233">
        <v>24.385309429541344</v>
      </c>
      <c r="I387" s="327"/>
      <c r="J387" s="327"/>
      <c r="K387" s="327"/>
      <c r="L387" s="233">
        <v>44.142893184113717</v>
      </c>
      <c r="M387" s="327"/>
      <c r="N387" s="327"/>
      <c r="O387" s="327"/>
      <c r="P387" s="327"/>
    </row>
    <row r="388" spans="2:16" ht="18" customHeight="1">
      <c r="B388" s="284"/>
      <c r="C388" s="305"/>
      <c r="D388" s="340"/>
      <c r="E388" s="289"/>
      <c r="F388" s="79">
        <v>2</v>
      </c>
      <c r="G388" s="178" t="s">
        <v>321</v>
      </c>
      <c r="H388" s="234">
        <v>37.089429820056068</v>
      </c>
      <c r="I388" s="328"/>
      <c r="J388" s="328"/>
      <c r="K388" s="328"/>
      <c r="L388" s="234">
        <v>35.758330096003057</v>
      </c>
      <c r="M388" s="328"/>
      <c r="N388" s="328"/>
      <c r="O388" s="328"/>
      <c r="P388" s="328"/>
    </row>
    <row r="389" spans="2:16" ht="18" customHeight="1">
      <c r="B389" s="284"/>
      <c r="C389" s="305"/>
      <c r="D389" s="340"/>
      <c r="E389" s="289"/>
      <c r="F389" s="79">
        <v>3</v>
      </c>
      <c r="G389" s="178" t="s">
        <v>322</v>
      </c>
      <c r="H389" s="234">
        <v>22.74878639008012</v>
      </c>
      <c r="I389" s="328"/>
      <c r="J389" s="328"/>
      <c r="K389" s="328"/>
      <c r="L389" s="234">
        <v>14.052907249943019</v>
      </c>
      <c r="M389" s="328"/>
      <c r="N389" s="328"/>
      <c r="O389" s="328"/>
      <c r="P389" s="328"/>
    </row>
    <row r="390" spans="2:16" ht="18" customHeight="1">
      <c r="B390" s="284"/>
      <c r="C390" s="305"/>
      <c r="D390" s="341"/>
      <c r="E390" s="288"/>
      <c r="F390" s="82">
        <v>4</v>
      </c>
      <c r="G390" s="180" t="s">
        <v>323</v>
      </c>
      <c r="H390" s="235">
        <v>15.77647436032246</v>
      </c>
      <c r="I390" s="329"/>
      <c r="J390" s="329"/>
      <c r="K390" s="329"/>
      <c r="L390" s="235">
        <v>6.0458694699402153</v>
      </c>
      <c r="M390" s="329"/>
      <c r="N390" s="329"/>
      <c r="O390" s="329"/>
      <c r="P390" s="329"/>
    </row>
    <row r="391" spans="2:16" ht="18" customHeight="1">
      <c r="B391" s="284"/>
      <c r="C391" s="305"/>
      <c r="D391" s="339" t="s">
        <v>328</v>
      </c>
      <c r="E391" s="287" t="str">
        <f>HYPERLINK("#LAYOUT_m1!lay중YACT1A06","YACT1A06")</f>
        <v>YACT1A06</v>
      </c>
      <c r="F391" s="78">
        <v>1</v>
      </c>
      <c r="G391" s="179" t="s">
        <v>309</v>
      </c>
      <c r="H391" s="233">
        <v>88.025763229982985</v>
      </c>
      <c r="I391" s="327"/>
      <c r="J391" s="327"/>
      <c r="K391" s="327"/>
      <c r="L391" s="233">
        <v>87.798527752254145</v>
      </c>
      <c r="M391" s="327"/>
      <c r="N391" s="327"/>
      <c r="O391" s="327"/>
      <c r="P391" s="327"/>
    </row>
    <row r="392" spans="2:16" ht="18" customHeight="1">
      <c r="B392" s="284"/>
      <c r="C392" s="305"/>
      <c r="D392" s="340"/>
      <c r="E392" s="289"/>
      <c r="F392" s="79">
        <v>2</v>
      </c>
      <c r="G392" s="178" t="s">
        <v>321</v>
      </c>
      <c r="H392" s="234">
        <v>9.5647823888993351</v>
      </c>
      <c r="I392" s="328"/>
      <c r="J392" s="328"/>
      <c r="K392" s="328"/>
      <c r="L392" s="234">
        <v>8.4328726893021884</v>
      </c>
      <c r="M392" s="328"/>
      <c r="N392" s="328"/>
      <c r="O392" s="328"/>
      <c r="P392" s="328"/>
    </row>
    <row r="393" spans="2:16" ht="18" customHeight="1">
      <c r="B393" s="284"/>
      <c r="C393" s="305"/>
      <c r="D393" s="340"/>
      <c r="E393" s="289"/>
      <c r="F393" s="79">
        <v>3</v>
      </c>
      <c r="G393" s="178" t="s">
        <v>322</v>
      </c>
      <c r="H393" s="234">
        <v>1.4752791193163088</v>
      </c>
      <c r="I393" s="328"/>
      <c r="J393" s="328"/>
      <c r="K393" s="328"/>
      <c r="L393" s="234">
        <v>3.0234420749163142</v>
      </c>
      <c r="M393" s="328"/>
      <c r="N393" s="328"/>
      <c r="O393" s="328"/>
      <c r="P393" s="328"/>
    </row>
    <row r="394" spans="2:16" ht="18" customHeight="1">
      <c r="B394" s="284"/>
      <c r="C394" s="305"/>
      <c r="D394" s="341"/>
      <c r="E394" s="288"/>
      <c r="F394" s="82">
        <v>4</v>
      </c>
      <c r="G394" s="180" t="s">
        <v>323</v>
      </c>
      <c r="H394" s="235">
        <v>0.93417526180138266</v>
      </c>
      <c r="I394" s="329"/>
      <c r="J394" s="329"/>
      <c r="K394" s="329"/>
      <c r="L394" s="235">
        <v>0.74515748352735511</v>
      </c>
      <c r="M394" s="329"/>
      <c r="N394" s="329"/>
      <c r="O394" s="329"/>
      <c r="P394" s="329"/>
    </row>
    <row r="395" spans="2:16" ht="18" customHeight="1">
      <c r="B395" s="284"/>
      <c r="C395" s="305"/>
      <c r="D395" s="339" t="s">
        <v>329</v>
      </c>
      <c r="E395" s="287" t="str">
        <f>HYPERLINK("#LAYOUT_m1!lay중YACT1A07","YACT1A07")</f>
        <v>YACT1A07</v>
      </c>
      <c r="F395" s="78">
        <v>1</v>
      </c>
      <c r="G395" s="179" t="s">
        <v>309</v>
      </c>
      <c r="H395" s="233">
        <v>42.081578311009572</v>
      </c>
      <c r="I395" s="327"/>
      <c r="J395" s="327"/>
      <c r="K395" s="327"/>
      <c r="L395" s="233">
        <v>55.993045733094789</v>
      </c>
      <c r="M395" s="327"/>
      <c r="N395" s="327"/>
      <c r="O395" s="327"/>
      <c r="P395" s="327"/>
    </row>
    <row r="396" spans="2:16" ht="18" customHeight="1">
      <c r="B396" s="284"/>
      <c r="C396" s="305"/>
      <c r="D396" s="340"/>
      <c r="E396" s="289"/>
      <c r="F396" s="79">
        <v>2</v>
      </c>
      <c r="G396" s="178" t="s">
        <v>321</v>
      </c>
      <c r="H396" s="234">
        <v>37.409693079532467</v>
      </c>
      <c r="I396" s="328"/>
      <c r="J396" s="328"/>
      <c r="K396" s="328"/>
      <c r="L396" s="234">
        <v>28.378381443258004</v>
      </c>
      <c r="M396" s="328"/>
      <c r="N396" s="328"/>
      <c r="O396" s="328"/>
      <c r="P396" s="328"/>
    </row>
    <row r="397" spans="2:16" ht="18" customHeight="1">
      <c r="B397" s="284"/>
      <c r="C397" s="305"/>
      <c r="D397" s="340"/>
      <c r="E397" s="289"/>
      <c r="F397" s="79">
        <v>3</v>
      </c>
      <c r="G397" s="178" t="s">
        <v>322</v>
      </c>
      <c r="H397" s="234">
        <v>12.085269974378962</v>
      </c>
      <c r="I397" s="328"/>
      <c r="J397" s="328"/>
      <c r="K397" s="328"/>
      <c r="L397" s="234">
        <v>10.016340859017811</v>
      </c>
      <c r="M397" s="328"/>
      <c r="N397" s="328"/>
      <c r="O397" s="328"/>
      <c r="P397" s="328"/>
    </row>
    <row r="398" spans="2:16" ht="18" customHeight="1">
      <c r="B398" s="284"/>
      <c r="C398" s="305"/>
      <c r="D398" s="341"/>
      <c r="E398" s="288"/>
      <c r="F398" s="82">
        <v>4</v>
      </c>
      <c r="G398" s="180" t="s">
        <v>323</v>
      </c>
      <c r="H398" s="235">
        <v>8.4234586350790295</v>
      </c>
      <c r="I398" s="329"/>
      <c r="J398" s="329"/>
      <c r="K398" s="329"/>
      <c r="L398" s="235">
        <v>5.6122319646293812</v>
      </c>
      <c r="M398" s="329"/>
      <c r="N398" s="329"/>
      <c r="O398" s="329"/>
      <c r="P398" s="329"/>
    </row>
    <row r="399" spans="2:16" ht="18" customHeight="1">
      <c r="B399" s="284"/>
      <c r="C399" s="305"/>
      <c r="D399" s="339" t="s">
        <v>330</v>
      </c>
      <c r="E399" s="287" t="str">
        <f>HYPERLINK("#LAYOUT_m1!lay중YACT1A08","YACT1A08")</f>
        <v>YACT1A08</v>
      </c>
      <c r="F399" s="78">
        <v>1</v>
      </c>
      <c r="G399" s="179" t="s">
        <v>309</v>
      </c>
      <c r="H399" s="233">
        <v>56.033491255395617</v>
      </c>
      <c r="I399" s="327"/>
      <c r="J399" s="327"/>
      <c r="K399" s="327"/>
      <c r="L399" s="233">
        <v>65.234081071971914</v>
      </c>
      <c r="M399" s="327"/>
      <c r="N399" s="327"/>
      <c r="O399" s="327"/>
      <c r="P399" s="327"/>
    </row>
    <row r="400" spans="2:16" ht="18" customHeight="1">
      <c r="B400" s="284"/>
      <c r="C400" s="305"/>
      <c r="D400" s="340"/>
      <c r="E400" s="289"/>
      <c r="F400" s="79">
        <v>2</v>
      </c>
      <c r="G400" s="178" t="s">
        <v>321</v>
      </c>
      <c r="H400" s="234">
        <v>28.757672739958128</v>
      </c>
      <c r="I400" s="328"/>
      <c r="J400" s="328"/>
      <c r="K400" s="328"/>
      <c r="L400" s="234">
        <v>23.487108500950239</v>
      </c>
      <c r="M400" s="328"/>
      <c r="N400" s="328"/>
      <c r="O400" s="328"/>
      <c r="P400" s="328"/>
    </row>
    <row r="401" spans="2:16" ht="18" customHeight="1">
      <c r="B401" s="284"/>
      <c r="C401" s="305"/>
      <c r="D401" s="340"/>
      <c r="E401" s="289"/>
      <c r="F401" s="79">
        <v>3</v>
      </c>
      <c r="G401" s="178" t="s">
        <v>322</v>
      </c>
      <c r="H401" s="234">
        <v>9.455084285144153</v>
      </c>
      <c r="I401" s="328"/>
      <c r="J401" s="328"/>
      <c r="K401" s="328"/>
      <c r="L401" s="234">
        <v>7.6831528661558934</v>
      </c>
      <c r="M401" s="328"/>
      <c r="N401" s="328"/>
      <c r="O401" s="328"/>
      <c r="P401" s="328"/>
    </row>
    <row r="402" spans="2:16" ht="18" customHeight="1">
      <c r="B402" s="284"/>
      <c r="C402" s="305"/>
      <c r="D402" s="341"/>
      <c r="E402" s="288"/>
      <c r="F402" s="82">
        <v>4</v>
      </c>
      <c r="G402" s="180" t="s">
        <v>323</v>
      </c>
      <c r="H402" s="235">
        <v>5.7537517195021124</v>
      </c>
      <c r="I402" s="329"/>
      <c r="J402" s="329"/>
      <c r="K402" s="329"/>
      <c r="L402" s="235">
        <v>3.5956575609219223</v>
      </c>
      <c r="M402" s="329"/>
      <c r="N402" s="329"/>
      <c r="O402" s="329"/>
      <c r="P402" s="329"/>
    </row>
    <row r="403" spans="2:16" ht="18" customHeight="1">
      <c r="B403" s="284"/>
      <c r="C403" s="305"/>
      <c r="D403" s="339" t="s">
        <v>331</v>
      </c>
      <c r="E403" s="287" t="str">
        <f>HYPERLINK("#LAYOUT_m1!lay중YACT1A09","YACT1A09")</f>
        <v>YACT1A09</v>
      </c>
      <c r="F403" s="78">
        <v>1</v>
      </c>
      <c r="G403" s="179" t="s">
        <v>309</v>
      </c>
      <c r="H403" s="233">
        <v>56.875365264213364</v>
      </c>
      <c r="I403" s="327"/>
      <c r="J403" s="327"/>
      <c r="K403" s="327"/>
      <c r="L403" s="233">
        <v>70.764319295191115</v>
      </c>
      <c r="M403" s="327"/>
      <c r="N403" s="327"/>
      <c r="O403" s="327"/>
      <c r="P403" s="327"/>
    </row>
    <row r="404" spans="2:16" ht="18" customHeight="1">
      <c r="B404" s="284"/>
      <c r="C404" s="305"/>
      <c r="D404" s="340"/>
      <c r="E404" s="289"/>
      <c r="F404" s="79">
        <v>2</v>
      </c>
      <c r="G404" s="178" t="s">
        <v>321</v>
      </c>
      <c r="H404" s="234">
        <v>32.172817984741002</v>
      </c>
      <c r="I404" s="328"/>
      <c r="J404" s="328"/>
      <c r="K404" s="328"/>
      <c r="L404" s="234">
        <v>21.639532369132564</v>
      </c>
      <c r="M404" s="328"/>
      <c r="N404" s="328"/>
      <c r="O404" s="328"/>
      <c r="P404" s="328"/>
    </row>
    <row r="405" spans="2:16" ht="18" customHeight="1">
      <c r="B405" s="284"/>
      <c r="C405" s="305"/>
      <c r="D405" s="340"/>
      <c r="E405" s="289"/>
      <c r="F405" s="79">
        <v>3</v>
      </c>
      <c r="G405" s="178" t="s">
        <v>322</v>
      </c>
      <c r="H405" s="234">
        <v>6.5799976053062812</v>
      </c>
      <c r="I405" s="328"/>
      <c r="J405" s="328"/>
      <c r="K405" s="328"/>
      <c r="L405" s="234">
        <v>5.6731330448995214</v>
      </c>
      <c r="M405" s="328"/>
      <c r="N405" s="328"/>
      <c r="O405" s="328"/>
      <c r="P405" s="328"/>
    </row>
    <row r="406" spans="2:16" ht="18" customHeight="1">
      <c r="B406" s="284"/>
      <c r="C406" s="304"/>
      <c r="D406" s="341"/>
      <c r="E406" s="288"/>
      <c r="F406" s="82">
        <v>4</v>
      </c>
      <c r="G406" s="180" t="s">
        <v>323</v>
      </c>
      <c r="H406" s="235">
        <v>4.3718191457393507</v>
      </c>
      <c r="I406" s="329"/>
      <c r="J406" s="329"/>
      <c r="K406" s="329"/>
      <c r="L406" s="235">
        <v>1.9230152907767846</v>
      </c>
      <c r="M406" s="329"/>
      <c r="N406" s="329"/>
      <c r="O406" s="329"/>
      <c r="P406" s="329"/>
    </row>
    <row r="407" spans="2:16" ht="18" customHeight="1">
      <c r="B407" s="284"/>
      <c r="C407" s="303" t="s">
        <v>332</v>
      </c>
      <c r="D407" s="339" t="s">
        <v>320</v>
      </c>
      <c r="E407" s="287" t="str">
        <f>HYPERLINK("#LAYOUT_m1!lay중YACT1B01","YACT1B01")</f>
        <v>YACT1B01</v>
      </c>
      <c r="F407" s="78">
        <v>1</v>
      </c>
      <c r="G407" s="179" t="s">
        <v>333</v>
      </c>
      <c r="H407" s="233">
        <v>0.73881838846344472</v>
      </c>
      <c r="I407" s="327">
        <v>3.2323704703837639</v>
      </c>
      <c r="J407" s="327">
        <v>1.2603653559433822E-2</v>
      </c>
      <c r="K407" s="327">
        <v>0.38991983359931648</v>
      </c>
      <c r="L407" s="233">
        <v>3.2272999595722798</v>
      </c>
      <c r="M407" s="327">
        <v>3.087670205309156</v>
      </c>
      <c r="N407" s="327">
        <v>0.69126329121522923</v>
      </c>
      <c r="O407" s="327">
        <v>1.6363261901168283E-2</v>
      </c>
      <c r="P407" s="327">
        <v>0.52995497618340659</v>
      </c>
    </row>
    <row r="408" spans="2:16" ht="18" customHeight="1">
      <c r="B408" s="284"/>
      <c r="C408" s="305"/>
      <c r="D408" s="340"/>
      <c r="E408" s="289"/>
      <c r="F408" s="79">
        <v>2</v>
      </c>
      <c r="G408" s="178" t="s">
        <v>334</v>
      </c>
      <c r="H408" s="234">
        <v>5.8222829559245977</v>
      </c>
      <c r="I408" s="328"/>
      <c r="J408" s="328"/>
      <c r="K408" s="328"/>
      <c r="L408" s="234">
        <v>9.8680632078387998</v>
      </c>
      <c r="M408" s="328">
        <v>3.087670205309156</v>
      </c>
      <c r="N408" s="328">
        <v>0.69126329121522923</v>
      </c>
      <c r="O408" s="328">
        <v>1.6363261901168283E-2</v>
      </c>
      <c r="P408" s="328">
        <v>0.52995497618340659</v>
      </c>
    </row>
    <row r="409" spans="2:16" ht="18" customHeight="1">
      <c r="B409" s="284"/>
      <c r="C409" s="305"/>
      <c r="D409" s="340"/>
      <c r="E409" s="289"/>
      <c r="F409" s="79">
        <v>3</v>
      </c>
      <c r="G409" s="178" t="s">
        <v>335</v>
      </c>
      <c r="H409" s="234">
        <v>62.901931884382655</v>
      </c>
      <c r="I409" s="328"/>
      <c r="J409" s="328"/>
      <c r="K409" s="328"/>
      <c r="L409" s="234">
        <v>61.81495317469097</v>
      </c>
      <c r="M409" s="328">
        <v>3.087670205309156</v>
      </c>
      <c r="N409" s="328">
        <v>0.69126329121522923</v>
      </c>
      <c r="O409" s="328">
        <v>1.6363261901168283E-2</v>
      </c>
      <c r="P409" s="328">
        <v>0.52995497618340659</v>
      </c>
    </row>
    <row r="410" spans="2:16" ht="18" customHeight="1">
      <c r="B410" s="284"/>
      <c r="C410" s="305"/>
      <c r="D410" s="341"/>
      <c r="E410" s="288"/>
      <c r="F410" s="82">
        <v>4</v>
      </c>
      <c r="G410" s="180" t="s">
        <v>134</v>
      </c>
      <c r="H410" s="235">
        <v>30.536966771229299</v>
      </c>
      <c r="I410" s="329"/>
      <c r="J410" s="329"/>
      <c r="K410" s="329"/>
      <c r="L410" s="235">
        <v>25.089683657897943</v>
      </c>
      <c r="M410" s="329">
        <v>3.087670205309156</v>
      </c>
      <c r="N410" s="329">
        <v>0.69126329121522923</v>
      </c>
      <c r="O410" s="329">
        <v>1.6363261901168283E-2</v>
      </c>
      <c r="P410" s="329">
        <v>0.52995497618340659</v>
      </c>
    </row>
    <row r="411" spans="2:16" ht="18" customHeight="1">
      <c r="B411" s="284"/>
      <c r="C411" s="305"/>
      <c r="D411" s="339" t="s">
        <v>324</v>
      </c>
      <c r="E411" s="287" t="str">
        <f>HYPERLINK("#LAYOUT_m1!lay중YACT1B02","YACT1B02")</f>
        <v>YACT1B02</v>
      </c>
      <c r="F411" s="78">
        <v>1</v>
      </c>
      <c r="G411" s="179" t="s">
        <v>333</v>
      </c>
      <c r="H411" s="233">
        <v>2.1901851324950905</v>
      </c>
      <c r="I411" s="327">
        <v>3.0712029923698725</v>
      </c>
      <c r="J411" s="327">
        <v>2.0472441460765795E-2</v>
      </c>
      <c r="K411" s="327">
        <v>0.66659356322677887</v>
      </c>
      <c r="L411" s="233">
        <v>3.2748671741377242</v>
      </c>
      <c r="M411" s="327">
        <v>2.8998569632868558</v>
      </c>
      <c r="N411" s="327">
        <v>0.73831317601688862</v>
      </c>
      <c r="O411" s="327">
        <v>2.3988369707011462E-2</v>
      </c>
      <c r="P411" s="327">
        <v>0.82722596358069145</v>
      </c>
    </row>
    <row r="412" spans="2:16" ht="18" customHeight="1">
      <c r="B412" s="284"/>
      <c r="C412" s="305"/>
      <c r="D412" s="340"/>
      <c r="E412" s="289"/>
      <c r="F412" s="79">
        <v>2</v>
      </c>
      <c r="G412" s="178" t="s">
        <v>334</v>
      </c>
      <c r="H412" s="234">
        <v>13.761204758299158</v>
      </c>
      <c r="I412" s="328"/>
      <c r="J412" s="328"/>
      <c r="K412" s="328"/>
      <c r="L412" s="234">
        <v>21.14728494646263</v>
      </c>
      <c r="M412" s="328">
        <v>2.8998569632868558</v>
      </c>
      <c r="N412" s="328">
        <v>0.73831317601688862</v>
      </c>
      <c r="O412" s="328">
        <v>2.3988369707011462E-2</v>
      </c>
      <c r="P412" s="328">
        <v>0.82722596358069145</v>
      </c>
    </row>
    <row r="413" spans="2:16" ht="18" customHeight="1">
      <c r="B413" s="284"/>
      <c r="C413" s="305"/>
      <c r="D413" s="340"/>
      <c r="E413" s="289"/>
      <c r="F413" s="79">
        <v>3</v>
      </c>
      <c r="G413" s="178" t="s">
        <v>335</v>
      </c>
      <c r="H413" s="234">
        <v>58.78673584892929</v>
      </c>
      <c r="I413" s="328"/>
      <c r="J413" s="328"/>
      <c r="K413" s="328"/>
      <c r="L413" s="234">
        <v>57.895132255976577</v>
      </c>
      <c r="M413" s="328">
        <v>2.8998569632868558</v>
      </c>
      <c r="N413" s="328">
        <v>0.73831317601688862</v>
      </c>
      <c r="O413" s="328">
        <v>2.3988369707011462E-2</v>
      </c>
      <c r="P413" s="328">
        <v>0.82722596358069145</v>
      </c>
    </row>
    <row r="414" spans="2:16" ht="18" customHeight="1">
      <c r="B414" s="284"/>
      <c r="C414" s="305"/>
      <c r="D414" s="341"/>
      <c r="E414" s="288"/>
      <c r="F414" s="82">
        <v>4</v>
      </c>
      <c r="G414" s="180" t="s">
        <v>134</v>
      </c>
      <c r="H414" s="235">
        <v>25.261874260276461</v>
      </c>
      <c r="I414" s="329"/>
      <c r="J414" s="329"/>
      <c r="K414" s="329"/>
      <c r="L414" s="235">
        <v>17.682715623423064</v>
      </c>
      <c r="M414" s="329">
        <v>2.8998569632868558</v>
      </c>
      <c r="N414" s="329">
        <v>0.73831317601688862</v>
      </c>
      <c r="O414" s="329">
        <v>2.3988369707011462E-2</v>
      </c>
      <c r="P414" s="329">
        <v>0.82722596358069145</v>
      </c>
    </row>
    <row r="415" spans="2:16" ht="18" customHeight="1">
      <c r="B415" s="284"/>
      <c r="C415" s="305"/>
      <c r="D415" s="339" t="s">
        <v>325</v>
      </c>
      <c r="E415" s="287" t="str">
        <f>HYPERLINK("#LAYOUT_m1!lay중YACT1B03","YACT1B03")</f>
        <v>YACT1B03</v>
      </c>
      <c r="F415" s="78">
        <v>1</v>
      </c>
      <c r="G415" s="179" t="s">
        <v>333</v>
      </c>
      <c r="H415" s="233">
        <v>2.3095564560521926</v>
      </c>
      <c r="I415" s="327">
        <v>3.2251523307437937</v>
      </c>
      <c r="J415" s="327">
        <v>1.8594850281855087E-2</v>
      </c>
      <c r="K415" s="327">
        <v>0.5765572715620132</v>
      </c>
      <c r="L415" s="233">
        <v>3.0616657247745254</v>
      </c>
      <c r="M415" s="327">
        <v>3.006454586184844</v>
      </c>
      <c r="N415" s="327">
        <v>0.75076865587008612</v>
      </c>
      <c r="O415" s="327">
        <v>2.4157615111055217E-2</v>
      </c>
      <c r="P415" s="327">
        <v>0.80352502984955954</v>
      </c>
    </row>
    <row r="416" spans="2:16" ht="18" customHeight="1">
      <c r="B416" s="284"/>
      <c r="C416" s="305"/>
      <c r="D416" s="340"/>
      <c r="E416" s="289"/>
      <c r="F416" s="79">
        <v>2</v>
      </c>
      <c r="G416" s="178" t="s">
        <v>334</v>
      </c>
      <c r="H416" s="234">
        <v>9.2955868695041826</v>
      </c>
      <c r="I416" s="328"/>
      <c r="J416" s="328"/>
      <c r="K416" s="328"/>
      <c r="L416" s="234">
        <v>17.106077374712651</v>
      </c>
      <c r="M416" s="328">
        <v>3.006454586184844</v>
      </c>
      <c r="N416" s="328">
        <v>0.75076865587008612</v>
      </c>
      <c r="O416" s="328">
        <v>2.4157615111055217E-2</v>
      </c>
      <c r="P416" s="328">
        <v>0.80352502984955954</v>
      </c>
    </row>
    <row r="417" spans="2:16" ht="18" customHeight="1">
      <c r="B417" s="284"/>
      <c r="C417" s="305"/>
      <c r="D417" s="340"/>
      <c r="E417" s="289"/>
      <c r="F417" s="79">
        <v>3</v>
      </c>
      <c r="G417" s="178" t="s">
        <v>335</v>
      </c>
      <c r="H417" s="234">
        <v>51.964923818455667</v>
      </c>
      <c r="I417" s="328"/>
      <c r="J417" s="328"/>
      <c r="K417" s="328"/>
      <c r="L417" s="234">
        <v>55.957389457767476</v>
      </c>
      <c r="M417" s="328">
        <v>3.006454586184844</v>
      </c>
      <c r="N417" s="328">
        <v>0.75076865587008612</v>
      </c>
      <c r="O417" s="328">
        <v>2.4157615111055217E-2</v>
      </c>
      <c r="P417" s="328">
        <v>0.80352502984955954</v>
      </c>
    </row>
    <row r="418" spans="2:16" ht="18" customHeight="1">
      <c r="B418" s="284"/>
      <c r="C418" s="305"/>
      <c r="D418" s="341"/>
      <c r="E418" s="288"/>
      <c r="F418" s="82">
        <v>4</v>
      </c>
      <c r="G418" s="180" t="s">
        <v>134</v>
      </c>
      <c r="H418" s="235">
        <v>36.429932855987957</v>
      </c>
      <c r="I418" s="329"/>
      <c r="J418" s="329"/>
      <c r="K418" s="329"/>
      <c r="L418" s="235">
        <v>23.874867442745369</v>
      </c>
      <c r="M418" s="329">
        <v>3.006454586184844</v>
      </c>
      <c r="N418" s="329">
        <v>0.75076865587008612</v>
      </c>
      <c r="O418" s="329">
        <v>2.4157615111055217E-2</v>
      </c>
      <c r="P418" s="329">
        <v>0.80352502984955954</v>
      </c>
    </row>
    <row r="419" spans="2:16" ht="18" customHeight="1">
      <c r="B419" s="284"/>
      <c r="C419" s="305"/>
      <c r="D419" s="339" t="s">
        <v>326</v>
      </c>
      <c r="E419" s="287" t="str">
        <f>HYPERLINK("#LAYOUT_m1!lay중YACT1B04","YACT1B04")</f>
        <v>YACT1B04</v>
      </c>
      <c r="F419" s="78">
        <v>1</v>
      </c>
      <c r="G419" s="179" t="s">
        <v>333</v>
      </c>
      <c r="H419" s="233">
        <v>1.9555813081268902</v>
      </c>
      <c r="I419" s="327">
        <v>3.1210315966827609</v>
      </c>
      <c r="J419" s="327">
        <v>1.5413265510453127E-2</v>
      </c>
      <c r="K419" s="327">
        <v>0.49385163312141311</v>
      </c>
      <c r="L419" s="233">
        <v>1.9528879266971289</v>
      </c>
      <c r="M419" s="327">
        <v>3.0806316559343143</v>
      </c>
      <c r="N419" s="327">
        <v>0.66306592416691601</v>
      </c>
      <c r="O419" s="327">
        <v>1.7074323635854021E-2</v>
      </c>
      <c r="P419" s="327">
        <v>0.55424749021724962</v>
      </c>
    </row>
    <row r="420" spans="2:16" ht="18" customHeight="1">
      <c r="B420" s="284"/>
      <c r="C420" s="305"/>
      <c r="D420" s="340"/>
      <c r="E420" s="289"/>
      <c r="F420" s="79">
        <v>2</v>
      </c>
      <c r="G420" s="178" t="s">
        <v>334</v>
      </c>
      <c r="H420" s="234">
        <v>10.266567069983886</v>
      </c>
      <c r="I420" s="328"/>
      <c r="J420" s="328"/>
      <c r="K420" s="328"/>
      <c r="L420" s="234">
        <v>12.299766191769534</v>
      </c>
      <c r="M420" s="328">
        <v>3.0806316559343143</v>
      </c>
      <c r="N420" s="328">
        <v>0.66306592416691601</v>
      </c>
      <c r="O420" s="328">
        <v>1.7074323635854021E-2</v>
      </c>
      <c r="P420" s="328">
        <v>0.55424749021724962</v>
      </c>
    </row>
    <row r="421" spans="2:16" ht="18" customHeight="1">
      <c r="B421" s="284"/>
      <c r="C421" s="305"/>
      <c r="D421" s="340"/>
      <c r="E421" s="289"/>
      <c r="F421" s="79">
        <v>3</v>
      </c>
      <c r="G421" s="178" t="s">
        <v>335</v>
      </c>
      <c r="H421" s="234">
        <v>61.496962267375196</v>
      </c>
      <c r="I421" s="328"/>
      <c r="J421" s="328"/>
      <c r="K421" s="328"/>
      <c r="L421" s="234">
        <v>61.478638242937706</v>
      </c>
      <c r="M421" s="328">
        <v>3.0806316559343143</v>
      </c>
      <c r="N421" s="328">
        <v>0.66306592416691601</v>
      </c>
      <c r="O421" s="328">
        <v>1.7074323635854021E-2</v>
      </c>
      <c r="P421" s="328">
        <v>0.55424749021724962</v>
      </c>
    </row>
    <row r="422" spans="2:16" ht="18" customHeight="1">
      <c r="B422" s="284"/>
      <c r="C422" s="305"/>
      <c r="D422" s="341"/>
      <c r="E422" s="288"/>
      <c r="F422" s="82">
        <v>4</v>
      </c>
      <c r="G422" s="180" t="s">
        <v>134</v>
      </c>
      <c r="H422" s="235">
        <v>26.280889354514031</v>
      </c>
      <c r="I422" s="329"/>
      <c r="J422" s="329"/>
      <c r="K422" s="329"/>
      <c r="L422" s="235">
        <v>24.268707638595643</v>
      </c>
      <c r="M422" s="329">
        <v>3.0806316559343143</v>
      </c>
      <c r="N422" s="329">
        <v>0.66306592416691601</v>
      </c>
      <c r="O422" s="329">
        <v>1.7074323635854021E-2</v>
      </c>
      <c r="P422" s="329">
        <v>0.55424749021724962</v>
      </c>
    </row>
    <row r="423" spans="2:16" ht="18" customHeight="1">
      <c r="B423" s="284"/>
      <c r="C423" s="305"/>
      <c r="D423" s="339" t="s">
        <v>327</v>
      </c>
      <c r="E423" s="287" t="str">
        <f>HYPERLINK("#LAYOUT_m1!lay중YACT1B05","YACT1B05")</f>
        <v>YACT1B05</v>
      </c>
      <c r="F423" s="78">
        <v>1</v>
      </c>
      <c r="G423" s="179" t="s">
        <v>333</v>
      </c>
      <c r="H423" s="233">
        <v>1.9562255646476956</v>
      </c>
      <c r="I423" s="327">
        <v>3.1749416794644638</v>
      </c>
      <c r="J423" s="327">
        <v>1.4864845918927295E-2</v>
      </c>
      <c r="K423" s="327">
        <v>0.46819272350963742</v>
      </c>
      <c r="L423" s="233">
        <v>3.0125640664745874</v>
      </c>
      <c r="M423" s="327">
        <v>3.014897825220813</v>
      </c>
      <c r="N423" s="327">
        <v>0.71178053258648</v>
      </c>
      <c r="O423" s="327">
        <v>1.9288126093711902E-2</v>
      </c>
      <c r="P423" s="327">
        <v>0.63976052297225783</v>
      </c>
    </row>
    <row r="424" spans="2:16" ht="18" customHeight="1">
      <c r="B424" s="284"/>
      <c r="C424" s="305"/>
      <c r="D424" s="340"/>
      <c r="E424" s="289"/>
      <c r="F424" s="79">
        <v>2</v>
      </c>
      <c r="G424" s="178" t="s">
        <v>334</v>
      </c>
      <c r="H424" s="234">
        <v>9.0992187705477896</v>
      </c>
      <c r="I424" s="328"/>
      <c r="J424" s="328"/>
      <c r="K424" s="328"/>
      <c r="L424" s="234">
        <v>15.17324653962622</v>
      </c>
      <c r="M424" s="328">
        <v>3.014897825220813</v>
      </c>
      <c r="N424" s="328">
        <v>0.71178053258648</v>
      </c>
      <c r="O424" s="328">
        <v>1.9288126093711902E-2</v>
      </c>
      <c r="P424" s="328">
        <v>0.63976052297225783</v>
      </c>
    </row>
    <row r="425" spans="2:16" ht="18" customHeight="1">
      <c r="B425" s="284"/>
      <c r="C425" s="305"/>
      <c r="D425" s="340"/>
      <c r="E425" s="289"/>
      <c r="F425" s="79">
        <v>3</v>
      </c>
      <c r="G425" s="178" t="s">
        <v>335</v>
      </c>
      <c r="H425" s="234">
        <v>58.43871781851319</v>
      </c>
      <c r="I425" s="328"/>
      <c r="J425" s="328"/>
      <c r="K425" s="328"/>
      <c r="L425" s="234">
        <v>59.126032199243767</v>
      </c>
      <c r="M425" s="328">
        <v>3.014897825220813</v>
      </c>
      <c r="N425" s="328">
        <v>0.71178053258648</v>
      </c>
      <c r="O425" s="328">
        <v>1.9288126093711902E-2</v>
      </c>
      <c r="P425" s="328">
        <v>0.63976052297225783</v>
      </c>
    </row>
    <row r="426" spans="2:16" ht="18" customHeight="1">
      <c r="B426" s="284"/>
      <c r="C426" s="305"/>
      <c r="D426" s="341"/>
      <c r="E426" s="288"/>
      <c r="F426" s="82">
        <v>4</v>
      </c>
      <c r="G426" s="180" t="s">
        <v>134</v>
      </c>
      <c r="H426" s="235">
        <v>30.50583784629136</v>
      </c>
      <c r="I426" s="329"/>
      <c r="J426" s="329"/>
      <c r="K426" s="329"/>
      <c r="L426" s="235">
        <v>22.688157194655421</v>
      </c>
      <c r="M426" s="329">
        <v>3.014897825220813</v>
      </c>
      <c r="N426" s="329">
        <v>0.71178053258648</v>
      </c>
      <c r="O426" s="329">
        <v>1.9288126093711902E-2</v>
      </c>
      <c r="P426" s="329">
        <v>0.63976052297225783</v>
      </c>
    </row>
    <row r="427" spans="2:16" ht="18" customHeight="1">
      <c r="B427" s="284"/>
      <c r="C427" s="305"/>
      <c r="D427" s="339" t="s">
        <v>328</v>
      </c>
      <c r="E427" s="287" t="str">
        <f>HYPERLINK("#LAYOUT_m1!lay중YACT1B06","YACT1B06")</f>
        <v>YACT1B06</v>
      </c>
      <c r="F427" s="78">
        <v>1</v>
      </c>
      <c r="G427" s="179" t="s">
        <v>333</v>
      </c>
      <c r="H427" s="233">
        <v>3.7303119412873396</v>
      </c>
      <c r="I427" s="327">
        <v>3.0881432568682485</v>
      </c>
      <c r="J427" s="327">
        <v>4.4283907430809968E-2</v>
      </c>
      <c r="K427" s="327">
        <v>1.4339978345343729</v>
      </c>
      <c r="L427" s="233">
        <v>8.755754402194885</v>
      </c>
      <c r="M427" s="327">
        <v>2.7773114316171013</v>
      </c>
      <c r="N427" s="327">
        <v>0.89843148078134938</v>
      </c>
      <c r="O427" s="327">
        <v>5.209091573545601E-2</v>
      </c>
      <c r="P427" s="327">
        <v>1.8755878488256483</v>
      </c>
    </row>
    <row r="428" spans="2:16" ht="18" customHeight="1">
      <c r="B428" s="284"/>
      <c r="C428" s="305"/>
      <c r="D428" s="340"/>
      <c r="E428" s="289"/>
      <c r="F428" s="79">
        <v>2</v>
      </c>
      <c r="G428" s="178" t="s">
        <v>334</v>
      </c>
      <c r="H428" s="234">
        <v>14.598542770868612</v>
      </c>
      <c r="I428" s="328"/>
      <c r="J428" s="328"/>
      <c r="K428" s="328"/>
      <c r="L428" s="234">
        <v>26.013530042738555</v>
      </c>
      <c r="M428" s="328">
        <v>2.7773114316171013</v>
      </c>
      <c r="N428" s="328">
        <v>0.89843148078134938</v>
      </c>
      <c r="O428" s="328">
        <v>5.209091573545601E-2</v>
      </c>
      <c r="P428" s="328">
        <v>1.8755878488256483</v>
      </c>
    </row>
    <row r="429" spans="2:16" ht="18" customHeight="1">
      <c r="B429" s="284"/>
      <c r="C429" s="305"/>
      <c r="D429" s="340"/>
      <c r="E429" s="289"/>
      <c r="F429" s="79">
        <v>3</v>
      </c>
      <c r="G429" s="178" t="s">
        <v>335</v>
      </c>
      <c r="H429" s="234">
        <v>50.797652947575216</v>
      </c>
      <c r="I429" s="328"/>
      <c r="J429" s="328"/>
      <c r="K429" s="328"/>
      <c r="L429" s="234">
        <v>43.974533546228272</v>
      </c>
      <c r="M429" s="328">
        <v>2.7773114316171013</v>
      </c>
      <c r="N429" s="328">
        <v>0.89843148078134938</v>
      </c>
      <c r="O429" s="328">
        <v>5.209091573545601E-2</v>
      </c>
      <c r="P429" s="328">
        <v>1.8755878488256483</v>
      </c>
    </row>
    <row r="430" spans="2:16" ht="18" customHeight="1">
      <c r="B430" s="284"/>
      <c r="C430" s="305"/>
      <c r="D430" s="341"/>
      <c r="E430" s="288"/>
      <c r="F430" s="82">
        <v>4</v>
      </c>
      <c r="G430" s="180" t="s">
        <v>134</v>
      </c>
      <c r="H430" s="235">
        <v>30.873492340268825</v>
      </c>
      <c r="I430" s="329"/>
      <c r="J430" s="329"/>
      <c r="K430" s="329"/>
      <c r="L430" s="235">
        <v>21.256182008838277</v>
      </c>
      <c r="M430" s="329">
        <v>2.7773114316171013</v>
      </c>
      <c r="N430" s="329">
        <v>0.89843148078134938</v>
      </c>
      <c r="O430" s="329">
        <v>5.209091573545601E-2</v>
      </c>
      <c r="P430" s="329">
        <v>1.8755878488256483</v>
      </c>
    </row>
    <row r="431" spans="2:16" ht="18" customHeight="1">
      <c r="B431" s="284"/>
      <c r="C431" s="305"/>
      <c r="D431" s="339" t="s">
        <v>329</v>
      </c>
      <c r="E431" s="287" t="str">
        <f>HYPERLINK("#LAYOUT_m1!lay중YACT1B07","YACT1B07")</f>
        <v>YACT1B07</v>
      </c>
      <c r="F431" s="78">
        <v>1</v>
      </c>
      <c r="G431" s="179" t="s">
        <v>333</v>
      </c>
      <c r="H431" s="233">
        <v>2.1348121344009763</v>
      </c>
      <c r="I431" s="327">
        <v>3.0783541054463353</v>
      </c>
      <c r="J431" s="327">
        <v>1.6572773669885403E-2</v>
      </c>
      <c r="K431" s="327">
        <v>0.53836475929017569</v>
      </c>
      <c r="L431" s="233">
        <v>2.8361009839083744</v>
      </c>
      <c r="M431" s="327">
        <v>2.9923795827530957</v>
      </c>
      <c r="N431" s="327">
        <v>0.69317975551558153</v>
      </c>
      <c r="O431" s="327">
        <v>2.1162567869565597E-2</v>
      </c>
      <c r="P431" s="327">
        <v>0.70721535434669935</v>
      </c>
    </row>
    <row r="432" spans="2:16" ht="18" customHeight="1">
      <c r="B432" s="284"/>
      <c r="C432" s="305"/>
      <c r="D432" s="340"/>
      <c r="E432" s="289"/>
      <c r="F432" s="79">
        <v>2</v>
      </c>
      <c r="G432" s="178" t="s">
        <v>334</v>
      </c>
      <c r="H432" s="234">
        <v>10.639020015411111</v>
      </c>
      <c r="I432" s="328"/>
      <c r="J432" s="328"/>
      <c r="K432" s="328"/>
      <c r="L432" s="234">
        <v>15.186436661879537</v>
      </c>
      <c r="M432" s="328">
        <v>2.9923795827530957</v>
      </c>
      <c r="N432" s="328">
        <v>0.69317975551558153</v>
      </c>
      <c r="O432" s="328">
        <v>2.1162567869565597E-2</v>
      </c>
      <c r="P432" s="328">
        <v>0.70721535434669935</v>
      </c>
    </row>
    <row r="433" spans="2:16" ht="18" customHeight="1">
      <c r="B433" s="284"/>
      <c r="C433" s="305"/>
      <c r="D433" s="340"/>
      <c r="E433" s="289"/>
      <c r="F433" s="79">
        <v>3</v>
      </c>
      <c r="G433" s="178" t="s">
        <v>335</v>
      </c>
      <c r="H433" s="234">
        <v>64.482113021341192</v>
      </c>
      <c r="I433" s="328"/>
      <c r="J433" s="328"/>
      <c r="K433" s="328"/>
      <c r="L433" s="234">
        <v>61.880865449207192</v>
      </c>
      <c r="M433" s="328">
        <v>2.9923795827530957</v>
      </c>
      <c r="N433" s="328">
        <v>0.69317975551558153</v>
      </c>
      <c r="O433" s="328">
        <v>2.1162567869565597E-2</v>
      </c>
      <c r="P433" s="328">
        <v>0.70721535434669935</v>
      </c>
    </row>
    <row r="434" spans="2:16" ht="18" customHeight="1">
      <c r="B434" s="284"/>
      <c r="C434" s="305"/>
      <c r="D434" s="341"/>
      <c r="E434" s="288"/>
      <c r="F434" s="82">
        <v>4</v>
      </c>
      <c r="G434" s="180" t="s">
        <v>134</v>
      </c>
      <c r="H434" s="235">
        <v>22.744054828846721</v>
      </c>
      <c r="I434" s="329"/>
      <c r="J434" s="329"/>
      <c r="K434" s="329"/>
      <c r="L434" s="235">
        <v>20.096596905004901</v>
      </c>
      <c r="M434" s="329">
        <v>2.9923795827530957</v>
      </c>
      <c r="N434" s="329">
        <v>0.69317975551558153</v>
      </c>
      <c r="O434" s="329">
        <v>2.1162567869565597E-2</v>
      </c>
      <c r="P434" s="329">
        <v>0.70721535434669935</v>
      </c>
    </row>
    <row r="435" spans="2:16" ht="18" customHeight="1">
      <c r="B435" s="284"/>
      <c r="C435" s="305"/>
      <c r="D435" s="339" t="s">
        <v>330</v>
      </c>
      <c r="E435" s="287" t="str">
        <f>HYPERLINK("#LAYOUT_m1!lay중YACT1B08","YACT1B08")</f>
        <v>YACT1B08</v>
      </c>
      <c r="F435" s="78">
        <v>1</v>
      </c>
      <c r="G435" s="179" t="s">
        <v>333</v>
      </c>
      <c r="H435" s="233">
        <v>2.353659239267119</v>
      </c>
      <c r="I435" s="327">
        <v>3.029777178611079</v>
      </c>
      <c r="J435" s="327">
        <v>1.9982651365949525E-2</v>
      </c>
      <c r="K435" s="327">
        <v>0.65954194608826111</v>
      </c>
      <c r="L435" s="233">
        <v>2.3304234420750469</v>
      </c>
      <c r="M435" s="327">
        <v>2.9171578921098118</v>
      </c>
      <c r="N435" s="327">
        <v>0.71348970763961905</v>
      </c>
      <c r="O435" s="327">
        <v>2.4507217517849358E-2</v>
      </c>
      <c r="P435" s="327">
        <v>0.84010596698023454</v>
      </c>
    </row>
    <row r="436" spans="2:16" ht="18" customHeight="1">
      <c r="B436" s="284"/>
      <c r="C436" s="305"/>
      <c r="D436" s="340"/>
      <c r="E436" s="289"/>
      <c r="F436" s="79">
        <v>2</v>
      </c>
      <c r="G436" s="178" t="s">
        <v>334</v>
      </c>
      <c r="H436" s="234">
        <v>14.215029004331422</v>
      </c>
      <c r="I436" s="328"/>
      <c r="J436" s="328"/>
      <c r="K436" s="328"/>
      <c r="L436" s="234">
        <v>21.03764126058315</v>
      </c>
      <c r="M436" s="328">
        <v>2.9171578921098118</v>
      </c>
      <c r="N436" s="328">
        <v>0.71348970763961905</v>
      </c>
      <c r="O436" s="328">
        <v>2.4507217517849358E-2</v>
      </c>
      <c r="P436" s="328">
        <v>0.84010596698023454</v>
      </c>
    </row>
    <row r="437" spans="2:16" ht="18" customHeight="1">
      <c r="B437" s="284"/>
      <c r="C437" s="305"/>
      <c r="D437" s="340"/>
      <c r="E437" s="289"/>
      <c r="F437" s="79">
        <v>3</v>
      </c>
      <c r="G437" s="178" t="s">
        <v>335</v>
      </c>
      <c r="H437" s="234">
        <v>61.531246412428814</v>
      </c>
      <c r="I437" s="328"/>
      <c r="J437" s="328"/>
      <c r="K437" s="328"/>
      <c r="L437" s="234">
        <v>59.217657941628644</v>
      </c>
      <c r="M437" s="328">
        <v>2.9171578921098118</v>
      </c>
      <c r="N437" s="328">
        <v>0.71348970763961905</v>
      </c>
      <c r="O437" s="328">
        <v>2.4507217517849358E-2</v>
      </c>
      <c r="P437" s="328">
        <v>0.84010596698023454</v>
      </c>
    </row>
    <row r="438" spans="2:16" ht="18" customHeight="1">
      <c r="B438" s="284"/>
      <c r="C438" s="305"/>
      <c r="D438" s="341"/>
      <c r="E438" s="288"/>
      <c r="F438" s="82">
        <v>4</v>
      </c>
      <c r="G438" s="180" t="s">
        <v>134</v>
      </c>
      <c r="H438" s="235">
        <v>21.90006534397266</v>
      </c>
      <c r="I438" s="329"/>
      <c r="J438" s="329"/>
      <c r="K438" s="329"/>
      <c r="L438" s="235">
        <v>17.414277355713171</v>
      </c>
      <c r="M438" s="329">
        <v>2.9171578921098118</v>
      </c>
      <c r="N438" s="329">
        <v>0.71348970763961905</v>
      </c>
      <c r="O438" s="329">
        <v>2.4507217517849358E-2</v>
      </c>
      <c r="P438" s="329">
        <v>0.84010596698023454</v>
      </c>
    </row>
    <row r="439" spans="2:16" ht="18" customHeight="1">
      <c r="B439" s="284"/>
      <c r="C439" s="305"/>
      <c r="D439" s="339" t="s">
        <v>331</v>
      </c>
      <c r="E439" s="287" t="str">
        <f>HYPERLINK("#LAYOUT_m1!lay중YACT1B09","YACT1B09")</f>
        <v>YACT1B09</v>
      </c>
      <c r="F439" s="78">
        <v>1</v>
      </c>
      <c r="G439" s="179" t="s">
        <v>333</v>
      </c>
      <c r="H439" s="233">
        <v>2.5310543526019336</v>
      </c>
      <c r="I439" s="327">
        <v>3.0551380097850553</v>
      </c>
      <c r="J439" s="327">
        <v>2.0345008504508044E-2</v>
      </c>
      <c r="K439" s="327">
        <v>0.66592764187236875</v>
      </c>
      <c r="L439" s="233">
        <v>2.7862792664453928</v>
      </c>
      <c r="M439" s="327">
        <v>2.9444263607830501</v>
      </c>
      <c r="N439" s="327">
        <v>0.71109051812054069</v>
      </c>
      <c r="O439" s="327">
        <v>2.663492216400222E-2</v>
      </c>
      <c r="P439" s="327">
        <v>0.90458781780906372</v>
      </c>
    </row>
    <row r="440" spans="2:16" ht="18" customHeight="1">
      <c r="B440" s="284"/>
      <c r="C440" s="305"/>
      <c r="D440" s="340"/>
      <c r="E440" s="289"/>
      <c r="F440" s="79">
        <v>2</v>
      </c>
      <c r="G440" s="178" t="s">
        <v>334</v>
      </c>
      <c r="H440" s="234">
        <v>12.484727992552836</v>
      </c>
      <c r="I440" s="328"/>
      <c r="J440" s="328"/>
      <c r="K440" s="328"/>
      <c r="L440" s="234">
        <v>18.446217627966924</v>
      </c>
      <c r="M440" s="328">
        <v>2.9444263607830501</v>
      </c>
      <c r="N440" s="328">
        <v>0.71109051812054069</v>
      </c>
      <c r="O440" s="328">
        <v>2.663492216400222E-2</v>
      </c>
      <c r="P440" s="328">
        <v>0.90458781780906372</v>
      </c>
    </row>
    <row r="441" spans="2:16" ht="18" customHeight="1">
      <c r="B441" s="284"/>
      <c r="C441" s="305"/>
      <c r="D441" s="340"/>
      <c r="E441" s="289"/>
      <c r="F441" s="79">
        <v>3</v>
      </c>
      <c r="G441" s="178" t="s">
        <v>335</v>
      </c>
      <c r="H441" s="234">
        <v>61.923579978584179</v>
      </c>
      <c r="I441" s="328"/>
      <c r="J441" s="328"/>
      <c r="K441" s="328"/>
      <c r="L441" s="234">
        <v>60.306090866425293</v>
      </c>
      <c r="M441" s="328">
        <v>2.9444263607830501</v>
      </c>
      <c r="N441" s="328">
        <v>0.71109051812054069</v>
      </c>
      <c r="O441" s="328">
        <v>2.663492216400222E-2</v>
      </c>
      <c r="P441" s="328">
        <v>0.90458781780906372</v>
      </c>
    </row>
    <row r="442" spans="2:16" ht="18" customHeight="1">
      <c r="B442" s="286"/>
      <c r="C442" s="304"/>
      <c r="D442" s="341"/>
      <c r="E442" s="288"/>
      <c r="F442" s="82">
        <v>4</v>
      </c>
      <c r="G442" s="180" t="s">
        <v>134</v>
      </c>
      <c r="H442" s="235">
        <v>23.060637676261038</v>
      </c>
      <c r="I442" s="329"/>
      <c r="J442" s="329"/>
      <c r="K442" s="329"/>
      <c r="L442" s="235">
        <v>18.461412239162375</v>
      </c>
      <c r="M442" s="329">
        <v>2.9444263607830501</v>
      </c>
      <c r="N442" s="329">
        <v>0.71109051812054069</v>
      </c>
      <c r="O442" s="329">
        <v>2.663492216400222E-2</v>
      </c>
      <c r="P442" s="329">
        <v>0.90458781780906372</v>
      </c>
    </row>
    <row r="443" spans="2:16" ht="18" customHeight="1">
      <c r="B443" s="282" t="s">
        <v>336</v>
      </c>
      <c r="C443" s="303" t="s">
        <v>319</v>
      </c>
      <c r="D443" s="339" t="s">
        <v>337</v>
      </c>
      <c r="E443" s="287" t="str">
        <f>HYPERLINK("#LAYOUT_m1!lay중YACT2A01","YACT2A01")</f>
        <v>YACT2A01</v>
      </c>
      <c r="F443" s="78">
        <v>1</v>
      </c>
      <c r="G443" s="179" t="s">
        <v>309</v>
      </c>
      <c r="H443" s="233">
        <v>34.953350929756077</v>
      </c>
      <c r="I443" s="327"/>
      <c r="J443" s="327"/>
      <c r="K443" s="327"/>
      <c r="L443" s="233">
        <v>38.176478499755035</v>
      </c>
      <c r="M443" s="327"/>
      <c r="N443" s="327"/>
      <c r="O443" s="327"/>
      <c r="P443" s="327"/>
    </row>
    <row r="444" spans="2:16" ht="18" customHeight="1">
      <c r="B444" s="284"/>
      <c r="C444" s="305"/>
      <c r="D444" s="340"/>
      <c r="E444" s="289"/>
      <c r="F444" s="79">
        <v>2</v>
      </c>
      <c r="G444" s="178" t="s">
        <v>321</v>
      </c>
      <c r="H444" s="234">
        <v>12.898506604435388</v>
      </c>
      <c r="I444" s="328"/>
      <c r="J444" s="328"/>
      <c r="K444" s="328"/>
      <c r="L444" s="234">
        <v>17.151842021386503</v>
      </c>
      <c r="M444" s="328"/>
      <c r="N444" s="328"/>
      <c r="O444" s="328"/>
      <c r="P444" s="328"/>
    </row>
    <row r="445" spans="2:16" ht="18" customHeight="1">
      <c r="B445" s="284"/>
      <c r="C445" s="305"/>
      <c r="D445" s="340"/>
      <c r="E445" s="289"/>
      <c r="F445" s="79">
        <v>3</v>
      </c>
      <c r="G445" s="178" t="s">
        <v>322</v>
      </c>
      <c r="H445" s="234">
        <v>8.0557756215800786</v>
      </c>
      <c r="I445" s="328"/>
      <c r="J445" s="328"/>
      <c r="K445" s="328"/>
      <c r="L445" s="234">
        <v>9.5544648390000404</v>
      </c>
      <c r="M445" s="328"/>
      <c r="N445" s="328"/>
      <c r="O445" s="328"/>
      <c r="P445" s="328"/>
    </row>
    <row r="446" spans="2:16" ht="18" customHeight="1">
      <c r="B446" s="284"/>
      <c r="C446" s="305"/>
      <c r="D446" s="341"/>
      <c r="E446" s="288"/>
      <c r="F446" s="82">
        <v>4</v>
      </c>
      <c r="G446" s="180" t="s">
        <v>323</v>
      </c>
      <c r="H446" s="235">
        <v>44.092366844228451</v>
      </c>
      <c r="I446" s="329"/>
      <c r="J446" s="329"/>
      <c r="K446" s="329"/>
      <c r="L446" s="235">
        <v>35.117214639858439</v>
      </c>
      <c r="M446" s="329"/>
      <c r="N446" s="329"/>
      <c r="O446" s="329"/>
      <c r="P446" s="329"/>
    </row>
    <row r="447" spans="2:16" ht="18" customHeight="1">
      <c r="B447" s="284"/>
      <c r="C447" s="305"/>
      <c r="D447" s="339" t="s">
        <v>338</v>
      </c>
      <c r="E447" s="287" t="str">
        <f>HYPERLINK("#LAYOUT_m1!lay중YACT2A02","YACT2A02")</f>
        <v>YACT2A02</v>
      </c>
      <c r="F447" s="78">
        <v>1</v>
      </c>
      <c r="G447" s="179" t="s">
        <v>309</v>
      </c>
      <c r="H447" s="233">
        <v>78.796878474516816</v>
      </c>
      <c r="I447" s="327"/>
      <c r="J447" s="327"/>
      <c r="K447" s="327"/>
      <c r="L447" s="233">
        <v>77.650862804809279</v>
      </c>
      <c r="M447" s="327"/>
      <c r="N447" s="327"/>
      <c r="O447" s="327"/>
      <c r="P447" s="327"/>
    </row>
    <row r="448" spans="2:16" ht="18" customHeight="1">
      <c r="B448" s="284"/>
      <c r="C448" s="305"/>
      <c r="D448" s="340"/>
      <c r="E448" s="289"/>
      <c r="F448" s="79">
        <v>2</v>
      </c>
      <c r="G448" s="178" t="s">
        <v>321</v>
      </c>
      <c r="H448" s="234">
        <v>10.752479293312863</v>
      </c>
      <c r="I448" s="328"/>
      <c r="J448" s="328"/>
      <c r="K448" s="328"/>
      <c r="L448" s="234">
        <v>12.793760165527907</v>
      </c>
      <c r="M448" s="328"/>
      <c r="N448" s="328"/>
      <c r="O448" s="328"/>
      <c r="P448" s="328"/>
    </row>
    <row r="449" spans="2:16" ht="18" customHeight="1">
      <c r="B449" s="284"/>
      <c r="C449" s="305"/>
      <c r="D449" s="340"/>
      <c r="E449" s="289"/>
      <c r="F449" s="79">
        <v>3</v>
      </c>
      <c r="G449" s="178" t="s">
        <v>322</v>
      </c>
      <c r="H449" s="234">
        <v>3.6908856374930203</v>
      </c>
      <c r="I449" s="328"/>
      <c r="J449" s="328"/>
      <c r="K449" s="328"/>
      <c r="L449" s="234">
        <v>5.0289355973543364</v>
      </c>
      <c r="M449" s="328"/>
      <c r="N449" s="328"/>
      <c r="O449" s="328"/>
      <c r="P449" s="328"/>
    </row>
    <row r="450" spans="2:16" ht="18" customHeight="1">
      <c r="B450" s="284"/>
      <c r="C450" s="304"/>
      <c r="D450" s="343"/>
      <c r="E450" s="288"/>
      <c r="F450" s="82">
        <v>4</v>
      </c>
      <c r="G450" s="180" t="s">
        <v>323</v>
      </c>
      <c r="H450" s="235">
        <v>6.7597565946773264</v>
      </c>
      <c r="I450" s="329"/>
      <c r="J450" s="329"/>
      <c r="K450" s="329"/>
      <c r="L450" s="235">
        <v>4.5264414323084878</v>
      </c>
      <c r="M450" s="329"/>
      <c r="N450" s="329"/>
      <c r="O450" s="329"/>
      <c r="P450" s="329"/>
    </row>
    <row r="451" spans="2:16" ht="18" customHeight="1">
      <c r="B451" s="284"/>
      <c r="C451" s="303" t="s">
        <v>339</v>
      </c>
      <c r="D451" s="342" t="s">
        <v>337</v>
      </c>
      <c r="E451" s="287" t="str">
        <f>HYPERLINK("#LAYOUT_m1!lay중YACT2B01","YACT2B01")</f>
        <v>YACT2B01</v>
      </c>
      <c r="F451" s="78">
        <v>1</v>
      </c>
      <c r="G451" s="179" t="s">
        <v>333</v>
      </c>
      <c r="H451" s="233">
        <v>1.3735993769373491</v>
      </c>
      <c r="I451" s="327">
        <v>3.3508621149222555</v>
      </c>
      <c r="J451" s="327">
        <v>1.6241476551616237E-2</v>
      </c>
      <c r="K451" s="327">
        <v>0.4846954602903159</v>
      </c>
      <c r="L451" s="233">
        <v>2.6762043501655342</v>
      </c>
      <c r="M451" s="327">
        <v>3.1704161271370661</v>
      </c>
      <c r="N451" s="327">
        <v>0.73772545532972988</v>
      </c>
      <c r="O451" s="327">
        <v>1.9002075920776986E-2</v>
      </c>
      <c r="P451" s="327">
        <v>0.59935589395125044</v>
      </c>
    </row>
    <row r="452" spans="2:16" ht="18" customHeight="1">
      <c r="B452" s="284"/>
      <c r="C452" s="305"/>
      <c r="D452" s="340"/>
      <c r="E452" s="289"/>
      <c r="F452" s="79">
        <v>2</v>
      </c>
      <c r="G452" s="178" t="s">
        <v>334</v>
      </c>
      <c r="H452" s="234">
        <v>6.6229158398460086</v>
      </c>
      <c r="I452" s="328"/>
      <c r="J452" s="328"/>
      <c r="K452" s="328"/>
      <c r="L452" s="234">
        <v>12.182173498607229</v>
      </c>
      <c r="M452" s="328">
        <v>3.1704161271370661</v>
      </c>
      <c r="N452" s="328">
        <v>0.73772545532972988</v>
      </c>
      <c r="O452" s="328">
        <v>1.9002075920776986E-2</v>
      </c>
      <c r="P452" s="328">
        <v>0.59935589395125044</v>
      </c>
    </row>
    <row r="453" spans="2:16" ht="18" customHeight="1">
      <c r="B453" s="284"/>
      <c r="C453" s="305"/>
      <c r="D453" s="340"/>
      <c r="E453" s="289"/>
      <c r="F453" s="79">
        <v>3</v>
      </c>
      <c r="G453" s="178" t="s">
        <v>335</v>
      </c>
      <c r="H453" s="234">
        <v>47.547158697269182</v>
      </c>
      <c r="I453" s="328"/>
      <c r="J453" s="328"/>
      <c r="K453" s="328"/>
      <c r="L453" s="234">
        <v>50.565427238582338</v>
      </c>
      <c r="M453" s="328">
        <v>3.1704161271370661</v>
      </c>
      <c r="N453" s="328">
        <v>0.73772545532972988</v>
      </c>
      <c r="O453" s="328">
        <v>1.9002075920776986E-2</v>
      </c>
      <c r="P453" s="328">
        <v>0.59935589395125044</v>
      </c>
    </row>
    <row r="454" spans="2:16" ht="18" customHeight="1">
      <c r="B454" s="284"/>
      <c r="C454" s="305"/>
      <c r="D454" s="341"/>
      <c r="E454" s="288"/>
      <c r="F454" s="82">
        <v>4</v>
      </c>
      <c r="G454" s="180" t="s">
        <v>134</v>
      </c>
      <c r="H454" s="235">
        <v>44.456326085947452</v>
      </c>
      <c r="I454" s="329"/>
      <c r="J454" s="329"/>
      <c r="K454" s="329"/>
      <c r="L454" s="235">
        <v>34.576194912644887</v>
      </c>
      <c r="M454" s="329">
        <v>3.1704161271370661</v>
      </c>
      <c r="N454" s="329">
        <v>0.73772545532972988</v>
      </c>
      <c r="O454" s="329">
        <v>1.9002075920776986E-2</v>
      </c>
      <c r="P454" s="329">
        <v>0.59935589395125044</v>
      </c>
    </row>
    <row r="455" spans="2:16" ht="18" customHeight="1">
      <c r="B455" s="284"/>
      <c r="C455" s="305"/>
      <c r="D455" s="339" t="s">
        <v>338</v>
      </c>
      <c r="E455" s="287" t="str">
        <f>HYPERLINK("#LAYOUT_m1!lay중YACT2B02","YACT2B02")</f>
        <v>YACT2B02</v>
      </c>
      <c r="F455" s="78">
        <v>1</v>
      </c>
      <c r="G455" s="179" t="s">
        <v>333</v>
      </c>
      <c r="H455" s="233">
        <v>3.4001793950974522</v>
      </c>
      <c r="I455" s="327">
        <v>3.2202435144064632</v>
      </c>
      <c r="J455" s="327">
        <v>3.3098066103431488E-2</v>
      </c>
      <c r="K455" s="327">
        <v>1.0278125227287955</v>
      </c>
      <c r="L455" s="233">
        <v>3.5035308490653199</v>
      </c>
      <c r="M455" s="327">
        <v>2.8941918131059579</v>
      </c>
      <c r="N455" s="327">
        <v>0.80827892990699202</v>
      </c>
      <c r="O455" s="327">
        <v>3.4626932982820095E-2</v>
      </c>
      <c r="P455" s="327">
        <v>1.1964284062312904</v>
      </c>
    </row>
    <row r="456" spans="2:16" ht="18" customHeight="1">
      <c r="B456" s="284"/>
      <c r="C456" s="305"/>
      <c r="D456" s="340"/>
      <c r="E456" s="289"/>
      <c r="F456" s="79">
        <v>2</v>
      </c>
      <c r="G456" s="178" t="s">
        <v>334</v>
      </c>
      <c r="H456" s="234">
        <v>9.476081454797658</v>
      </c>
      <c r="I456" s="328"/>
      <c r="J456" s="328"/>
      <c r="K456" s="328"/>
      <c r="L456" s="234">
        <v>26.034612305792347</v>
      </c>
      <c r="M456" s="328">
        <v>2.8941918131059579</v>
      </c>
      <c r="N456" s="328">
        <v>0.80827892990699202</v>
      </c>
      <c r="O456" s="328">
        <v>3.4626932982820095E-2</v>
      </c>
      <c r="P456" s="328">
        <v>1.1964284062312904</v>
      </c>
    </row>
    <row r="457" spans="2:16" ht="18" customHeight="1">
      <c r="B457" s="284"/>
      <c r="C457" s="305"/>
      <c r="D457" s="340"/>
      <c r="E457" s="289"/>
      <c r="F457" s="79">
        <v>3</v>
      </c>
      <c r="G457" s="178" t="s">
        <v>335</v>
      </c>
      <c r="H457" s="234">
        <v>48.822947464465855</v>
      </c>
      <c r="I457" s="328"/>
      <c r="J457" s="328"/>
      <c r="K457" s="328"/>
      <c r="L457" s="234">
        <v>48.001001530623711</v>
      </c>
      <c r="M457" s="328">
        <v>2.8941918131059579</v>
      </c>
      <c r="N457" s="328">
        <v>0.80827892990699202</v>
      </c>
      <c r="O457" s="328">
        <v>3.4626932982820095E-2</v>
      </c>
      <c r="P457" s="328">
        <v>1.1964284062312904</v>
      </c>
    </row>
    <row r="458" spans="2:16" ht="18" customHeight="1">
      <c r="B458" s="286"/>
      <c r="C458" s="304"/>
      <c r="D458" s="343"/>
      <c r="E458" s="288"/>
      <c r="F458" s="82">
        <v>4</v>
      </c>
      <c r="G458" s="180" t="s">
        <v>134</v>
      </c>
      <c r="H458" s="235">
        <v>38.300791685639027</v>
      </c>
      <c r="I458" s="329"/>
      <c r="J458" s="329"/>
      <c r="K458" s="329"/>
      <c r="L458" s="235">
        <v>22.460855314518639</v>
      </c>
      <c r="M458" s="329">
        <v>2.8941918131059579</v>
      </c>
      <c r="N458" s="329">
        <v>0.80827892990699202</v>
      </c>
      <c r="O458" s="329">
        <v>3.4626932982820095E-2</v>
      </c>
      <c r="P458" s="329">
        <v>1.1964284062312904</v>
      </c>
    </row>
    <row r="459" spans="2:16" ht="18" customHeight="1">
      <c r="B459" s="281" t="s">
        <v>340</v>
      </c>
      <c r="C459" s="281"/>
      <c r="D459" s="282"/>
      <c r="E459" s="287" t="str">
        <f>HYPERLINK("#LAYOUT_m1!lay중YACT3A00","YACT3A00")</f>
        <v>YACT3A00</v>
      </c>
      <c r="F459" s="78">
        <v>1</v>
      </c>
      <c r="G459" s="179" t="s">
        <v>341</v>
      </c>
      <c r="H459" s="233">
        <v>60.636593830255372</v>
      </c>
      <c r="I459" s="327"/>
      <c r="J459" s="327"/>
      <c r="K459" s="327"/>
      <c r="L459" s="233">
        <v>50.166442206575809</v>
      </c>
      <c r="M459" s="327"/>
      <c r="N459" s="327"/>
      <c r="O459" s="327"/>
      <c r="P459" s="327"/>
    </row>
    <row r="460" spans="2:16" ht="18" customHeight="1">
      <c r="B460" s="285"/>
      <c r="C460" s="285"/>
      <c r="D460" s="286"/>
      <c r="E460" s="288"/>
      <c r="F460" s="82">
        <v>2</v>
      </c>
      <c r="G460" s="180" t="s">
        <v>309</v>
      </c>
      <c r="H460" s="235">
        <v>39.363406169744628</v>
      </c>
      <c r="I460" s="329"/>
      <c r="J460" s="329"/>
      <c r="K460" s="329"/>
      <c r="L460" s="235">
        <v>49.833557793424198</v>
      </c>
      <c r="M460" s="329"/>
      <c r="N460" s="329"/>
      <c r="O460" s="329"/>
      <c r="P460" s="329"/>
    </row>
    <row r="461" spans="2:16" ht="18" customHeight="1">
      <c r="B461" s="282" t="s">
        <v>342</v>
      </c>
      <c r="C461" s="309" t="s">
        <v>343</v>
      </c>
      <c r="D461" s="310"/>
      <c r="E461" s="287" t="str">
        <f>HYPERLINK("#LAYOUT_m1!lay중YACT3B01","YACT3B01")</f>
        <v>YACT3B01</v>
      </c>
      <c r="F461" s="78">
        <v>1</v>
      </c>
      <c r="G461" s="181" t="s">
        <v>344</v>
      </c>
      <c r="H461" s="233">
        <v>94.042908945997112</v>
      </c>
      <c r="I461" s="327"/>
      <c r="J461" s="327"/>
      <c r="K461" s="327"/>
      <c r="L461" s="233">
        <v>90.985210610536498</v>
      </c>
      <c r="M461" s="327"/>
      <c r="N461" s="327"/>
      <c r="O461" s="327"/>
      <c r="P461" s="327"/>
    </row>
    <row r="462" spans="2:16" ht="18" customHeight="1">
      <c r="B462" s="284"/>
      <c r="C462" s="311"/>
      <c r="D462" s="312"/>
      <c r="E462" s="289"/>
      <c r="F462" s="79">
        <v>2</v>
      </c>
      <c r="G462" s="167" t="s">
        <v>345</v>
      </c>
      <c r="H462" s="234">
        <v>5.0649220105835049</v>
      </c>
      <c r="I462" s="328"/>
      <c r="J462" s="328"/>
      <c r="K462" s="328"/>
      <c r="L462" s="234">
        <v>6.9488164980658764</v>
      </c>
      <c r="M462" s="328"/>
      <c r="N462" s="328"/>
      <c r="O462" s="328"/>
      <c r="P462" s="328"/>
    </row>
    <row r="463" spans="2:16" ht="18" customHeight="1">
      <c r="B463" s="284"/>
      <c r="C463" s="311"/>
      <c r="D463" s="312"/>
      <c r="E463" s="289"/>
      <c r="F463" s="79">
        <v>3</v>
      </c>
      <c r="G463" s="167" t="s">
        <v>346</v>
      </c>
      <c r="H463" s="234">
        <v>0.21583668896289446</v>
      </c>
      <c r="I463" s="328"/>
      <c r="J463" s="328"/>
      <c r="K463" s="328"/>
      <c r="L463" s="234">
        <v>0.98548209865672676</v>
      </c>
      <c r="M463" s="328"/>
      <c r="N463" s="328"/>
      <c r="O463" s="328"/>
      <c r="P463" s="328"/>
    </row>
    <row r="464" spans="2:16" ht="18" customHeight="1">
      <c r="B464" s="284"/>
      <c r="C464" s="311"/>
      <c r="D464" s="312"/>
      <c r="E464" s="289"/>
      <c r="F464" s="79">
        <v>4</v>
      </c>
      <c r="G464" s="167" t="s">
        <v>347</v>
      </c>
      <c r="H464" s="234">
        <v>0.29396839637672267</v>
      </c>
      <c r="I464" s="328"/>
      <c r="J464" s="328"/>
      <c r="K464" s="328"/>
      <c r="L464" s="234">
        <v>0.85736339627149505</v>
      </c>
      <c r="M464" s="328"/>
      <c r="N464" s="328"/>
      <c r="O464" s="328"/>
      <c r="P464" s="328"/>
    </row>
    <row r="465" spans="2:16" ht="18" customHeight="1">
      <c r="B465" s="284"/>
      <c r="C465" s="311"/>
      <c r="D465" s="312"/>
      <c r="E465" s="289"/>
      <c r="F465" s="79">
        <v>5</v>
      </c>
      <c r="G465" s="167" t="s">
        <v>348</v>
      </c>
      <c r="H465" s="234">
        <v>0.30676641786328129</v>
      </c>
      <c r="I465" s="328"/>
      <c r="J465" s="328"/>
      <c r="K465" s="328"/>
      <c r="L465" s="234">
        <v>0</v>
      </c>
      <c r="M465" s="328"/>
      <c r="N465" s="328"/>
      <c r="O465" s="328"/>
      <c r="P465" s="328"/>
    </row>
    <row r="466" spans="2:16" ht="18" customHeight="1">
      <c r="B466" s="284"/>
      <c r="C466" s="313"/>
      <c r="D466" s="314"/>
      <c r="E466" s="288"/>
      <c r="F466" s="82">
        <v>6</v>
      </c>
      <c r="G466" s="182" t="s">
        <v>349</v>
      </c>
      <c r="H466" s="235">
        <v>7.5597540216493883E-2</v>
      </c>
      <c r="I466" s="329"/>
      <c r="J466" s="329"/>
      <c r="K466" s="329"/>
      <c r="L466" s="235">
        <v>0.22312739646939006</v>
      </c>
      <c r="M466" s="329"/>
      <c r="N466" s="329"/>
      <c r="O466" s="329"/>
      <c r="P466" s="329"/>
    </row>
    <row r="467" spans="2:16" ht="18" customHeight="1">
      <c r="B467" s="284"/>
      <c r="C467" s="309" t="s">
        <v>350</v>
      </c>
      <c r="D467" s="310"/>
      <c r="E467" s="287" t="str">
        <f>HYPERLINK("#LAYOUT_m1!lay중YACT3B02","YACT3B02")</f>
        <v>YACT3B02</v>
      </c>
      <c r="F467" s="78">
        <v>1</v>
      </c>
      <c r="G467" s="181" t="s">
        <v>344</v>
      </c>
      <c r="H467" s="233">
        <v>70.415160757561779</v>
      </c>
      <c r="I467" s="327"/>
      <c r="J467" s="327"/>
      <c r="K467" s="327"/>
      <c r="L467" s="233">
        <v>70.289891531961914</v>
      </c>
      <c r="M467" s="327"/>
      <c r="N467" s="327"/>
      <c r="O467" s="327"/>
      <c r="P467" s="327"/>
    </row>
    <row r="468" spans="2:16" ht="18" customHeight="1">
      <c r="B468" s="284"/>
      <c r="C468" s="311"/>
      <c r="D468" s="312"/>
      <c r="E468" s="289"/>
      <c r="F468" s="79">
        <v>2</v>
      </c>
      <c r="G468" s="167" t="s">
        <v>345</v>
      </c>
      <c r="H468" s="234">
        <v>7.6082304665512579</v>
      </c>
      <c r="I468" s="328"/>
      <c r="J468" s="328"/>
      <c r="K468" s="328"/>
      <c r="L468" s="234">
        <v>9.9788108678969376</v>
      </c>
      <c r="M468" s="328"/>
      <c r="N468" s="328"/>
      <c r="O468" s="328"/>
      <c r="P468" s="328"/>
    </row>
    <row r="469" spans="2:16" ht="18" customHeight="1">
      <c r="B469" s="284"/>
      <c r="C469" s="311"/>
      <c r="D469" s="312"/>
      <c r="E469" s="289"/>
      <c r="F469" s="79">
        <v>3</v>
      </c>
      <c r="G469" s="167" t="s">
        <v>346</v>
      </c>
      <c r="H469" s="234">
        <v>4.2787702021851652</v>
      </c>
      <c r="I469" s="328"/>
      <c r="J469" s="328"/>
      <c r="K469" s="328"/>
      <c r="L469" s="234">
        <v>2.8069452158315156</v>
      </c>
      <c r="M469" s="328"/>
      <c r="N469" s="328"/>
      <c r="O469" s="328"/>
      <c r="P469" s="328"/>
    </row>
    <row r="470" spans="2:16" ht="18" customHeight="1">
      <c r="B470" s="284"/>
      <c r="C470" s="311"/>
      <c r="D470" s="312"/>
      <c r="E470" s="289"/>
      <c r="F470" s="79">
        <v>4</v>
      </c>
      <c r="G470" s="167" t="s">
        <v>347</v>
      </c>
      <c r="H470" s="234">
        <v>3.2312775718101125</v>
      </c>
      <c r="I470" s="328"/>
      <c r="J470" s="328"/>
      <c r="K470" s="328"/>
      <c r="L470" s="234">
        <v>5.2987043016243662</v>
      </c>
      <c r="M470" s="328"/>
      <c r="N470" s="328"/>
      <c r="O470" s="328"/>
      <c r="P470" s="328"/>
    </row>
    <row r="471" spans="2:16" ht="18" customHeight="1">
      <c r="B471" s="284"/>
      <c r="C471" s="311"/>
      <c r="D471" s="312"/>
      <c r="E471" s="289"/>
      <c r="F471" s="79">
        <v>5</v>
      </c>
      <c r="G471" s="167" t="s">
        <v>348</v>
      </c>
      <c r="H471" s="234">
        <v>4.5749227175475315</v>
      </c>
      <c r="I471" s="328"/>
      <c r="J471" s="328"/>
      <c r="K471" s="328"/>
      <c r="L471" s="234">
        <v>3.4910083281851141</v>
      </c>
      <c r="M471" s="328"/>
      <c r="N471" s="328"/>
      <c r="O471" s="328"/>
      <c r="P471" s="328"/>
    </row>
    <row r="472" spans="2:16" ht="18" customHeight="1">
      <c r="B472" s="284"/>
      <c r="C472" s="313"/>
      <c r="D472" s="314"/>
      <c r="E472" s="288"/>
      <c r="F472" s="82">
        <v>6</v>
      </c>
      <c r="G472" s="182" t="s">
        <v>349</v>
      </c>
      <c r="H472" s="235">
        <v>9.8916382843441788</v>
      </c>
      <c r="I472" s="329"/>
      <c r="J472" s="329"/>
      <c r="K472" s="329"/>
      <c r="L472" s="235">
        <v>8.1346397545001654</v>
      </c>
      <c r="M472" s="329"/>
      <c r="N472" s="329"/>
      <c r="O472" s="329"/>
      <c r="P472" s="329"/>
    </row>
    <row r="473" spans="2:16" ht="18" customHeight="1">
      <c r="B473" s="284"/>
      <c r="C473" s="309" t="s">
        <v>351</v>
      </c>
      <c r="D473" s="310"/>
      <c r="E473" s="287" t="str">
        <f>HYPERLINK("#LAYOUT_m1!lay중YACT3B03","YACT3B03")</f>
        <v>YACT3B03</v>
      </c>
      <c r="F473" s="78">
        <v>1</v>
      </c>
      <c r="G473" s="181" t="s">
        <v>344</v>
      </c>
      <c r="H473" s="233">
        <v>71.638519420592885</v>
      </c>
      <c r="I473" s="327"/>
      <c r="J473" s="327"/>
      <c r="K473" s="327"/>
      <c r="L473" s="233">
        <v>75.212321471055759</v>
      </c>
      <c r="M473" s="327"/>
      <c r="N473" s="327"/>
      <c r="O473" s="327"/>
      <c r="P473" s="327"/>
    </row>
    <row r="474" spans="2:16" ht="18" customHeight="1">
      <c r="B474" s="284"/>
      <c r="C474" s="311"/>
      <c r="D474" s="312"/>
      <c r="E474" s="289"/>
      <c r="F474" s="79">
        <v>2</v>
      </c>
      <c r="G474" s="167" t="s">
        <v>345</v>
      </c>
      <c r="H474" s="234">
        <v>19.884825070488095</v>
      </c>
      <c r="I474" s="328"/>
      <c r="J474" s="328"/>
      <c r="K474" s="328"/>
      <c r="L474" s="234">
        <v>19.052241179171812</v>
      </c>
      <c r="M474" s="328"/>
      <c r="N474" s="328"/>
      <c r="O474" s="328"/>
      <c r="P474" s="328"/>
    </row>
    <row r="475" spans="2:16" ht="18" customHeight="1">
      <c r="B475" s="284"/>
      <c r="C475" s="311"/>
      <c r="D475" s="312"/>
      <c r="E475" s="289"/>
      <c r="F475" s="79">
        <v>3</v>
      </c>
      <c r="G475" s="167" t="s">
        <v>346</v>
      </c>
      <c r="H475" s="234">
        <v>3.8356530905424591</v>
      </c>
      <c r="I475" s="328"/>
      <c r="J475" s="328"/>
      <c r="K475" s="328"/>
      <c r="L475" s="234">
        <v>2.7635933830602593</v>
      </c>
      <c r="M475" s="328"/>
      <c r="N475" s="328"/>
      <c r="O475" s="328"/>
      <c r="P475" s="328"/>
    </row>
    <row r="476" spans="2:16" ht="18" customHeight="1">
      <c r="B476" s="284"/>
      <c r="C476" s="311"/>
      <c r="D476" s="312"/>
      <c r="E476" s="289"/>
      <c r="F476" s="79">
        <v>4</v>
      </c>
      <c r="G476" s="167" t="s">
        <v>347</v>
      </c>
      <c r="H476" s="234">
        <v>2.8916492279706394</v>
      </c>
      <c r="I476" s="328"/>
      <c r="J476" s="328"/>
      <c r="K476" s="328"/>
      <c r="L476" s="234">
        <v>2.3195694192418959</v>
      </c>
      <c r="M476" s="328"/>
      <c r="N476" s="328"/>
      <c r="O476" s="328"/>
      <c r="P476" s="328"/>
    </row>
    <row r="477" spans="2:16" ht="18" customHeight="1">
      <c r="B477" s="284"/>
      <c r="C477" s="311"/>
      <c r="D477" s="312"/>
      <c r="E477" s="289"/>
      <c r="F477" s="79">
        <v>5</v>
      </c>
      <c r="G477" s="167" t="s">
        <v>348</v>
      </c>
      <c r="H477" s="234">
        <v>1.0110930433362557</v>
      </c>
      <c r="I477" s="328"/>
      <c r="J477" s="328"/>
      <c r="K477" s="328"/>
      <c r="L477" s="234">
        <v>0.33891065700755146</v>
      </c>
      <c r="M477" s="328"/>
      <c r="N477" s="328"/>
      <c r="O477" s="328"/>
      <c r="P477" s="328"/>
    </row>
    <row r="478" spans="2:16" ht="18" customHeight="1">
      <c r="B478" s="284"/>
      <c r="C478" s="313"/>
      <c r="D478" s="314"/>
      <c r="E478" s="288"/>
      <c r="F478" s="82">
        <v>6</v>
      </c>
      <c r="G478" s="182" t="s">
        <v>349</v>
      </c>
      <c r="H478" s="235">
        <v>0.73826014706966392</v>
      </c>
      <c r="I478" s="329"/>
      <c r="J478" s="329"/>
      <c r="K478" s="329"/>
      <c r="L478" s="235">
        <v>0.31336389046271046</v>
      </c>
      <c r="M478" s="329"/>
      <c r="N478" s="329"/>
      <c r="O478" s="329"/>
      <c r="P478" s="329"/>
    </row>
    <row r="479" spans="2:16" ht="18" customHeight="1">
      <c r="B479" s="284"/>
      <c r="C479" s="309" t="s">
        <v>352</v>
      </c>
      <c r="D479" s="310"/>
      <c r="E479" s="287" t="str">
        <f>HYPERLINK("#LAYOUT_m1!lay중YACT3B04","YACT3B04")</f>
        <v>YACT3B04</v>
      </c>
      <c r="F479" s="78">
        <v>1</v>
      </c>
      <c r="G479" s="181" t="s">
        <v>344</v>
      </c>
      <c r="H479" s="233">
        <v>90.428893041259926</v>
      </c>
      <c r="I479" s="327"/>
      <c r="J479" s="327"/>
      <c r="K479" s="327"/>
      <c r="L479" s="233">
        <v>87.143789437330071</v>
      </c>
      <c r="M479" s="327"/>
      <c r="N479" s="327"/>
      <c r="O479" s="327"/>
      <c r="P479" s="327"/>
    </row>
    <row r="480" spans="2:16" ht="18" customHeight="1">
      <c r="B480" s="284"/>
      <c r="C480" s="311"/>
      <c r="D480" s="312"/>
      <c r="E480" s="289"/>
      <c r="F480" s="79">
        <v>2</v>
      </c>
      <c r="G480" s="167" t="s">
        <v>345</v>
      </c>
      <c r="H480" s="234">
        <v>4.4279526934998659</v>
      </c>
      <c r="I480" s="328"/>
      <c r="J480" s="328"/>
      <c r="K480" s="328"/>
      <c r="L480" s="234">
        <v>6.4910977422003517</v>
      </c>
      <c r="M480" s="328"/>
      <c r="N480" s="328"/>
      <c r="O480" s="328"/>
      <c r="P480" s="328"/>
    </row>
    <row r="481" spans="2:16" ht="18" customHeight="1">
      <c r="B481" s="284"/>
      <c r="C481" s="311"/>
      <c r="D481" s="312"/>
      <c r="E481" s="289"/>
      <c r="F481" s="79">
        <v>3</v>
      </c>
      <c r="G481" s="167" t="s">
        <v>346</v>
      </c>
      <c r="H481" s="234">
        <v>2.2536986524565035</v>
      </c>
      <c r="I481" s="328"/>
      <c r="J481" s="328"/>
      <c r="K481" s="328"/>
      <c r="L481" s="234">
        <v>2.160822586472845</v>
      </c>
      <c r="M481" s="328"/>
      <c r="N481" s="328"/>
      <c r="O481" s="328"/>
      <c r="P481" s="328"/>
    </row>
    <row r="482" spans="2:16" ht="18" customHeight="1">
      <c r="B482" s="284"/>
      <c r="C482" s="311"/>
      <c r="D482" s="312"/>
      <c r="E482" s="289"/>
      <c r="F482" s="79">
        <v>4</v>
      </c>
      <c r="G482" s="167" t="s">
        <v>347</v>
      </c>
      <c r="H482" s="234">
        <v>0.90881257950137928</v>
      </c>
      <c r="I482" s="328"/>
      <c r="J482" s="328"/>
      <c r="K482" s="328"/>
      <c r="L482" s="234">
        <v>2.0580013314535313</v>
      </c>
      <c r="M482" s="328"/>
      <c r="N482" s="328"/>
      <c r="O482" s="328"/>
      <c r="P482" s="328"/>
    </row>
    <row r="483" spans="2:16" ht="18" customHeight="1">
      <c r="B483" s="284"/>
      <c r="C483" s="311"/>
      <c r="D483" s="312"/>
      <c r="E483" s="289"/>
      <c r="F483" s="79">
        <v>5</v>
      </c>
      <c r="G483" s="167" t="s">
        <v>348</v>
      </c>
      <c r="H483" s="234">
        <v>0.95840608156367979</v>
      </c>
      <c r="I483" s="328"/>
      <c r="J483" s="328"/>
      <c r="K483" s="328"/>
      <c r="L483" s="234">
        <v>0.49061369143012851</v>
      </c>
      <c r="M483" s="328"/>
      <c r="N483" s="328"/>
      <c r="O483" s="328"/>
      <c r="P483" s="328"/>
    </row>
    <row r="484" spans="2:16" ht="18" customHeight="1">
      <c r="B484" s="284"/>
      <c r="C484" s="313"/>
      <c r="D484" s="314"/>
      <c r="E484" s="288"/>
      <c r="F484" s="82">
        <v>6</v>
      </c>
      <c r="G484" s="182" t="s">
        <v>349</v>
      </c>
      <c r="H484" s="235">
        <v>1.0222369517186367</v>
      </c>
      <c r="I484" s="329"/>
      <c r="J484" s="329"/>
      <c r="K484" s="329"/>
      <c r="L484" s="235">
        <v>1.655675211113055</v>
      </c>
      <c r="M484" s="329"/>
      <c r="N484" s="329"/>
      <c r="O484" s="329"/>
      <c r="P484" s="329"/>
    </row>
    <row r="485" spans="2:16" ht="18" customHeight="1">
      <c r="B485" s="284"/>
      <c r="C485" s="309" t="s">
        <v>353</v>
      </c>
      <c r="D485" s="310"/>
      <c r="E485" s="287" t="str">
        <f>HYPERLINK("#LAYOUT_m1!lay중YACT3B05","YACT3B05")</f>
        <v>YACT3B05</v>
      </c>
      <c r="F485" s="78">
        <v>1</v>
      </c>
      <c r="G485" s="181" t="s">
        <v>344</v>
      </c>
      <c r="H485" s="233">
        <v>95.950540564111392</v>
      </c>
      <c r="I485" s="327"/>
      <c r="J485" s="327"/>
      <c r="K485" s="327"/>
      <c r="L485" s="233">
        <v>94.63655428585362</v>
      </c>
      <c r="M485" s="327"/>
      <c r="N485" s="327"/>
      <c r="O485" s="327"/>
      <c r="P485" s="327"/>
    </row>
    <row r="486" spans="2:16" ht="18" customHeight="1">
      <c r="B486" s="284"/>
      <c r="C486" s="311"/>
      <c r="D486" s="312"/>
      <c r="E486" s="289"/>
      <c r="F486" s="79">
        <v>2</v>
      </c>
      <c r="G486" s="167" t="s">
        <v>345</v>
      </c>
      <c r="H486" s="234">
        <v>2.3968626748721595</v>
      </c>
      <c r="I486" s="328"/>
      <c r="J486" s="328"/>
      <c r="K486" s="328"/>
      <c r="L486" s="234">
        <v>1.8542639214754821</v>
      </c>
      <c r="M486" s="328"/>
      <c r="N486" s="328"/>
      <c r="O486" s="328"/>
      <c r="P486" s="328"/>
    </row>
    <row r="487" spans="2:16" ht="18" customHeight="1">
      <c r="B487" s="284"/>
      <c r="C487" s="311"/>
      <c r="D487" s="312"/>
      <c r="E487" s="289"/>
      <c r="F487" s="79">
        <v>3</v>
      </c>
      <c r="G487" s="167" t="s">
        <v>346</v>
      </c>
      <c r="H487" s="234">
        <v>0.40613368311905806</v>
      </c>
      <c r="I487" s="328"/>
      <c r="J487" s="328"/>
      <c r="K487" s="328"/>
      <c r="L487" s="234">
        <v>1.8940936126666899</v>
      </c>
      <c r="M487" s="328"/>
      <c r="N487" s="328"/>
      <c r="O487" s="328"/>
      <c r="P487" s="328"/>
    </row>
    <row r="488" spans="2:16" ht="18" customHeight="1">
      <c r="B488" s="284"/>
      <c r="C488" s="311"/>
      <c r="D488" s="312"/>
      <c r="E488" s="289"/>
      <c r="F488" s="79">
        <v>4</v>
      </c>
      <c r="G488" s="167" t="s">
        <v>347</v>
      </c>
      <c r="H488" s="234">
        <v>0.30439335777296256</v>
      </c>
      <c r="I488" s="328"/>
      <c r="J488" s="328"/>
      <c r="K488" s="328"/>
      <c r="L488" s="234">
        <v>0.84091179221462498</v>
      </c>
      <c r="M488" s="328"/>
      <c r="N488" s="328"/>
      <c r="O488" s="328"/>
      <c r="P488" s="328"/>
    </row>
    <row r="489" spans="2:16" ht="18" customHeight="1">
      <c r="B489" s="284"/>
      <c r="C489" s="311"/>
      <c r="D489" s="312"/>
      <c r="E489" s="289"/>
      <c r="F489" s="79">
        <v>5</v>
      </c>
      <c r="G489" s="167" t="s">
        <v>348</v>
      </c>
      <c r="H489" s="234">
        <v>0.62119589137935505</v>
      </c>
      <c r="I489" s="328"/>
      <c r="J489" s="328"/>
      <c r="K489" s="328"/>
      <c r="L489" s="234">
        <v>0.39988575864483855</v>
      </c>
      <c r="M489" s="328"/>
      <c r="N489" s="328"/>
      <c r="O489" s="328"/>
      <c r="P489" s="328"/>
    </row>
    <row r="490" spans="2:16" ht="18" customHeight="1">
      <c r="B490" s="284"/>
      <c r="C490" s="313"/>
      <c r="D490" s="314"/>
      <c r="E490" s="288"/>
      <c r="F490" s="82">
        <v>6</v>
      </c>
      <c r="G490" s="182" t="s">
        <v>349</v>
      </c>
      <c r="H490" s="235">
        <v>0.32087382874507381</v>
      </c>
      <c r="I490" s="329"/>
      <c r="J490" s="329"/>
      <c r="K490" s="329"/>
      <c r="L490" s="235">
        <v>0.37429062914472194</v>
      </c>
      <c r="M490" s="329"/>
      <c r="N490" s="329"/>
      <c r="O490" s="329"/>
      <c r="P490" s="329"/>
    </row>
    <row r="491" spans="2:16" ht="18" customHeight="1">
      <c r="B491" s="284"/>
      <c r="C491" s="309" t="s">
        <v>354</v>
      </c>
      <c r="D491" s="310"/>
      <c r="E491" s="287" t="str">
        <f>HYPERLINK("#LAYOUT_m1!lay중YACT3B06","YACT3B06")</f>
        <v>YACT3B06</v>
      </c>
      <c r="F491" s="78">
        <v>1</v>
      </c>
      <c r="G491" s="181" t="s">
        <v>344</v>
      </c>
      <c r="H491" s="233">
        <v>45.698890742851937</v>
      </c>
      <c r="I491" s="327"/>
      <c r="J491" s="327"/>
      <c r="K491" s="327"/>
      <c r="L491" s="233">
        <v>46.189242469769972</v>
      </c>
      <c r="M491" s="327"/>
      <c r="N491" s="327"/>
      <c r="O491" s="327"/>
      <c r="P491" s="327"/>
    </row>
    <row r="492" spans="2:16" ht="18" customHeight="1">
      <c r="B492" s="284"/>
      <c r="C492" s="311"/>
      <c r="D492" s="312"/>
      <c r="E492" s="289"/>
      <c r="F492" s="79">
        <v>2</v>
      </c>
      <c r="G492" s="167" t="s">
        <v>345</v>
      </c>
      <c r="H492" s="234">
        <v>11.392598140994144</v>
      </c>
      <c r="I492" s="328"/>
      <c r="J492" s="328"/>
      <c r="K492" s="328"/>
      <c r="L492" s="234">
        <v>12.702635455508164</v>
      </c>
      <c r="M492" s="328"/>
      <c r="N492" s="328"/>
      <c r="O492" s="328"/>
      <c r="P492" s="328"/>
    </row>
    <row r="493" spans="2:16" ht="18" customHeight="1">
      <c r="B493" s="284"/>
      <c r="C493" s="311"/>
      <c r="D493" s="312"/>
      <c r="E493" s="289"/>
      <c r="F493" s="79">
        <v>3</v>
      </c>
      <c r="G493" s="167" t="s">
        <v>346</v>
      </c>
      <c r="H493" s="234">
        <v>7.7768622696857372</v>
      </c>
      <c r="I493" s="328"/>
      <c r="J493" s="328"/>
      <c r="K493" s="328"/>
      <c r="L493" s="234">
        <v>8.8422112449309243</v>
      </c>
      <c r="M493" s="328"/>
      <c r="N493" s="328"/>
      <c r="O493" s="328"/>
      <c r="P493" s="328"/>
    </row>
    <row r="494" spans="2:16" ht="18" customHeight="1">
      <c r="B494" s="284"/>
      <c r="C494" s="311"/>
      <c r="D494" s="312"/>
      <c r="E494" s="289"/>
      <c r="F494" s="79">
        <v>4</v>
      </c>
      <c r="G494" s="167" t="s">
        <v>347</v>
      </c>
      <c r="H494" s="234">
        <v>8.3616474471669378</v>
      </c>
      <c r="I494" s="328"/>
      <c r="J494" s="328"/>
      <c r="K494" s="328"/>
      <c r="L494" s="234">
        <v>9.0659160779920445</v>
      </c>
      <c r="M494" s="328"/>
      <c r="N494" s="328"/>
      <c r="O494" s="328"/>
      <c r="P494" s="328"/>
    </row>
    <row r="495" spans="2:16" ht="18" customHeight="1">
      <c r="B495" s="284"/>
      <c r="C495" s="311"/>
      <c r="D495" s="312"/>
      <c r="E495" s="289"/>
      <c r="F495" s="79">
        <v>5</v>
      </c>
      <c r="G495" s="167" t="s">
        <v>348</v>
      </c>
      <c r="H495" s="234">
        <v>7.7826918159199385</v>
      </c>
      <c r="I495" s="328"/>
      <c r="J495" s="328"/>
      <c r="K495" s="328"/>
      <c r="L495" s="234">
        <v>6.9073615544469513</v>
      </c>
      <c r="M495" s="328"/>
      <c r="N495" s="328"/>
      <c r="O495" s="328"/>
      <c r="P495" s="328"/>
    </row>
    <row r="496" spans="2:16" ht="18" customHeight="1">
      <c r="B496" s="284"/>
      <c r="C496" s="313"/>
      <c r="D496" s="314"/>
      <c r="E496" s="288"/>
      <c r="F496" s="82">
        <v>6</v>
      </c>
      <c r="G496" s="182" t="s">
        <v>349</v>
      </c>
      <c r="H496" s="235">
        <v>18.987309583381304</v>
      </c>
      <c r="I496" s="329"/>
      <c r="J496" s="329"/>
      <c r="K496" s="329"/>
      <c r="L496" s="235">
        <v>16.292633197351936</v>
      </c>
      <c r="M496" s="329"/>
      <c r="N496" s="329"/>
      <c r="O496" s="329"/>
      <c r="P496" s="329"/>
    </row>
    <row r="497" spans="2:16" ht="18" customHeight="1">
      <c r="B497" s="284"/>
      <c r="C497" s="309" t="s">
        <v>355</v>
      </c>
      <c r="D497" s="310"/>
      <c r="E497" s="287" t="str">
        <f>HYPERLINK("#LAYOUT_m1!lay중YACT3B07","YACT3B07")</f>
        <v>YACT3B07</v>
      </c>
      <c r="F497" s="78">
        <v>1</v>
      </c>
      <c r="G497" s="181" t="s">
        <v>344</v>
      </c>
      <c r="H497" s="233">
        <v>32.964551168910006</v>
      </c>
      <c r="I497" s="327"/>
      <c r="J497" s="327"/>
      <c r="K497" s="327"/>
      <c r="L497" s="233">
        <v>34.067653084175525</v>
      </c>
      <c r="M497" s="327"/>
      <c r="N497" s="327"/>
      <c r="O497" s="327"/>
      <c r="P497" s="327"/>
    </row>
    <row r="498" spans="2:16" ht="18" customHeight="1">
      <c r="B498" s="284"/>
      <c r="C498" s="311"/>
      <c r="D498" s="312"/>
      <c r="E498" s="289"/>
      <c r="F498" s="79">
        <v>2</v>
      </c>
      <c r="G498" s="167" t="s">
        <v>345</v>
      </c>
      <c r="H498" s="234">
        <v>8.0200274427490701</v>
      </c>
      <c r="I498" s="328"/>
      <c r="J498" s="328"/>
      <c r="K498" s="328"/>
      <c r="L498" s="234">
        <v>13.188875295183523</v>
      </c>
      <c r="M498" s="328"/>
      <c r="N498" s="328"/>
      <c r="O498" s="328"/>
      <c r="P498" s="328"/>
    </row>
    <row r="499" spans="2:16" ht="18" customHeight="1">
      <c r="B499" s="284"/>
      <c r="C499" s="311"/>
      <c r="D499" s="312"/>
      <c r="E499" s="289"/>
      <c r="F499" s="79">
        <v>3</v>
      </c>
      <c r="G499" s="167" t="s">
        <v>346</v>
      </c>
      <c r="H499" s="234">
        <v>6.6888556091995479</v>
      </c>
      <c r="I499" s="328"/>
      <c r="J499" s="328"/>
      <c r="K499" s="328"/>
      <c r="L499" s="234">
        <v>8.4029872573219393</v>
      </c>
      <c r="M499" s="328"/>
      <c r="N499" s="328"/>
      <c r="O499" s="328"/>
      <c r="P499" s="328"/>
    </row>
    <row r="500" spans="2:16" ht="18" customHeight="1">
      <c r="B500" s="284"/>
      <c r="C500" s="311"/>
      <c r="D500" s="312"/>
      <c r="E500" s="289"/>
      <c r="F500" s="79">
        <v>4</v>
      </c>
      <c r="G500" s="167" t="s">
        <v>347</v>
      </c>
      <c r="H500" s="234">
        <v>7.2690058599374057</v>
      </c>
      <c r="I500" s="328"/>
      <c r="J500" s="328"/>
      <c r="K500" s="328"/>
      <c r="L500" s="234">
        <v>9.1252885803416444</v>
      </c>
      <c r="M500" s="328"/>
      <c r="N500" s="328"/>
      <c r="O500" s="328"/>
      <c r="P500" s="328"/>
    </row>
    <row r="501" spans="2:16" ht="18" customHeight="1">
      <c r="B501" s="284"/>
      <c r="C501" s="311"/>
      <c r="D501" s="312"/>
      <c r="E501" s="289"/>
      <c r="F501" s="79">
        <v>5</v>
      </c>
      <c r="G501" s="167" t="s">
        <v>348</v>
      </c>
      <c r="H501" s="234">
        <v>10.225120715788025</v>
      </c>
      <c r="I501" s="328"/>
      <c r="J501" s="328"/>
      <c r="K501" s="328"/>
      <c r="L501" s="234">
        <v>8.6179715118251927</v>
      </c>
      <c r="M501" s="328"/>
      <c r="N501" s="328"/>
      <c r="O501" s="328"/>
      <c r="P501" s="328"/>
    </row>
    <row r="502" spans="2:16" ht="18" customHeight="1">
      <c r="B502" s="284"/>
      <c r="C502" s="313"/>
      <c r="D502" s="314"/>
      <c r="E502" s="288"/>
      <c r="F502" s="82">
        <v>6</v>
      </c>
      <c r="G502" s="182" t="s">
        <v>349</v>
      </c>
      <c r="H502" s="235">
        <v>34.832439203415959</v>
      </c>
      <c r="I502" s="329"/>
      <c r="J502" s="329"/>
      <c r="K502" s="329"/>
      <c r="L502" s="235">
        <v>26.597224271152168</v>
      </c>
      <c r="M502" s="329"/>
      <c r="N502" s="329"/>
      <c r="O502" s="329"/>
      <c r="P502" s="329"/>
    </row>
    <row r="503" spans="2:16" ht="18" customHeight="1">
      <c r="B503" s="284"/>
      <c r="C503" s="309" t="s">
        <v>356</v>
      </c>
      <c r="D503" s="310"/>
      <c r="E503" s="287" t="str">
        <f>HYPERLINK("#LAYOUT_m1!lay중YACT3B08","YACT3B08")</f>
        <v>YACT3B08</v>
      </c>
      <c r="F503" s="78">
        <v>1</v>
      </c>
      <c r="G503" s="181" t="s">
        <v>344</v>
      </c>
      <c r="H503" s="233">
        <v>56.048180196489852</v>
      </c>
      <c r="I503" s="327"/>
      <c r="J503" s="327"/>
      <c r="K503" s="327"/>
      <c r="L503" s="233">
        <v>57.020194888650614</v>
      </c>
      <c r="M503" s="327"/>
      <c r="N503" s="327"/>
      <c r="O503" s="327"/>
      <c r="P503" s="327"/>
    </row>
    <row r="504" spans="2:16" ht="18" customHeight="1">
      <c r="B504" s="284"/>
      <c r="C504" s="311"/>
      <c r="D504" s="312"/>
      <c r="E504" s="289"/>
      <c r="F504" s="79">
        <v>2</v>
      </c>
      <c r="G504" s="167" t="s">
        <v>345</v>
      </c>
      <c r="H504" s="234">
        <v>24.528982378345248</v>
      </c>
      <c r="I504" s="328"/>
      <c r="J504" s="328"/>
      <c r="K504" s="328"/>
      <c r="L504" s="234">
        <v>26.597519127815687</v>
      </c>
      <c r="M504" s="328"/>
      <c r="N504" s="328"/>
      <c r="O504" s="328"/>
      <c r="P504" s="328"/>
    </row>
    <row r="505" spans="2:16" ht="18" customHeight="1">
      <c r="B505" s="284"/>
      <c r="C505" s="311"/>
      <c r="D505" s="312"/>
      <c r="E505" s="289"/>
      <c r="F505" s="79">
        <v>3</v>
      </c>
      <c r="G505" s="167" t="s">
        <v>346</v>
      </c>
      <c r="H505" s="234">
        <v>8.6102960113435643</v>
      </c>
      <c r="I505" s="328"/>
      <c r="J505" s="328"/>
      <c r="K505" s="328"/>
      <c r="L505" s="234">
        <v>8.6585107397310619</v>
      </c>
      <c r="M505" s="328"/>
      <c r="N505" s="328"/>
      <c r="O505" s="328"/>
      <c r="P505" s="328"/>
    </row>
    <row r="506" spans="2:16" ht="18" customHeight="1">
      <c r="B506" s="284"/>
      <c r="C506" s="311"/>
      <c r="D506" s="312"/>
      <c r="E506" s="289"/>
      <c r="F506" s="79">
        <v>4</v>
      </c>
      <c r="G506" s="167" t="s">
        <v>347</v>
      </c>
      <c r="H506" s="234">
        <v>5.3539458846624335</v>
      </c>
      <c r="I506" s="328"/>
      <c r="J506" s="328"/>
      <c r="K506" s="328"/>
      <c r="L506" s="234">
        <v>4.8520493993223051</v>
      </c>
      <c r="M506" s="328"/>
      <c r="N506" s="328"/>
      <c r="O506" s="328"/>
      <c r="P506" s="328"/>
    </row>
    <row r="507" spans="2:16" ht="18" customHeight="1">
      <c r="B507" s="284"/>
      <c r="C507" s="311"/>
      <c r="D507" s="312"/>
      <c r="E507" s="289"/>
      <c r="F507" s="79">
        <v>5</v>
      </c>
      <c r="G507" s="167" t="s">
        <v>348</v>
      </c>
      <c r="H507" s="234">
        <v>1.546488319552912</v>
      </c>
      <c r="I507" s="328"/>
      <c r="J507" s="328"/>
      <c r="K507" s="328"/>
      <c r="L507" s="234">
        <v>1.1170948603407986</v>
      </c>
      <c r="M507" s="328"/>
      <c r="N507" s="328"/>
      <c r="O507" s="328"/>
      <c r="P507" s="328"/>
    </row>
    <row r="508" spans="2:16" ht="18" customHeight="1">
      <c r="B508" s="284"/>
      <c r="C508" s="313"/>
      <c r="D508" s="314"/>
      <c r="E508" s="288"/>
      <c r="F508" s="82">
        <v>6</v>
      </c>
      <c r="G508" s="182" t="s">
        <v>349</v>
      </c>
      <c r="H508" s="235">
        <v>3.9121072096059653</v>
      </c>
      <c r="I508" s="329"/>
      <c r="J508" s="329"/>
      <c r="K508" s="329"/>
      <c r="L508" s="235">
        <v>1.7546309841395555</v>
      </c>
      <c r="M508" s="329"/>
      <c r="N508" s="329"/>
      <c r="O508" s="329"/>
      <c r="P508" s="329"/>
    </row>
    <row r="509" spans="2:16" ht="18" customHeight="1">
      <c r="B509" s="284"/>
      <c r="C509" s="309" t="s">
        <v>357</v>
      </c>
      <c r="D509" s="310"/>
      <c r="E509" s="287" t="str">
        <f>HYPERLINK("#LAYOUT_m1!lay중YACT3B09","YACT3B09")</f>
        <v>YACT3B09</v>
      </c>
      <c r="F509" s="78">
        <v>1</v>
      </c>
      <c r="G509" s="181" t="s">
        <v>344</v>
      </c>
      <c r="H509" s="233">
        <v>57.159249146491646</v>
      </c>
      <c r="I509" s="327"/>
      <c r="J509" s="327"/>
      <c r="K509" s="327"/>
      <c r="L509" s="233">
        <v>60.153816912891443</v>
      </c>
      <c r="M509" s="327"/>
      <c r="N509" s="327"/>
      <c r="O509" s="327"/>
      <c r="P509" s="327"/>
    </row>
    <row r="510" spans="2:16" ht="18" customHeight="1">
      <c r="B510" s="284"/>
      <c r="C510" s="311"/>
      <c r="D510" s="312"/>
      <c r="E510" s="289"/>
      <c r="F510" s="79">
        <v>2</v>
      </c>
      <c r="G510" s="167" t="s">
        <v>345</v>
      </c>
      <c r="H510" s="234">
        <v>19.3538556431769</v>
      </c>
      <c r="I510" s="328"/>
      <c r="J510" s="328"/>
      <c r="K510" s="328"/>
      <c r="L510" s="234">
        <v>23.040614446333887</v>
      </c>
      <c r="M510" s="328"/>
      <c r="N510" s="328"/>
      <c r="O510" s="328"/>
      <c r="P510" s="328"/>
    </row>
    <row r="511" spans="2:16" ht="18" customHeight="1">
      <c r="B511" s="284"/>
      <c r="C511" s="311"/>
      <c r="D511" s="312"/>
      <c r="E511" s="289"/>
      <c r="F511" s="79">
        <v>3</v>
      </c>
      <c r="G511" s="167" t="s">
        <v>346</v>
      </c>
      <c r="H511" s="234">
        <v>9.0575227190761236</v>
      </c>
      <c r="I511" s="328"/>
      <c r="J511" s="328"/>
      <c r="K511" s="328"/>
      <c r="L511" s="234">
        <v>6.8314683253098423</v>
      </c>
      <c r="M511" s="328"/>
      <c r="N511" s="328"/>
      <c r="O511" s="328"/>
      <c r="P511" s="328"/>
    </row>
    <row r="512" spans="2:16" ht="18" customHeight="1">
      <c r="B512" s="284"/>
      <c r="C512" s="311"/>
      <c r="D512" s="312"/>
      <c r="E512" s="289"/>
      <c r="F512" s="79">
        <v>4</v>
      </c>
      <c r="G512" s="167" t="s">
        <v>347</v>
      </c>
      <c r="H512" s="234">
        <v>7.3833929718115607</v>
      </c>
      <c r="I512" s="328"/>
      <c r="J512" s="328"/>
      <c r="K512" s="328"/>
      <c r="L512" s="234">
        <v>6.9889425344461698</v>
      </c>
      <c r="M512" s="328"/>
      <c r="N512" s="328"/>
      <c r="O512" s="328"/>
      <c r="P512" s="328"/>
    </row>
    <row r="513" spans="2:16" ht="18" customHeight="1">
      <c r="B513" s="284"/>
      <c r="C513" s="311"/>
      <c r="D513" s="312"/>
      <c r="E513" s="289"/>
      <c r="F513" s="79">
        <v>5</v>
      </c>
      <c r="G513" s="167" t="s">
        <v>348</v>
      </c>
      <c r="H513" s="234">
        <v>1.9280625934262234</v>
      </c>
      <c r="I513" s="328"/>
      <c r="J513" s="328"/>
      <c r="K513" s="328"/>
      <c r="L513" s="234">
        <v>0.75272070798305257</v>
      </c>
      <c r="M513" s="328"/>
      <c r="N513" s="328"/>
      <c r="O513" s="328"/>
      <c r="P513" s="328"/>
    </row>
    <row r="514" spans="2:16" ht="18" customHeight="1">
      <c r="B514" s="286"/>
      <c r="C514" s="313"/>
      <c r="D514" s="314"/>
      <c r="E514" s="288"/>
      <c r="F514" s="82">
        <v>6</v>
      </c>
      <c r="G514" s="182" t="s">
        <v>349</v>
      </c>
      <c r="H514" s="235">
        <v>5.1179169260175073</v>
      </c>
      <c r="I514" s="329"/>
      <c r="J514" s="329"/>
      <c r="K514" s="329"/>
      <c r="L514" s="235">
        <v>2.2324370730356313</v>
      </c>
      <c r="M514" s="329"/>
      <c r="N514" s="329"/>
      <c r="O514" s="329"/>
      <c r="P514" s="329"/>
    </row>
    <row r="515" spans="2:16" ht="18" customHeight="1">
      <c r="B515" s="315" t="s">
        <v>123</v>
      </c>
      <c r="C515" s="315"/>
      <c r="D515" s="310"/>
      <c r="E515" s="287" t="str">
        <f>HYPERLINK("#LAYOUT_m1!lay중YINT1A00","YINT1A00")</f>
        <v>YINT1A00</v>
      </c>
      <c r="F515" s="78">
        <v>1</v>
      </c>
      <c r="G515" s="179" t="s">
        <v>124</v>
      </c>
      <c r="H515" s="233">
        <v>1.7776033291226629</v>
      </c>
      <c r="I515" s="327">
        <v>3.4360136478380237</v>
      </c>
      <c r="J515" s="331">
        <v>1.8435175081574173E-2</v>
      </c>
      <c r="K515" s="327">
        <v>0.53652799351288316</v>
      </c>
      <c r="L515" s="233">
        <v>1.9121404306541894</v>
      </c>
      <c r="M515" s="327">
        <v>3.3470750844307218</v>
      </c>
      <c r="N515" s="327">
        <v>0.9768153155265723</v>
      </c>
      <c r="O515" s="327">
        <v>1.9783157550322904E-2</v>
      </c>
      <c r="P515" s="327">
        <v>0.59105807462600379</v>
      </c>
    </row>
    <row r="516" spans="2:16" ht="18" customHeight="1">
      <c r="B516" s="316"/>
      <c r="C516" s="316"/>
      <c r="D516" s="312"/>
      <c r="E516" s="289"/>
      <c r="F516" s="79">
        <v>2</v>
      </c>
      <c r="G516" s="178" t="s">
        <v>125</v>
      </c>
      <c r="H516" s="234">
        <v>11.531723341512924</v>
      </c>
      <c r="I516" s="328"/>
      <c r="J516" s="332"/>
      <c r="K516" s="328"/>
      <c r="L516" s="234">
        <v>16.586073229680956</v>
      </c>
      <c r="M516" s="328">
        <v>3.3470750844307218</v>
      </c>
      <c r="N516" s="328">
        <v>0.9768153155265723</v>
      </c>
      <c r="O516" s="328">
        <v>1.9783157550322904E-2</v>
      </c>
      <c r="P516" s="328">
        <v>0.59105807462600379</v>
      </c>
    </row>
    <row r="517" spans="2:16" ht="18" customHeight="1">
      <c r="B517" s="316"/>
      <c r="C517" s="316"/>
      <c r="D517" s="312"/>
      <c r="E517" s="289"/>
      <c r="F517" s="79">
        <v>3</v>
      </c>
      <c r="G517" s="178" t="s">
        <v>126</v>
      </c>
      <c r="H517" s="234">
        <v>36.405066606541347</v>
      </c>
      <c r="I517" s="328"/>
      <c r="J517" s="332"/>
      <c r="K517" s="328"/>
      <c r="L517" s="234">
        <v>38.704155627504022</v>
      </c>
      <c r="M517" s="328">
        <v>3.3470750844307218</v>
      </c>
      <c r="N517" s="328">
        <v>0.9768153155265723</v>
      </c>
      <c r="O517" s="328">
        <v>1.9783157550322904E-2</v>
      </c>
      <c r="P517" s="328">
        <v>0.59105807462600379</v>
      </c>
    </row>
    <row r="518" spans="2:16" ht="18" customHeight="1">
      <c r="B518" s="316"/>
      <c r="C518" s="316"/>
      <c r="D518" s="312"/>
      <c r="E518" s="289"/>
      <c r="F518" s="79">
        <v>4</v>
      </c>
      <c r="G518" s="178" t="s">
        <v>127</v>
      </c>
      <c r="H518" s="234">
        <v>33.870582648735351</v>
      </c>
      <c r="I518" s="328"/>
      <c r="J518" s="332"/>
      <c r="K518" s="328"/>
      <c r="L518" s="234">
        <v>32.192813403037796</v>
      </c>
      <c r="M518" s="328">
        <v>3.3470750844307218</v>
      </c>
      <c r="N518" s="328">
        <v>0.9768153155265723</v>
      </c>
      <c r="O518" s="328">
        <v>1.9783157550322904E-2</v>
      </c>
      <c r="P518" s="328">
        <v>0.59105807462600379</v>
      </c>
    </row>
    <row r="519" spans="2:16" ht="18" customHeight="1">
      <c r="B519" s="316"/>
      <c r="C519" s="316"/>
      <c r="D519" s="312"/>
      <c r="E519" s="289"/>
      <c r="F519" s="79">
        <v>5</v>
      </c>
      <c r="G519" s="178" t="s">
        <v>128</v>
      </c>
      <c r="H519" s="234">
        <v>11.292002378741849</v>
      </c>
      <c r="I519" s="328"/>
      <c r="J519" s="332"/>
      <c r="K519" s="328"/>
      <c r="L519" s="234">
        <v>8.8894027963443438</v>
      </c>
      <c r="M519" s="328">
        <v>3.3470750844307218</v>
      </c>
      <c r="N519" s="328">
        <v>0.9768153155265723</v>
      </c>
      <c r="O519" s="328">
        <v>1.9783157550322904E-2</v>
      </c>
      <c r="P519" s="328">
        <v>0.59105807462600379</v>
      </c>
    </row>
    <row r="520" spans="2:16" ht="18" customHeight="1">
      <c r="B520" s="317"/>
      <c r="C520" s="317"/>
      <c r="D520" s="314"/>
      <c r="E520" s="288"/>
      <c r="F520" s="82">
        <v>6</v>
      </c>
      <c r="G520" s="180" t="s">
        <v>129</v>
      </c>
      <c r="H520" s="235">
        <v>5.1230216953458605</v>
      </c>
      <c r="I520" s="329"/>
      <c r="J520" s="333"/>
      <c r="K520" s="329"/>
      <c r="L520" s="235">
        <v>1.7154145127786797</v>
      </c>
      <c r="M520" s="329">
        <v>3.3470750844307218</v>
      </c>
      <c r="N520" s="329">
        <v>0.9768153155265723</v>
      </c>
      <c r="O520" s="329">
        <v>1.9783157550322904E-2</v>
      </c>
      <c r="P520" s="329">
        <v>0.59105807462600379</v>
      </c>
    </row>
    <row r="521" spans="2:16" ht="18" customHeight="1">
      <c r="B521" s="315" t="s">
        <v>130</v>
      </c>
      <c r="C521" s="315"/>
      <c r="D521" s="310"/>
      <c r="E521" s="287" t="str">
        <f>HYPERLINK("#LAYOUT_m1!lay중YINT1B00","YINT1B00")</f>
        <v>YINT1B00</v>
      </c>
      <c r="F521" s="78">
        <v>1</v>
      </c>
      <c r="G521" s="179" t="s">
        <v>131</v>
      </c>
      <c r="H521" s="233">
        <v>2.1637483189028797</v>
      </c>
      <c r="I521" s="327">
        <v>3.4488152772691993</v>
      </c>
      <c r="J521" s="327">
        <v>1.9674984217465021E-2</v>
      </c>
      <c r="K521" s="327">
        <v>0.57048530105804451</v>
      </c>
      <c r="L521" s="233">
        <v>4.2451190060370658</v>
      </c>
      <c r="M521" s="327">
        <v>3.2127330511864378</v>
      </c>
      <c r="N521" s="327">
        <v>1.0308908895102014</v>
      </c>
      <c r="O521" s="327">
        <v>2.0878334481660838E-2</v>
      </c>
      <c r="P521" s="327">
        <v>0.64986210024361135</v>
      </c>
    </row>
    <row r="522" spans="2:16" ht="18" customHeight="1">
      <c r="B522" s="316"/>
      <c r="C522" s="316"/>
      <c r="D522" s="312"/>
      <c r="E522" s="289"/>
      <c r="F522" s="79">
        <v>2</v>
      </c>
      <c r="G522" s="178" t="s">
        <v>132</v>
      </c>
      <c r="H522" s="234">
        <v>13.56687684256849</v>
      </c>
      <c r="I522" s="328"/>
      <c r="J522" s="328"/>
      <c r="K522" s="328"/>
      <c r="L522" s="234">
        <v>20.180050061599495</v>
      </c>
      <c r="M522" s="328">
        <v>3.2127330511864378</v>
      </c>
      <c r="N522" s="328">
        <v>1.0308908895102014</v>
      </c>
      <c r="O522" s="328">
        <v>2.0878334481660838E-2</v>
      </c>
      <c r="P522" s="328">
        <v>0.64986210024361135</v>
      </c>
    </row>
    <row r="523" spans="2:16" ht="18" customHeight="1">
      <c r="B523" s="316"/>
      <c r="C523" s="316"/>
      <c r="D523" s="312"/>
      <c r="E523" s="289"/>
      <c r="F523" s="79">
        <v>3</v>
      </c>
      <c r="G523" s="178" t="s">
        <v>126</v>
      </c>
      <c r="H523" s="234">
        <v>33.445537659441129</v>
      </c>
      <c r="I523" s="328"/>
      <c r="J523" s="328"/>
      <c r="K523" s="328"/>
      <c r="L523" s="234">
        <v>36.324256582671474</v>
      </c>
      <c r="M523" s="328">
        <v>3.2127330511864378</v>
      </c>
      <c r="N523" s="328">
        <v>1.0308908895102014</v>
      </c>
      <c r="O523" s="328">
        <v>2.0878334481660838E-2</v>
      </c>
      <c r="P523" s="328">
        <v>0.64986210024361135</v>
      </c>
    </row>
    <row r="524" spans="2:16" ht="18" customHeight="1">
      <c r="B524" s="316"/>
      <c r="C524" s="316"/>
      <c r="D524" s="312"/>
      <c r="E524" s="289"/>
      <c r="F524" s="79">
        <v>4</v>
      </c>
      <c r="G524" s="178" t="s">
        <v>133</v>
      </c>
      <c r="H524" s="234">
        <v>32.206105149339891</v>
      </c>
      <c r="I524" s="328"/>
      <c r="J524" s="328"/>
      <c r="K524" s="328"/>
      <c r="L524" s="234">
        <v>29.690250639981247</v>
      </c>
      <c r="M524" s="328">
        <v>3.2127330511864378</v>
      </c>
      <c r="N524" s="328">
        <v>1.0308908895102014</v>
      </c>
      <c r="O524" s="328">
        <v>2.0878334481660838E-2</v>
      </c>
      <c r="P524" s="328">
        <v>0.64986210024361135</v>
      </c>
    </row>
    <row r="525" spans="2:16" ht="18" customHeight="1">
      <c r="B525" s="316"/>
      <c r="C525" s="316"/>
      <c r="D525" s="312"/>
      <c r="E525" s="289"/>
      <c r="F525" s="79">
        <v>5</v>
      </c>
      <c r="G525" s="178" t="s">
        <v>134</v>
      </c>
      <c r="H525" s="234">
        <v>14.320585530131329</v>
      </c>
      <c r="I525" s="328"/>
      <c r="J525" s="328"/>
      <c r="K525" s="328"/>
      <c r="L525" s="234">
        <v>8.4276285767956107</v>
      </c>
      <c r="M525" s="328">
        <v>3.2127330511864378</v>
      </c>
      <c r="N525" s="328">
        <v>1.0308908895102014</v>
      </c>
      <c r="O525" s="328">
        <v>2.0878334481660838E-2</v>
      </c>
      <c r="P525" s="328">
        <v>0.64986210024361135</v>
      </c>
    </row>
    <row r="526" spans="2:16" ht="18" customHeight="1">
      <c r="B526" s="317"/>
      <c r="C526" s="317"/>
      <c r="D526" s="314"/>
      <c r="E526" s="288"/>
      <c r="F526" s="82">
        <v>6</v>
      </c>
      <c r="G526" s="180" t="s">
        <v>129</v>
      </c>
      <c r="H526" s="235">
        <v>4.2971464996162902</v>
      </c>
      <c r="I526" s="329"/>
      <c r="J526" s="329"/>
      <c r="K526" s="329"/>
      <c r="L526" s="235">
        <v>1.1326951329151329</v>
      </c>
      <c r="M526" s="329">
        <v>3.2127330511864378</v>
      </c>
      <c r="N526" s="329">
        <v>1.0308908895102014</v>
      </c>
      <c r="O526" s="329">
        <v>2.0878334481660838E-2</v>
      </c>
      <c r="P526" s="329">
        <v>0.64986210024361135</v>
      </c>
    </row>
    <row r="527" spans="2:16" ht="18" customHeight="1">
      <c r="B527" s="315" t="s">
        <v>135</v>
      </c>
      <c r="C527" s="315"/>
      <c r="D527" s="310"/>
      <c r="E527" s="287" t="str">
        <f>HYPERLINK("#LAYOUT_m1!lay중YEDU1A00","YEDU1A00")</f>
        <v>YEDU1A00</v>
      </c>
      <c r="F527" s="78">
        <v>1</v>
      </c>
      <c r="G527" s="179" t="s">
        <v>131</v>
      </c>
      <c r="H527" s="233">
        <v>0.84331105141632356</v>
      </c>
      <c r="I527" s="327">
        <v>4.073679941323876</v>
      </c>
      <c r="J527" s="327">
        <v>1.7410390751518602E-2</v>
      </c>
      <c r="K527" s="327">
        <v>0.42738730097339261</v>
      </c>
      <c r="L527" s="233">
        <v>1.030722777101124</v>
      </c>
      <c r="M527" s="327">
        <v>3.8526861561631112</v>
      </c>
      <c r="N527" s="327">
        <v>0.8908022892435411</v>
      </c>
      <c r="O527" s="327">
        <v>1.8041160651533515E-2</v>
      </c>
      <c r="P527" s="327">
        <v>0.46827485863786783</v>
      </c>
    </row>
    <row r="528" spans="2:16" ht="18" customHeight="1">
      <c r="B528" s="316"/>
      <c r="C528" s="316"/>
      <c r="D528" s="312"/>
      <c r="E528" s="289"/>
      <c r="F528" s="79">
        <v>2</v>
      </c>
      <c r="G528" s="178" t="s">
        <v>132</v>
      </c>
      <c r="H528" s="234">
        <v>3.2969872808363392</v>
      </c>
      <c r="I528" s="328"/>
      <c r="J528" s="328"/>
      <c r="K528" s="328"/>
      <c r="L528" s="234">
        <v>5.1146127368337835</v>
      </c>
      <c r="M528" s="328">
        <v>3.8526861561631112</v>
      </c>
      <c r="N528" s="328">
        <v>0.8908022892435411</v>
      </c>
      <c r="O528" s="328">
        <v>1.8041160651533515E-2</v>
      </c>
      <c r="P528" s="328">
        <v>0.46827485863786783</v>
      </c>
    </row>
    <row r="529" spans="2:16" ht="18" customHeight="1">
      <c r="B529" s="316"/>
      <c r="C529" s="316"/>
      <c r="D529" s="312"/>
      <c r="E529" s="289"/>
      <c r="F529" s="79">
        <v>3</v>
      </c>
      <c r="G529" s="178" t="s">
        <v>126</v>
      </c>
      <c r="H529" s="234">
        <v>19.840742572282885</v>
      </c>
      <c r="I529" s="328"/>
      <c r="J529" s="328"/>
      <c r="K529" s="328"/>
      <c r="L529" s="234">
        <v>26.162542891386</v>
      </c>
      <c r="M529" s="328">
        <v>3.8526861561631112</v>
      </c>
      <c r="N529" s="328">
        <v>0.8908022892435411</v>
      </c>
      <c r="O529" s="328">
        <v>1.8041160651533515E-2</v>
      </c>
      <c r="P529" s="328">
        <v>0.46827485863786783</v>
      </c>
    </row>
    <row r="530" spans="2:16" ht="18" customHeight="1">
      <c r="B530" s="316"/>
      <c r="C530" s="316"/>
      <c r="D530" s="312"/>
      <c r="E530" s="289"/>
      <c r="F530" s="79">
        <v>4</v>
      </c>
      <c r="G530" s="178" t="s">
        <v>133</v>
      </c>
      <c r="H530" s="234">
        <v>38.401487095089912</v>
      </c>
      <c r="I530" s="328"/>
      <c r="J530" s="328"/>
      <c r="K530" s="328"/>
      <c r="L530" s="234">
        <v>43.359773890853241</v>
      </c>
      <c r="M530" s="328">
        <v>3.8526861561631112</v>
      </c>
      <c r="N530" s="328">
        <v>0.8908022892435411</v>
      </c>
      <c r="O530" s="328">
        <v>1.8041160651533515E-2</v>
      </c>
      <c r="P530" s="328">
        <v>0.46827485863786783</v>
      </c>
    </row>
    <row r="531" spans="2:16" ht="18" customHeight="1">
      <c r="B531" s="316"/>
      <c r="C531" s="316"/>
      <c r="D531" s="312"/>
      <c r="E531" s="289"/>
      <c r="F531" s="79">
        <v>5</v>
      </c>
      <c r="G531" s="178" t="s">
        <v>134</v>
      </c>
      <c r="H531" s="234">
        <v>36.23044861925478</v>
      </c>
      <c r="I531" s="328"/>
      <c r="J531" s="328"/>
      <c r="K531" s="328"/>
      <c r="L531" s="234">
        <v>23.91214309498244</v>
      </c>
      <c r="M531" s="328">
        <v>3.8526861561631112</v>
      </c>
      <c r="N531" s="328">
        <v>0.8908022892435411</v>
      </c>
      <c r="O531" s="328">
        <v>1.8041160651533515E-2</v>
      </c>
      <c r="P531" s="328">
        <v>0.46827485863786783</v>
      </c>
    </row>
    <row r="532" spans="2:16" ht="18" customHeight="1">
      <c r="B532" s="317"/>
      <c r="C532" s="317"/>
      <c r="D532" s="314"/>
      <c r="E532" s="288"/>
      <c r="F532" s="82">
        <v>6</v>
      </c>
      <c r="G532" s="180" t="s">
        <v>129</v>
      </c>
      <c r="H532" s="235">
        <v>1.3870233811197341</v>
      </c>
      <c r="I532" s="329"/>
      <c r="J532" s="329"/>
      <c r="K532" s="329"/>
      <c r="L532" s="235">
        <v>0.42020460884341948</v>
      </c>
      <c r="M532" s="329">
        <v>3.8526861561631112</v>
      </c>
      <c r="N532" s="329">
        <v>0.8908022892435411</v>
      </c>
      <c r="O532" s="329">
        <v>1.8041160651533515E-2</v>
      </c>
      <c r="P532" s="329">
        <v>0.46827485863786783</v>
      </c>
    </row>
    <row r="533" spans="2:16" ht="18" customHeight="1">
      <c r="B533" s="282" t="s">
        <v>136</v>
      </c>
      <c r="C533" s="309" t="s">
        <v>137</v>
      </c>
      <c r="D533" s="310"/>
      <c r="E533" s="287" t="str">
        <f>HYPERLINK("#LAYOUT_m1!lay중YINT2A01","YINT2A01")</f>
        <v>YINT2A01</v>
      </c>
      <c r="F533" s="78">
        <v>1</v>
      </c>
      <c r="G533" s="179" t="s">
        <v>105</v>
      </c>
      <c r="H533" s="233">
        <v>2.6780265065159918</v>
      </c>
      <c r="I533" s="327">
        <v>2.9548532665991258</v>
      </c>
      <c r="J533" s="327">
        <v>1.3843531959830289E-2</v>
      </c>
      <c r="K533" s="327">
        <v>0.46850150280942504</v>
      </c>
      <c r="L533" s="233">
        <v>3.427749689210724</v>
      </c>
      <c r="M533" s="327">
        <v>2.8288233350533205</v>
      </c>
      <c r="N533" s="327">
        <v>0.70442387399353756</v>
      </c>
      <c r="O533" s="327">
        <v>1.4266492611155089E-2</v>
      </c>
      <c r="P533" s="327">
        <v>0.50432603670833986</v>
      </c>
    </row>
    <row r="534" spans="2:16" ht="18" customHeight="1">
      <c r="B534" s="284"/>
      <c r="C534" s="311"/>
      <c r="D534" s="312"/>
      <c r="E534" s="289"/>
      <c r="F534" s="79">
        <v>2</v>
      </c>
      <c r="G534" s="178" t="s">
        <v>106</v>
      </c>
      <c r="H534" s="234">
        <v>19.133403695886297</v>
      </c>
      <c r="I534" s="328"/>
      <c r="J534" s="328"/>
      <c r="K534" s="328"/>
      <c r="L534" s="234">
        <v>24.541129782846312</v>
      </c>
      <c r="M534" s="328">
        <v>2.8288233350533205</v>
      </c>
      <c r="N534" s="328">
        <v>0.70442387399353756</v>
      </c>
      <c r="O534" s="328">
        <v>1.4266492611155089E-2</v>
      </c>
      <c r="P534" s="328">
        <v>0.50432603670833986</v>
      </c>
    </row>
    <row r="535" spans="2:16" ht="18" customHeight="1">
      <c r="B535" s="284"/>
      <c r="C535" s="311"/>
      <c r="D535" s="312"/>
      <c r="E535" s="289"/>
      <c r="F535" s="79">
        <v>3</v>
      </c>
      <c r="G535" s="178" t="s">
        <v>107</v>
      </c>
      <c r="H535" s="234">
        <v>58.213786428767492</v>
      </c>
      <c r="I535" s="328"/>
      <c r="J535" s="328"/>
      <c r="K535" s="328"/>
      <c r="L535" s="234">
        <v>57.752157861341949</v>
      </c>
      <c r="M535" s="328">
        <v>2.8288233350533205</v>
      </c>
      <c r="N535" s="328">
        <v>0.70442387399353756</v>
      </c>
      <c r="O535" s="328">
        <v>1.4266492611155089E-2</v>
      </c>
      <c r="P535" s="328">
        <v>0.50432603670833986</v>
      </c>
    </row>
    <row r="536" spans="2:16" ht="18" customHeight="1">
      <c r="B536" s="284"/>
      <c r="C536" s="313"/>
      <c r="D536" s="314"/>
      <c r="E536" s="288"/>
      <c r="F536" s="82">
        <v>4</v>
      </c>
      <c r="G536" s="180" t="s">
        <v>108</v>
      </c>
      <c r="H536" s="235">
        <v>19.974783368830252</v>
      </c>
      <c r="I536" s="329"/>
      <c r="J536" s="329"/>
      <c r="K536" s="329"/>
      <c r="L536" s="235">
        <v>14.278962666601002</v>
      </c>
      <c r="M536" s="329">
        <v>2.8288233350533205</v>
      </c>
      <c r="N536" s="329">
        <v>0.70442387399353756</v>
      </c>
      <c r="O536" s="329">
        <v>1.4266492611155089E-2</v>
      </c>
      <c r="P536" s="329">
        <v>0.50432603670833986</v>
      </c>
    </row>
    <row r="537" spans="2:16" ht="18" customHeight="1">
      <c r="B537" s="284"/>
      <c r="C537" s="309" t="s">
        <v>138</v>
      </c>
      <c r="D537" s="310"/>
      <c r="E537" s="287" t="str">
        <f>HYPERLINK("#LAYOUT_m1!lay중YINT2A02","YINT2A02")</f>
        <v>YINT2A02</v>
      </c>
      <c r="F537" s="78">
        <v>1</v>
      </c>
      <c r="G537" s="179" t="s">
        <v>105</v>
      </c>
      <c r="H537" s="233">
        <v>3.456610083049509</v>
      </c>
      <c r="I537" s="327">
        <v>2.9870398184228648</v>
      </c>
      <c r="J537" s="327">
        <v>1.4325344531884786E-2</v>
      </c>
      <c r="K537" s="327">
        <v>0.47958331333689641</v>
      </c>
      <c r="L537" s="233">
        <v>3.978939409995347</v>
      </c>
      <c r="M537" s="327">
        <v>2.9069408591034023</v>
      </c>
      <c r="N537" s="327">
        <v>0.72521151346802992</v>
      </c>
      <c r="O537" s="327">
        <v>1.4687498650153872E-2</v>
      </c>
      <c r="P537" s="327">
        <v>0.50525619068438798</v>
      </c>
    </row>
    <row r="538" spans="2:16" ht="18" customHeight="1">
      <c r="B538" s="284"/>
      <c r="C538" s="311"/>
      <c r="D538" s="312"/>
      <c r="E538" s="289"/>
      <c r="F538" s="79">
        <v>2</v>
      </c>
      <c r="G538" s="178" t="s">
        <v>106</v>
      </c>
      <c r="H538" s="234">
        <v>16.851723096694098</v>
      </c>
      <c r="I538" s="328"/>
      <c r="J538" s="328"/>
      <c r="K538" s="328"/>
      <c r="L538" s="234">
        <v>19.434939832563366</v>
      </c>
      <c r="M538" s="328">
        <v>2.9069408591034023</v>
      </c>
      <c r="N538" s="328">
        <v>0.72521151346802992</v>
      </c>
      <c r="O538" s="328">
        <v>1.4687498650153872E-2</v>
      </c>
      <c r="P538" s="328">
        <v>0.50525619068438798</v>
      </c>
    </row>
    <row r="539" spans="2:16" ht="18" customHeight="1">
      <c r="B539" s="284"/>
      <c r="C539" s="311"/>
      <c r="D539" s="312"/>
      <c r="E539" s="289"/>
      <c r="F539" s="79">
        <v>3</v>
      </c>
      <c r="G539" s="178" t="s">
        <v>107</v>
      </c>
      <c r="H539" s="234">
        <v>57.222741715178252</v>
      </c>
      <c r="I539" s="328"/>
      <c r="J539" s="328"/>
      <c r="K539" s="328"/>
      <c r="L539" s="234">
        <v>58.499216194545816</v>
      </c>
      <c r="M539" s="328">
        <v>2.9069408591034023</v>
      </c>
      <c r="N539" s="328">
        <v>0.72521151346802992</v>
      </c>
      <c r="O539" s="328">
        <v>1.4687498650153872E-2</v>
      </c>
      <c r="P539" s="328">
        <v>0.50525619068438798</v>
      </c>
    </row>
    <row r="540" spans="2:16" ht="18" customHeight="1">
      <c r="B540" s="284"/>
      <c r="C540" s="313"/>
      <c r="D540" s="314"/>
      <c r="E540" s="288"/>
      <c r="F540" s="82">
        <v>4</v>
      </c>
      <c r="G540" s="180" t="s">
        <v>108</v>
      </c>
      <c r="H540" s="235">
        <v>22.468925105078124</v>
      </c>
      <c r="I540" s="329"/>
      <c r="J540" s="329"/>
      <c r="K540" s="329"/>
      <c r="L540" s="235">
        <v>18.086904562895473</v>
      </c>
      <c r="M540" s="329">
        <v>2.9069408591034023</v>
      </c>
      <c r="N540" s="329">
        <v>0.72521151346802992</v>
      </c>
      <c r="O540" s="329">
        <v>1.4687498650153872E-2</v>
      </c>
      <c r="P540" s="329">
        <v>0.50525619068438798</v>
      </c>
    </row>
    <row r="541" spans="2:16" ht="18" customHeight="1">
      <c r="B541" s="284"/>
      <c r="C541" s="309" t="s">
        <v>139</v>
      </c>
      <c r="D541" s="310"/>
      <c r="E541" s="287" t="str">
        <f>HYPERLINK("#LAYOUT_m1!lay중YINT2A03","YINT2A03")</f>
        <v>YINT2A03</v>
      </c>
      <c r="F541" s="78">
        <v>1</v>
      </c>
      <c r="G541" s="179" t="s">
        <v>105</v>
      </c>
      <c r="H541" s="233">
        <v>5.428661866823016</v>
      </c>
      <c r="I541" s="327">
        <v>2.8229633018974982</v>
      </c>
      <c r="J541" s="327">
        <v>1.5786303641520488E-2</v>
      </c>
      <c r="K541" s="327">
        <v>0.55921037410969809</v>
      </c>
      <c r="L541" s="233">
        <v>4.5876413348233056</v>
      </c>
      <c r="M541" s="327">
        <v>2.7914099942531245</v>
      </c>
      <c r="N541" s="327">
        <v>0.76727653699867704</v>
      </c>
      <c r="O541" s="327">
        <v>1.5539429383258963E-2</v>
      </c>
      <c r="P541" s="327">
        <v>0.55668745957244192</v>
      </c>
    </row>
    <row r="542" spans="2:16" ht="18" customHeight="1">
      <c r="B542" s="284"/>
      <c r="C542" s="311"/>
      <c r="D542" s="312"/>
      <c r="E542" s="289"/>
      <c r="F542" s="79">
        <v>2</v>
      </c>
      <c r="G542" s="178" t="s">
        <v>106</v>
      </c>
      <c r="H542" s="234">
        <v>26.392844614041405</v>
      </c>
      <c r="I542" s="328"/>
      <c r="J542" s="328"/>
      <c r="K542" s="328"/>
      <c r="L542" s="234">
        <v>28.265656325903237</v>
      </c>
      <c r="M542" s="328">
        <v>2.7914099942531245</v>
      </c>
      <c r="N542" s="328">
        <v>0.76727653699867704</v>
      </c>
      <c r="O542" s="328">
        <v>1.5539429383258963E-2</v>
      </c>
      <c r="P542" s="328">
        <v>0.55668745957244192</v>
      </c>
    </row>
    <row r="543" spans="2:16" ht="18" customHeight="1">
      <c r="B543" s="284"/>
      <c r="C543" s="311"/>
      <c r="D543" s="312"/>
      <c r="E543" s="289"/>
      <c r="F543" s="79">
        <v>3</v>
      </c>
      <c r="G543" s="178" t="s">
        <v>107</v>
      </c>
      <c r="H543" s="234">
        <v>48.631994981699215</v>
      </c>
      <c r="I543" s="328"/>
      <c r="J543" s="328"/>
      <c r="K543" s="328"/>
      <c r="L543" s="234">
        <v>50.564763918409881</v>
      </c>
      <c r="M543" s="328">
        <v>2.7914099942531245</v>
      </c>
      <c r="N543" s="328">
        <v>0.76727653699867704</v>
      </c>
      <c r="O543" s="328">
        <v>1.5539429383258963E-2</v>
      </c>
      <c r="P543" s="328">
        <v>0.55668745957244192</v>
      </c>
    </row>
    <row r="544" spans="2:16" ht="18" customHeight="1">
      <c r="B544" s="284"/>
      <c r="C544" s="313"/>
      <c r="D544" s="314"/>
      <c r="E544" s="288"/>
      <c r="F544" s="82">
        <v>4</v>
      </c>
      <c r="G544" s="180" t="s">
        <v>108</v>
      </c>
      <c r="H544" s="235">
        <v>19.546498537436335</v>
      </c>
      <c r="I544" s="329"/>
      <c r="J544" s="329"/>
      <c r="K544" s="329"/>
      <c r="L544" s="235">
        <v>16.581938420863573</v>
      </c>
      <c r="M544" s="329">
        <v>2.7914099942531245</v>
      </c>
      <c r="N544" s="329">
        <v>0.76727653699867704</v>
      </c>
      <c r="O544" s="329">
        <v>1.5539429383258963E-2</v>
      </c>
      <c r="P544" s="329">
        <v>0.55668745957244192</v>
      </c>
    </row>
    <row r="545" spans="2:16" ht="18" customHeight="1">
      <c r="B545" s="284"/>
      <c r="C545" s="309" t="s">
        <v>140</v>
      </c>
      <c r="D545" s="310"/>
      <c r="E545" s="287" t="str">
        <f>HYPERLINK("#LAYOUT_m1!lay중YINT2A04","YINT2A04")</f>
        <v>YINT2A04</v>
      </c>
      <c r="F545" s="78">
        <v>1</v>
      </c>
      <c r="G545" s="179" t="s">
        <v>105</v>
      </c>
      <c r="H545" s="233">
        <v>5.2695796686318532</v>
      </c>
      <c r="I545" s="327">
        <v>2.782072518469104</v>
      </c>
      <c r="J545" s="327">
        <v>1.5299166532477296E-2</v>
      </c>
      <c r="K545" s="327">
        <v>0.54991976057101444</v>
      </c>
      <c r="L545" s="233">
        <v>5.7688431964521758</v>
      </c>
      <c r="M545" s="327">
        <v>2.6870272308698029</v>
      </c>
      <c r="N545" s="327">
        <v>0.76236581296500494</v>
      </c>
      <c r="O545" s="327">
        <v>1.5439973912301357E-2</v>
      </c>
      <c r="P545" s="327">
        <v>0.57461173950601807</v>
      </c>
    </row>
    <row r="546" spans="2:16" ht="18" customHeight="1">
      <c r="B546" s="284"/>
      <c r="C546" s="311"/>
      <c r="D546" s="312"/>
      <c r="E546" s="289"/>
      <c r="F546" s="79">
        <v>2</v>
      </c>
      <c r="G546" s="178" t="s">
        <v>106</v>
      </c>
      <c r="H546" s="234">
        <v>27.761903514347797</v>
      </c>
      <c r="I546" s="328"/>
      <c r="J546" s="328"/>
      <c r="K546" s="328"/>
      <c r="L546" s="234">
        <v>32.287868577172425</v>
      </c>
      <c r="M546" s="328">
        <v>2.6870272308698029</v>
      </c>
      <c r="N546" s="328">
        <v>0.76236581296500494</v>
      </c>
      <c r="O546" s="328">
        <v>1.5439973912301357E-2</v>
      </c>
      <c r="P546" s="328">
        <v>0.57461173950601807</v>
      </c>
    </row>
    <row r="547" spans="2:16" ht="18" customHeight="1">
      <c r="B547" s="284"/>
      <c r="C547" s="311"/>
      <c r="D547" s="312"/>
      <c r="E547" s="289"/>
      <c r="F547" s="79">
        <v>3</v>
      </c>
      <c r="G547" s="178" t="s">
        <v>107</v>
      </c>
      <c r="H547" s="234">
        <v>50.460202118498906</v>
      </c>
      <c r="I547" s="328"/>
      <c r="J547" s="328"/>
      <c r="K547" s="328"/>
      <c r="L547" s="234">
        <v>49.415010169317071</v>
      </c>
      <c r="M547" s="328">
        <v>2.6870272308698029</v>
      </c>
      <c r="N547" s="328">
        <v>0.76236581296500494</v>
      </c>
      <c r="O547" s="328">
        <v>1.5439973912301357E-2</v>
      </c>
      <c r="P547" s="328">
        <v>0.57461173950601807</v>
      </c>
    </row>
    <row r="548" spans="2:16" ht="18" customHeight="1">
      <c r="B548" s="284"/>
      <c r="C548" s="313"/>
      <c r="D548" s="314"/>
      <c r="E548" s="288"/>
      <c r="F548" s="82">
        <v>4</v>
      </c>
      <c r="G548" s="180" t="s">
        <v>108</v>
      </c>
      <c r="H548" s="235">
        <v>16.508314698521449</v>
      </c>
      <c r="I548" s="329"/>
      <c r="J548" s="329"/>
      <c r="K548" s="329"/>
      <c r="L548" s="235">
        <v>12.528278057058312</v>
      </c>
      <c r="M548" s="329">
        <v>2.6870272308698029</v>
      </c>
      <c r="N548" s="329">
        <v>0.76236581296500494</v>
      </c>
      <c r="O548" s="329">
        <v>1.5439973912301357E-2</v>
      </c>
      <c r="P548" s="329">
        <v>0.57461173950601807</v>
      </c>
    </row>
    <row r="549" spans="2:16" ht="18" customHeight="1">
      <c r="B549" s="284"/>
      <c r="C549" s="309" t="s">
        <v>141</v>
      </c>
      <c r="D549" s="310"/>
      <c r="E549" s="287" t="str">
        <f>HYPERLINK("#LAYOUT_m1!lay중YINT2A05","YINT2A05")</f>
        <v>YINT2A05</v>
      </c>
      <c r="F549" s="78">
        <v>1</v>
      </c>
      <c r="G549" s="179" t="s">
        <v>105</v>
      </c>
      <c r="H549" s="233">
        <v>15.074345820529725</v>
      </c>
      <c r="I549" s="327">
        <v>2.2327574977334397</v>
      </c>
      <c r="J549" s="327">
        <v>1.5198492996336797E-2</v>
      </c>
      <c r="K549" s="327">
        <v>0.68070504798507636</v>
      </c>
      <c r="L549" s="233">
        <v>12.796573032046922</v>
      </c>
      <c r="M549" s="327">
        <v>2.3072235349149031</v>
      </c>
      <c r="N549" s="327">
        <v>0.76479332235313946</v>
      </c>
      <c r="O549" s="327">
        <v>1.548913755656145E-2</v>
      </c>
      <c r="P549" s="327">
        <v>0.67133233179041452</v>
      </c>
    </row>
    <row r="550" spans="2:16" ht="18" customHeight="1">
      <c r="B550" s="284"/>
      <c r="C550" s="311"/>
      <c r="D550" s="312"/>
      <c r="E550" s="289"/>
      <c r="F550" s="79">
        <v>2</v>
      </c>
      <c r="G550" s="178" t="s">
        <v>106</v>
      </c>
      <c r="H550" s="234">
        <v>52.474338328564919</v>
      </c>
      <c r="I550" s="328"/>
      <c r="J550" s="328"/>
      <c r="K550" s="328"/>
      <c r="L550" s="234">
        <v>49.479511313588141</v>
      </c>
      <c r="M550" s="328">
        <v>2.3072235349149031</v>
      </c>
      <c r="N550" s="328">
        <v>0.76479332235313946</v>
      </c>
      <c r="O550" s="328">
        <v>1.548913755656145E-2</v>
      </c>
      <c r="P550" s="328">
        <v>0.67133233179041452</v>
      </c>
    </row>
    <row r="551" spans="2:16" ht="18" customHeight="1">
      <c r="B551" s="284"/>
      <c r="C551" s="311"/>
      <c r="D551" s="312"/>
      <c r="E551" s="289"/>
      <c r="F551" s="79">
        <v>3</v>
      </c>
      <c r="G551" s="178" t="s">
        <v>107</v>
      </c>
      <c r="H551" s="234">
        <v>26.552536107937126</v>
      </c>
      <c r="I551" s="328"/>
      <c r="J551" s="328"/>
      <c r="K551" s="328"/>
      <c r="L551" s="234">
        <v>31.928904785191598</v>
      </c>
      <c r="M551" s="328">
        <v>2.3072235349149031</v>
      </c>
      <c r="N551" s="328">
        <v>0.76479332235313946</v>
      </c>
      <c r="O551" s="328">
        <v>1.548913755656145E-2</v>
      </c>
      <c r="P551" s="328">
        <v>0.67133233179041452</v>
      </c>
    </row>
    <row r="552" spans="2:16" ht="18" customHeight="1">
      <c r="B552" s="284"/>
      <c r="C552" s="313"/>
      <c r="D552" s="314"/>
      <c r="E552" s="288"/>
      <c r="F552" s="82">
        <v>4</v>
      </c>
      <c r="G552" s="180" t="s">
        <v>108</v>
      </c>
      <c r="H552" s="235">
        <v>5.8987797429682356</v>
      </c>
      <c r="I552" s="329"/>
      <c r="J552" s="329"/>
      <c r="K552" s="329"/>
      <c r="L552" s="235">
        <v>5.7950108691733444</v>
      </c>
      <c r="M552" s="329">
        <v>2.3072235349149031</v>
      </c>
      <c r="N552" s="329">
        <v>0.76479332235313946</v>
      </c>
      <c r="O552" s="329">
        <v>1.548913755656145E-2</v>
      </c>
      <c r="P552" s="329">
        <v>0.67133233179041452</v>
      </c>
    </row>
    <row r="553" spans="2:16" ht="18" customHeight="1">
      <c r="B553" s="284"/>
      <c r="C553" s="309" t="s">
        <v>142</v>
      </c>
      <c r="D553" s="310"/>
      <c r="E553" s="287" t="str">
        <f>HYPERLINK("#LAYOUT_m1!lay중YINT2A06","YINT2A06")</f>
        <v>YINT2A06</v>
      </c>
      <c r="F553" s="78">
        <v>1</v>
      </c>
      <c r="G553" s="179" t="s">
        <v>105</v>
      </c>
      <c r="H553" s="233">
        <v>16.63132297214656</v>
      </c>
      <c r="I553" s="327">
        <v>2.1743826085499198</v>
      </c>
      <c r="J553" s="327">
        <v>1.5045135471053421E-2</v>
      </c>
      <c r="K553" s="327">
        <v>0.6919267755313272</v>
      </c>
      <c r="L553" s="233">
        <v>13.294608585867499</v>
      </c>
      <c r="M553" s="327">
        <v>2.2592305372432024</v>
      </c>
      <c r="N553" s="327">
        <v>0.74629039566363387</v>
      </c>
      <c r="O553" s="327">
        <v>1.5114403143594924E-2</v>
      </c>
      <c r="P553" s="327">
        <v>0.66900667702721883</v>
      </c>
    </row>
    <row r="554" spans="2:16" ht="18" customHeight="1">
      <c r="B554" s="284"/>
      <c r="C554" s="311"/>
      <c r="D554" s="312"/>
      <c r="E554" s="289"/>
      <c r="F554" s="79">
        <v>2</v>
      </c>
      <c r="G554" s="178" t="s">
        <v>106</v>
      </c>
      <c r="H554" s="234">
        <v>54.770901828073995</v>
      </c>
      <c r="I554" s="328"/>
      <c r="J554" s="328"/>
      <c r="K554" s="328"/>
      <c r="L554" s="234">
        <v>52.427662701756233</v>
      </c>
      <c r="M554" s="328">
        <v>2.2592305372432024</v>
      </c>
      <c r="N554" s="328">
        <v>0.74629039566363387</v>
      </c>
      <c r="O554" s="328">
        <v>1.5114403143594924E-2</v>
      </c>
      <c r="P554" s="328">
        <v>0.66900667702721883</v>
      </c>
    </row>
    <row r="555" spans="2:16" ht="18" customHeight="1">
      <c r="B555" s="284"/>
      <c r="C555" s="311"/>
      <c r="D555" s="312"/>
      <c r="E555" s="289"/>
      <c r="F555" s="79">
        <v>3</v>
      </c>
      <c r="G555" s="178" t="s">
        <v>107</v>
      </c>
      <c r="H555" s="234">
        <v>23.125966572420541</v>
      </c>
      <c r="I555" s="328"/>
      <c r="J555" s="328"/>
      <c r="K555" s="328"/>
      <c r="L555" s="234">
        <v>29.337795114564379</v>
      </c>
      <c r="M555" s="328">
        <v>2.2592305372432024</v>
      </c>
      <c r="N555" s="328">
        <v>0.74629039566363387</v>
      </c>
      <c r="O555" s="328">
        <v>1.5114403143594924E-2</v>
      </c>
      <c r="P555" s="328">
        <v>0.66900667702721883</v>
      </c>
    </row>
    <row r="556" spans="2:16" ht="18" customHeight="1">
      <c r="B556" s="284"/>
      <c r="C556" s="313"/>
      <c r="D556" s="314"/>
      <c r="E556" s="288"/>
      <c r="F556" s="82">
        <v>4</v>
      </c>
      <c r="G556" s="180" t="s">
        <v>108</v>
      </c>
      <c r="H556" s="235">
        <v>5.4718086273589233</v>
      </c>
      <c r="I556" s="329"/>
      <c r="J556" s="329"/>
      <c r="K556" s="329"/>
      <c r="L556" s="235">
        <v>4.9399335978119003</v>
      </c>
      <c r="M556" s="329">
        <v>2.2592305372432024</v>
      </c>
      <c r="N556" s="329">
        <v>0.74629039566363387</v>
      </c>
      <c r="O556" s="329">
        <v>1.5114403143594924E-2</v>
      </c>
      <c r="P556" s="329">
        <v>0.66900667702721883</v>
      </c>
    </row>
    <row r="557" spans="2:16" ht="18" customHeight="1">
      <c r="B557" s="284"/>
      <c r="C557" s="309" t="s">
        <v>143</v>
      </c>
      <c r="D557" s="310"/>
      <c r="E557" s="287" t="str">
        <f>HYPERLINK("#LAYOUT_m1!lay중YINT2A07","YINT2A07")</f>
        <v>YINT2A07</v>
      </c>
      <c r="F557" s="78">
        <v>1</v>
      </c>
      <c r="G557" s="179" t="s">
        <v>105</v>
      </c>
      <c r="H557" s="233">
        <v>16.565215786036422</v>
      </c>
      <c r="I557" s="327">
        <v>2.1961772202576935</v>
      </c>
      <c r="J557" s="327">
        <v>1.523714978563767E-2</v>
      </c>
      <c r="K557" s="327">
        <v>0.69380328896453003</v>
      </c>
      <c r="L557" s="233">
        <v>14.3107296725033</v>
      </c>
      <c r="M557" s="327">
        <v>2.2702543529437169</v>
      </c>
      <c r="N557" s="327">
        <v>0.7724089370230538</v>
      </c>
      <c r="O557" s="327">
        <v>1.5643374393825051E-2</v>
      </c>
      <c r="P557" s="327">
        <v>0.68905822704584252</v>
      </c>
    </row>
    <row r="558" spans="2:16" ht="18" customHeight="1">
      <c r="B558" s="284"/>
      <c r="C558" s="311"/>
      <c r="D558" s="312"/>
      <c r="E558" s="289"/>
      <c r="F558" s="79">
        <v>2</v>
      </c>
      <c r="G558" s="178" t="s">
        <v>106</v>
      </c>
      <c r="H558" s="234">
        <v>52.856546153858488</v>
      </c>
      <c r="I558" s="328"/>
      <c r="J558" s="328"/>
      <c r="K558" s="328"/>
      <c r="L558" s="234">
        <v>50.000071346715607</v>
      </c>
      <c r="M558" s="328">
        <v>2.2702543529437169</v>
      </c>
      <c r="N558" s="328">
        <v>0.7724089370230538</v>
      </c>
      <c r="O558" s="328">
        <v>1.5643374393825051E-2</v>
      </c>
      <c r="P558" s="328">
        <v>0.68905822704584252</v>
      </c>
    </row>
    <row r="559" spans="2:16" ht="18" customHeight="1">
      <c r="B559" s="284"/>
      <c r="C559" s="311"/>
      <c r="D559" s="312"/>
      <c r="E559" s="289"/>
      <c r="F559" s="79">
        <v>3</v>
      </c>
      <c r="G559" s="178" t="s">
        <v>107</v>
      </c>
      <c r="H559" s="234">
        <v>24.973538308404155</v>
      </c>
      <c r="I559" s="328"/>
      <c r="J559" s="328"/>
      <c r="K559" s="328"/>
      <c r="L559" s="234">
        <v>30.042232994686348</v>
      </c>
      <c r="M559" s="328">
        <v>2.2702543529437169</v>
      </c>
      <c r="N559" s="328">
        <v>0.7724089370230538</v>
      </c>
      <c r="O559" s="328">
        <v>1.5643374393825051E-2</v>
      </c>
      <c r="P559" s="328">
        <v>0.68905822704584252</v>
      </c>
    </row>
    <row r="560" spans="2:16" ht="18" customHeight="1">
      <c r="B560" s="284"/>
      <c r="C560" s="313"/>
      <c r="D560" s="314"/>
      <c r="E560" s="288"/>
      <c r="F560" s="82">
        <v>4</v>
      </c>
      <c r="G560" s="180" t="s">
        <v>108</v>
      </c>
      <c r="H560" s="235">
        <v>5.6046997517009371</v>
      </c>
      <c r="I560" s="329"/>
      <c r="J560" s="329"/>
      <c r="K560" s="329"/>
      <c r="L560" s="235">
        <v>5.6469659860947576</v>
      </c>
      <c r="M560" s="329">
        <v>2.2702543529437169</v>
      </c>
      <c r="N560" s="329">
        <v>0.7724089370230538</v>
      </c>
      <c r="O560" s="329">
        <v>1.5643374393825051E-2</v>
      </c>
      <c r="P560" s="329">
        <v>0.68905822704584252</v>
      </c>
    </row>
    <row r="561" spans="2:16" ht="18" customHeight="1">
      <c r="B561" s="284"/>
      <c r="C561" s="309" t="s">
        <v>144</v>
      </c>
      <c r="D561" s="310"/>
      <c r="E561" s="287" t="str">
        <f>HYPERLINK("#LAYOUT_m1!lay중YINT2A08","YINT2A08")</f>
        <v>YINT2A08</v>
      </c>
      <c r="F561" s="78">
        <v>1</v>
      </c>
      <c r="G561" s="179" t="s">
        <v>105</v>
      </c>
      <c r="H561" s="233">
        <v>22.850876289303557</v>
      </c>
      <c r="I561" s="327">
        <v>2.0609543924186</v>
      </c>
      <c r="J561" s="327">
        <v>1.5298106873620487E-2</v>
      </c>
      <c r="K561" s="327">
        <v>0.74228264972266755</v>
      </c>
      <c r="L561" s="233">
        <v>21.983083153409058</v>
      </c>
      <c r="M561" s="327">
        <v>2.1276997843477101</v>
      </c>
      <c r="N561" s="327">
        <v>0.8078996274089193</v>
      </c>
      <c r="O561" s="327">
        <v>1.6362157062680748E-2</v>
      </c>
      <c r="P561" s="327">
        <v>0.76900684875977066</v>
      </c>
    </row>
    <row r="562" spans="2:16" ht="18" customHeight="1">
      <c r="B562" s="284"/>
      <c r="C562" s="311"/>
      <c r="D562" s="312"/>
      <c r="E562" s="289"/>
      <c r="F562" s="79">
        <v>2</v>
      </c>
      <c r="G562" s="178" t="s">
        <v>106</v>
      </c>
      <c r="H562" s="234">
        <v>52.785436135574813</v>
      </c>
      <c r="I562" s="328"/>
      <c r="J562" s="328"/>
      <c r="K562" s="328"/>
      <c r="L562" s="234">
        <v>48.33284902292484</v>
      </c>
      <c r="M562" s="328">
        <v>2.1276997843477101</v>
      </c>
      <c r="N562" s="328">
        <v>0.8078996274089193</v>
      </c>
      <c r="O562" s="328">
        <v>1.6362157062680748E-2</v>
      </c>
      <c r="P562" s="328">
        <v>0.76900684875977066</v>
      </c>
    </row>
    <row r="563" spans="2:16" ht="18" customHeight="1">
      <c r="B563" s="284"/>
      <c r="C563" s="311"/>
      <c r="D563" s="312"/>
      <c r="E563" s="289"/>
      <c r="F563" s="79">
        <v>3</v>
      </c>
      <c r="G563" s="178" t="s">
        <v>107</v>
      </c>
      <c r="H563" s="234">
        <v>19.781059619079912</v>
      </c>
      <c r="I563" s="328"/>
      <c r="J563" s="328"/>
      <c r="K563" s="328"/>
      <c r="L563" s="234">
        <v>24.615074059151855</v>
      </c>
      <c r="M563" s="328">
        <v>2.1276997843477101</v>
      </c>
      <c r="N563" s="328">
        <v>0.8078996274089193</v>
      </c>
      <c r="O563" s="328">
        <v>1.6362157062680748E-2</v>
      </c>
      <c r="P563" s="328">
        <v>0.76900684875977066</v>
      </c>
    </row>
    <row r="564" spans="2:16" ht="18" customHeight="1">
      <c r="B564" s="284"/>
      <c r="C564" s="313"/>
      <c r="D564" s="314"/>
      <c r="E564" s="288"/>
      <c r="F564" s="82">
        <v>4</v>
      </c>
      <c r="G564" s="180" t="s">
        <v>108</v>
      </c>
      <c r="H564" s="235">
        <v>4.5826279560417289</v>
      </c>
      <c r="I564" s="329"/>
      <c r="J564" s="329"/>
      <c r="K564" s="329"/>
      <c r="L564" s="235">
        <v>5.0689937645142384</v>
      </c>
      <c r="M564" s="329">
        <v>2.1276997843477101</v>
      </c>
      <c r="N564" s="329">
        <v>0.8078996274089193</v>
      </c>
      <c r="O564" s="329">
        <v>1.6362157062680748E-2</v>
      </c>
      <c r="P564" s="329">
        <v>0.76900684875977066</v>
      </c>
    </row>
    <row r="565" spans="2:16" ht="18" customHeight="1">
      <c r="B565" s="284"/>
      <c r="C565" s="309" t="s">
        <v>145</v>
      </c>
      <c r="D565" s="310"/>
      <c r="E565" s="287" t="str">
        <f>HYPERLINK("#LAYOUT_m1!lay중YINT2A09","YINT2A09")</f>
        <v>YINT2A09</v>
      </c>
      <c r="F565" s="78">
        <v>1</v>
      </c>
      <c r="G565" s="179" t="s">
        <v>105</v>
      </c>
      <c r="H565" s="233">
        <v>11.942329315357014</v>
      </c>
      <c r="I565" s="327">
        <v>2.5152297709336584</v>
      </c>
      <c r="J565" s="327">
        <v>1.6364163832379743E-2</v>
      </c>
      <c r="K565" s="327">
        <v>0.65060313858742735</v>
      </c>
      <c r="L565" s="233">
        <v>10.461434659985438</v>
      </c>
      <c r="M565" s="327">
        <v>2.4621653879570853</v>
      </c>
      <c r="N565" s="327">
        <v>0.75578261928077628</v>
      </c>
      <c r="O565" s="327">
        <v>1.530664639811392E-2</v>
      </c>
      <c r="P565" s="327">
        <v>0.62167417643760303</v>
      </c>
    </row>
    <row r="566" spans="2:16" ht="18" customHeight="1">
      <c r="B566" s="284"/>
      <c r="C566" s="311"/>
      <c r="D566" s="312"/>
      <c r="E566" s="289"/>
      <c r="F566" s="79">
        <v>2</v>
      </c>
      <c r="G566" s="178" t="s">
        <v>106</v>
      </c>
      <c r="H566" s="234">
        <v>34.826511566120196</v>
      </c>
      <c r="I566" s="328"/>
      <c r="J566" s="328"/>
      <c r="K566" s="328"/>
      <c r="L566" s="234">
        <v>38.519383826903116</v>
      </c>
      <c r="M566" s="328">
        <v>2.4621653879570853</v>
      </c>
      <c r="N566" s="328">
        <v>0.75578261928077628</v>
      </c>
      <c r="O566" s="328">
        <v>1.530664639811392E-2</v>
      </c>
      <c r="P566" s="328">
        <v>0.62167417643760303</v>
      </c>
    </row>
    <row r="567" spans="2:16" ht="18" customHeight="1">
      <c r="B567" s="284"/>
      <c r="C567" s="311"/>
      <c r="D567" s="312"/>
      <c r="E567" s="289"/>
      <c r="F567" s="79">
        <v>3</v>
      </c>
      <c r="G567" s="178" t="s">
        <v>107</v>
      </c>
      <c r="H567" s="234">
        <v>42.997011828322975</v>
      </c>
      <c r="I567" s="328"/>
      <c r="J567" s="328"/>
      <c r="K567" s="328"/>
      <c r="L567" s="234">
        <v>45.360389570527516</v>
      </c>
      <c r="M567" s="328">
        <v>2.4621653879570853</v>
      </c>
      <c r="N567" s="328">
        <v>0.75578261928077628</v>
      </c>
      <c r="O567" s="328">
        <v>1.530664639811392E-2</v>
      </c>
      <c r="P567" s="328">
        <v>0.62167417643760303</v>
      </c>
    </row>
    <row r="568" spans="2:16" ht="18" customHeight="1">
      <c r="B568" s="284"/>
      <c r="C568" s="313"/>
      <c r="D568" s="314"/>
      <c r="E568" s="288"/>
      <c r="F568" s="82">
        <v>4</v>
      </c>
      <c r="G568" s="180" t="s">
        <v>108</v>
      </c>
      <c r="H568" s="235">
        <v>10.234147290199825</v>
      </c>
      <c r="I568" s="329"/>
      <c r="J568" s="329"/>
      <c r="K568" s="329"/>
      <c r="L568" s="235">
        <v>5.6587919425839504</v>
      </c>
      <c r="M568" s="329">
        <v>2.4621653879570853</v>
      </c>
      <c r="N568" s="329">
        <v>0.75578261928077628</v>
      </c>
      <c r="O568" s="329">
        <v>1.530664639811392E-2</v>
      </c>
      <c r="P568" s="329">
        <v>0.62167417643760303</v>
      </c>
    </row>
    <row r="569" spans="2:16" ht="18" customHeight="1">
      <c r="B569" s="284"/>
      <c r="C569" s="309" t="s">
        <v>146</v>
      </c>
      <c r="D569" s="310"/>
      <c r="E569" s="287" t="str">
        <f>HYPERLINK("#LAYOUT_m1!lay중YINT2A10","YINT2A10")</f>
        <v>YINT2A10</v>
      </c>
      <c r="F569" s="78">
        <v>1</v>
      </c>
      <c r="G569" s="179" t="s">
        <v>105</v>
      </c>
      <c r="H569" s="233">
        <v>16.91738230272329</v>
      </c>
      <c r="I569" s="327">
        <v>2.2413751160717252</v>
      </c>
      <c r="J569" s="327">
        <v>1.5872755397437887E-2</v>
      </c>
      <c r="K569" s="327">
        <v>0.7081704121555864</v>
      </c>
      <c r="L569" s="233">
        <v>15.986049312541677</v>
      </c>
      <c r="M569" s="327">
        <v>2.2172807744220577</v>
      </c>
      <c r="N569" s="327">
        <v>0.7600686965330975</v>
      </c>
      <c r="O569" s="327">
        <v>1.5393451078802012E-2</v>
      </c>
      <c r="P569" s="327">
        <v>0.69424906653124996</v>
      </c>
    </row>
    <row r="570" spans="2:16" ht="18" customHeight="1">
      <c r="B570" s="284"/>
      <c r="C570" s="311"/>
      <c r="D570" s="312"/>
      <c r="E570" s="289"/>
      <c r="F570" s="79">
        <v>2</v>
      </c>
      <c r="G570" s="178" t="s">
        <v>106</v>
      </c>
      <c r="H570" s="234">
        <v>48.568880921750157</v>
      </c>
      <c r="I570" s="328"/>
      <c r="J570" s="328"/>
      <c r="K570" s="328"/>
      <c r="L570" s="234">
        <v>50.683655901408677</v>
      </c>
      <c r="M570" s="328">
        <v>2.2172807744220577</v>
      </c>
      <c r="N570" s="328">
        <v>0.7600686965330975</v>
      </c>
      <c r="O570" s="328">
        <v>1.5393451078802012E-2</v>
      </c>
      <c r="P570" s="328">
        <v>0.69424906653124996</v>
      </c>
    </row>
    <row r="571" spans="2:16" ht="18" customHeight="1">
      <c r="B571" s="284"/>
      <c r="C571" s="311"/>
      <c r="D571" s="312"/>
      <c r="E571" s="289"/>
      <c r="F571" s="79">
        <v>3</v>
      </c>
      <c r="G571" s="178" t="s">
        <v>107</v>
      </c>
      <c r="H571" s="234">
        <v>27.972579641157115</v>
      </c>
      <c r="I571" s="328"/>
      <c r="J571" s="328"/>
      <c r="K571" s="328"/>
      <c r="L571" s="234">
        <v>28.946462817351758</v>
      </c>
      <c r="M571" s="328">
        <v>2.2172807744220577</v>
      </c>
      <c r="N571" s="328">
        <v>0.7600686965330975</v>
      </c>
      <c r="O571" s="328">
        <v>1.5393451078802012E-2</v>
      </c>
      <c r="P571" s="328">
        <v>0.69424906653124996</v>
      </c>
    </row>
    <row r="572" spans="2:16" ht="18" customHeight="1">
      <c r="B572" s="284"/>
      <c r="C572" s="313"/>
      <c r="D572" s="314"/>
      <c r="E572" s="288"/>
      <c r="F572" s="82">
        <v>4</v>
      </c>
      <c r="G572" s="180" t="s">
        <v>108</v>
      </c>
      <c r="H572" s="235">
        <v>6.5411571343694384</v>
      </c>
      <c r="I572" s="329"/>
      <c r="J572" s="329"/>
      <c r="K572" s="329"/>
      <c r="L572" s="235">
        <v>4.3838319686978826</v>
      </c>
      <c r="M572" s="329">
        <v>2.2172807744220577</v>
      </c>
      <c r="N572" s="329">
        <v>0.7600686965330975</v>
      </c>
      <c r="O572" s="329">
        <v>1.5393451078802012E-2</v>
      </c>
      <c r="P572" s="329">
        <v>0.69424906653124996</v>
      </c>
    </row>
    <row r="573" spans="2:16" ht="18" customHeight="1">
      <c r="B573" s="284"/>
      <c r="C573" s="309" t="s">
        <v>147</v>
      </c>
      <c r="D573" s="310"/>
      <c r="E573" s="287" t="str">
        <f>HYPERLINK("#LAYOUT_m1!lay중YINT2A11","YINT2A11")</f>
        <v>YINT2A11</v>
      </c>
      <c r="F573" s="78">
        <v>1</v>
      </c>
      <c r="G573" s="179" t="s">
        <v>105</v>
      </c>
      <c r="H573" s="233">
        <v>14.204937077660279</v>
      </c>
      <c r="I573" s="327">
        <v>2.4200221655728607</v>
      </c>
      <c r="J573" s="327">
        <v>1.6661069166608956E-2</v>
      </c>
      <c r="K573" s="327">
        <v>0.68846762660394889</v>
      </c>
      <c r="L573" s="233">
        <v>11.793458472802863</v>
      </c>
      <c r="M573" s="327">
        <v>2.3858092160965496</v>
      </c>
      <c r="N573" s="327">
        <v>0.76883412307726273</v>
      </c>
      <c r="O573" s="327">
        <v>1.5570974722793529E-2</v>
      </c>
      <c r="P573" s="327">
        <v>0.6526496174857348</v>
      </c>
    </row>
    <row r="574" spans="2:16" ht="18" customHeight="1">
      <c r="B574" s="284"/>
      <c r="C574" s="311"/>
      <c r="D574" s="312"/>
      <c r="E574" s="289"/>
      <c r="F574" s="79">
        <v>2</v>
      </c>
      <c r="G574" s="178" t="s">
        <v>106</v>
      </c>
      <c r="H574" s="234">
        <v>39.136979086227775</v>
      </c>
      <c r="I574" s="328"/>
      <c r="J574" s="328"/>
      <c r="K574" s="328"/>
      <c r="L574" s="234">
        <v>43.733852406067207</v>
      </c>
      <c r="M574" s="328">
        <v>2.3858092160965496</v>
      </c>
      <c r="N574" s="328">
        <v>0.76883412307726273</v>
      </c>
      <c r="O574" s="328">
        <v>1.5570974722793529E-2</v>
      </c>
      <c r="P574" s="328">
        <v>0.6526496174857348</v>
      </c>
    </row>
    <row r="575" spans="2:16" ht="18" customHeight="1">
      <c r="B575" s="284"/>
      <c r="C575" s="311"/>
      <c r="D575" s="312"/>
      <c r="E575" s="289"/>
      <c r="F575" s="79">
        <v>3</v>
      </c>
      <c r="G575" s="178" t="s">
        <v>107</v>
      </c>
      <c r="H575" s="234">
        <v>37.109014037277113</v>
      </c>
      <c r="I575" s="328"/>
      <c r="J575" s="328"/>
      <c r="K575" s="328"/>
      <c r="L575" s="234">
        <v>38.570998159800709</v>
      </c>
      <c r="M575" s="328">
        <v>2.3858092160965496</v>
      </c>
      <c r="N575" s="328">
        <v>0.76883412307726273</v>
      </c>
      <c r="O575" s="328">
        <v>1.5570974722793529E-2</v>
      </c>
      <c r="P575" s="328">
        <v>0.6526496174857348</v>
      </c>
    </row>
    <row r="576" spans="2:16" ht="18" customHeight="1">
      <c r="B576" s="284"/>
      <c r="C576" s="313"/>
      <c r="D576" s="314"/>
      <c r="E576" s="288"/>
      <c r="F576" s="82">
        <v>4</v>
      </c>
      <c r="G576" s="180" t="s">
        <v>108</v>
      </c>
      <c r="H576" s="235">
        <v>9.5490697988348145</v>
      </c>
      <c r="I576" s="329"/>
      <c r="J576" s="329"/>
      <c r="K576" s="329"/>
      <c r="L576" s="235">
        <v>5.9016909613291997</v>
      </c>
      <c r="M576" s="329">
        <v>2.3858092160965496</v>
      </c>
      <c r="N576" s="329">
        <v>0.76883412307726273</v>
      </c>
      <c r="O576" s="329">
        <v>1.5570974722793529E-2</v>
      </c>
      <c r="P576" s="329">
        <v>0.6526496174857348</v>
      </c>
    </row>
    <row r="577" spans="2:16" ht="18" customHeight="1">
      <c r="B577" s="284"/>
      <c r="C577" s="309" t="s">
        <v>148</v>
      </c>
      <c r="D577" s="310"/>
      <c r="E577" s="287" t="str">
        <f>HYPERLINK("#LAYOUT_m1!lay중YINT2A12","YINT2A12")</f>
        <v>YINT2A12</v>
      </c>
      <c r="F577" s="78">
        <v>1</v>
      </c>
      <c r="G577" s="179" t="s">
        <v>105</v>
      </c>
      <c r="H577" s="233">
        <v>9.745276041505587</v>
      </c>
      <c r="I577" s="327">
        <v>2.5833386145244064</v>
      </c>
      <c r="J577" s="327">
        <v>1.594030165840939E-2</v>
      </c>
      <c r="K577" s="327">
        <v>0.61704267372413368</v>
      </c>
      <c r="L577" s="233">
        <v>8.2007513890657275</v>
      </c>
      <c r="M577" s="327">
        <v>2.5619729173397032</v>
      </c>
      <c r="N577" s="327">
        <v>0.763377031034702</v>
      </c>
      <c r="O577" s="327">
        <v>1.5460453818863603E-2</v>
      </c>
      <c r="P577" s="327">
        <v>0.60345890911748623</v>
      </c>
    </row>
    <row r="578" spans="2:16" ht="18" customHeight="1">
      <c r="B578" s="284"/>
      <c r="C578" s="311"/>
      <c r="D578" s="312"/>
      <c r="E578" s="289"/>
      <c r="F578" s="79">
        <v>2</v>
      </c>
      <c r="G578" s="178" t="s">
        <v>106</v>
      </c>
      <c r="H578" s="234">
        <v>33.169943592198102</v>
      </c>
      <c r="I578" s="328"/>
      <c r="J578" s="328"/>
      <c r="K578" s="328"/>
      <c r="L578" s="234">
        <v>36.017759516964553</v>
      </c>
      <c r="M578" s="328">
        <v>2.5619729173397032</v>
      </c>
      <c r="N578" s="328">
        <v>0.763377031034702</v>
      </c>
      <c r="O578" s="328">
        <v>1.5460453818863603E-2</v>
      </c>
      <c r="P578" s="328">
        <v>0.60345890911748623</v>
      </c>
    </row>
    <row r="579" spans="2:16" ht="18" customHeight="1">
      <c r="B579" s="284"/>
      <c r="C579" s="311"/>
      <c r="D579" s="312"/>
      <c r="E579" s="289"/>
      <c r="F579" s="79">
        <v>3</v>
      </c>
      <c r="G579" s="178" t="s">
        <v>107</v>
      </c>
      <c r="H579" s="234">
        <v>46.090423238646608</v>
      </c>
      <c r="I579" s="328"/>
      <c r="J579" s="328"/>
      <c r="K579" s="328"/>
      <c r="L579" s="234">
        <v>47.164935064902309</v>
      </c>
      <c r="M579" s="328">
        <v>2.5619729173397032</v>
      </c>
      <c r="N579" s="328">
        <v>0.763377031034702</v>
      </c>
      <c r="O579" s="328">
        <v>1.5460453818863603E-2</v>
      </c>
      <c r="P579" s="328">
        <v>0.60345890911748623</v>
      </c>
    </row>
    <row r="580" spans="2:16" ht="18" customHeight="1">
      <c r="B580" s="284"/>
      <c r="C580" s="313"/>
      <c r="D580" s="314"/>
      <c r="E580" s="288"/>
      <c r="F580" s="82">
        <v>4</v>
      </c>
      <c r="G580" s="180" t="s">
        <v>108</v>
      </c>
      <c r="H580" s="235">
        <v>10.994357127649703</v>
      </c>
      <c r="I580" s="329"/>
      <c r="J580" s="329"/>
      <c r="K580" s="329"/>
      <c r="L580" s="235">
        <v>8.6165540290674105</v>
      </c>
      <c r="M580" s="329">
        <v>2.5619729173397032</v>
      </c>
      <c r="N580" s="329">
        <v>0.763377031034702</v>
      </c>
      <c r="O580" s="329">
        <v>1.5460453818863603E-2</v>
      </c>
      <c r="P580" s="329">
        <v>0.60345890911748623</v>
      </c>
    </row>
    <row r="581" spans="2:16" ht="18" customHeight="1">
      <c r="B581" s="284"/>
      <c r="C581" s="309" t="s">
        <v>149</v>
      </c>
      <c r="D581" s="310"/>
      <c r="E581" s="287" t="str">
        <f>HYPERLINK("#LAYOUT_m1!lay중YINT2A13","YINT2A13")</f>
        <v>YINT2A13</v>
      </c>
      <c r="F581" s="78">
        <v>1</v>
      </c>
      <c r="G581" s="179" t="s">
        <v>105</v>
      </c>
      <c r="H581" s="233">
        <v>15.524277174770688</v>
      </c>
      <c r="I581" s="327">
        <v>2.1821090864773502</v>
      </c>
      <c r="J581" s="327">
        <v>1.475449774847175E-2</v>
      </c>
      <c r="K581" s="327">
        <v>0.67615766049031156</v>
      </c>
      <c r="L581" s="233">
        <v>12.6833134874752</v>
      </c>
      <c r="M581" s="327">
        <v>2.2390784692145829</v>
      </c>
      <c r="N581" s="327">
        <v>0.71825899199973142</v>
      </c>
      <c r="O581" s="327">
        <v>1.4546691247369454E-2</v>
      </c>
      <c r="P581" s="327">
        <v>0.64967313327219356</v>
      </c>
    </row>
    <row r="582" spans="2:16" ht="18" customHeight="1">
      <c r="B582" s="284"/>
      <c r="C582" s="311"/>
      <c r="D582" s="312"/>
      <c r="E582" s="289"/>
      <c r="F582" s="79">
        <v>2</v>
      </c>
      <c r="G582" s="178" t="s">
        <v>106</v>
      </c>
      <c r="H582" s="234">
        <v>55.949635606126115</v>
      </c>
      <c r="I582" s="328"/>
      <c r="J582" s="328"/>
      <c r="K582" s="328"/>
      <c r="L582" s="234">
        <v>54.730433545596682</v>
      </c>
      <c r="M582" s="328">
        <v>2.2390784692145829</v>
      </c>
      <c r="N582" s="328">
        <v>0.71825899199973142</v>
      </c>
      <c r="O582" s="328">
        <v>1.4546691247369454E-2</v>
      </c>
      <c r="P582" s="328">
        <v>0.64967313327219356</v>
      </c>
    </row>
    <row r="583" spans="2:16" ht="18" customHeight="1">
      <c r="B583" s="284"/>
      <c r="C583" s="311"/>
      <c r="D583" s="312"/>
      <c r="E583" s="289"/>
      <c r="F583" s="79">
        <v>3</v>
      </c>
      <c r="G583" s="178" t="s">
        <v>107</v>
      </c>
      <c r="H583" s="234">
        <v>23.316988615700645</v>
      </c>
      <c r="I583" s="328"/>
      <c r="J583" s="328"/>
      <c r="K583" s="328"/>
      <c r="L583" s="234">
        <v>28.581345524922241</v>
      </c>
      <c r="M583" s="328">
        <v>2.2390784692145829</v>
      </c>
      <c r="N583" s="328">
        <v>0.71825899199973142</v>
      </c>
      <c r="O583" s="328">
        <v>1.4546691247369454E-2</v>
      </c>
      <c r="P583" s="328">
        <v>0.64967313327219356</v>
      </c>
    </row>
    <row r="584" spans="2:16" ht="18" customHeight="1">
      <c r="B584" s="284"/>
      <c r="C584" s="313"/>
      <c r="D584" s="314"/>
      <c r="E584" s="288"/>
      <c r="F584" s="82">
        <v>4</v>
      </c>
      <c r="G584" s="180" t="s">
        <v>108</v>
      </c>
      <c r="H584" s="235">
        <v>5.209098603402551</v>
      </c>
      <c r="I584" s="329"/>
      <c r="J584" s="329"/>
      <c r="K584" s="329"/>
      <c r="L584" s="235">
        <v>4.0049074420059023</v>
      </c>
      <c r="M584" s="329">
        <v>2.2390784692145829</v>
      </c>
      <c r="N584" s="329">
        <v>0.71825899199973142</v>
      </c>
      <c r="O584" s="329">
        <v>1.4546691247369454E-2</v>
      </c>
      <c r="P584" s="329">
        <v>0.64967313327219356</v>
      </c>
    </row>
    <row r="585" spans="2:16" ht="18" customHeight="1">
      <c r="B585" s="284"/>
      <c r="C585" s="309" t="s">
        <v>150</v>
      </c>
      <c r="D585" s="310"/>
      <c r="E585" s="287" t="str">
        <f>HYPERLINK("#LAYOUT_m1!lay중YINT2A14","YINT2A14")</f>
        <v>YINT2A14</v>
      </c>
      <c r="F585" s="78">
        <v>1</v>
      </c>
      <c r="G585" s="179" t="s">
        <v>105</v>
      </c>
      <c r="H585" s="233">
        <v>16.62619087889594</v>
      </c>
      <c r="I585" s="327">
        <v>2.1820400780104312</v>
      </c>
      <c r="J585" s="327">
        <v>1.5074573195462151E-2</v>
      </c>
      <c r="K585" s="327">
        <v>0.69084767724372109</v>
      </c>
      <c r="L585" s="233">
        <v>14.609063680613172</v>
      </c>
      <c r="M585" s="327">
        <v>2.2500328392737652</v>
      </c>
      <c r="N585" s="327">
        <v>0.7506089739002314</v>
      </c>
      <c r="O585" s="327">
        <v>1.5201866057300317E-2</v>
      </c>
      <c r="P585" s="327">
        <v>0.67562863047843191</v>
      </c>
    </row>
    <row r="586" spans="2:16" ht="18" customHeight="1">
      <c r="B586" s="284"/>
      <c r="C586" s="311"/>
      <c r="D586" s="312"/>
      <c r="E586" s="289"/>
      <c r="F586" s="79">
        <v>2</v>
      </c>
      <c r="G586" s="178" t="s">
        <v>106</v>
      </c>
      <c r="H586" s="234">
        <v>53.88892005878035</v>
      </c>
      <c r="I586" s="328"/>
      <c r="J586" s="328"/>
      <c r="K586" s="328"/>
      <c r="L586" s="234">
        <v>49.952840851256511</v>
      </c>
      <c r="M586" s="328">
        <v>2.2500328392737652</v>
      </c>
      <c r="N586" s="328">
        <v>0.7506089739002314</v>
      </c>
      <c r="O586" s="328">
        <v>1.5201866057300317E-2</v>
      </c>
      <c r="P586" s="328">
        <v>0.67562863047843191</v>
      </c>
    </row>
    <row r="587" spans="2:16" ht="18" customHeight="1">
      <c r="B587" s="284"/>
      <c r="C587" s="311"/>
      <c r="D587" s="312"/>
      <c r="E587" s="289"/>
      <c r="F587" s="79">
        <v>3</v>
      </c>
      <c r="G587" s="178" t="s">
        <v>107</v>
      </c>
      <c r="H587" s="234">
        <v>24.139579444708282</v>
      </c>
      <c r="I587" s="328"/>
      <c r="J587" s="328"/>
      <c r="K587" s="328"/>
      <c r="L587" s="234">
        <v>31.263843328270401</v>
      </c>
      <c r="M587" s="328">
        <v>2.2500328392737652</v>
      </c>
      <c r="N587" s="328">
        <v>0.7506089739002314</v>
      </c>
      <c r="O587" s="328">
        <v>1.5201866057300317E-2</v>
      </c>
      <c r="P587" s="328">
        <v>0.67562863047843191</v>
      </c>
    </row>
    <row r="588" spans="2:16" ht="18" customHeight="1">
      <c r="B588" s="284"/>
      <c r="C588" s="313"/>
      <c r="D588" s="314"/>
      <c r="E588" s="288"/>
      <c r="F588" s="82">
        <v>4</v>
      </c>
      <c r="G588" s="180" t="s">
        <v>108</v>
      </c>
      <c r="H588" s="235">
        <v>5.3453096176154338</v>
      </c>
      <c r="I588" s="329"/>
      <c r="J588" s="329"/>
      <c r="K588" s="329"/>
      <c r="L588" s="235">
        <v>4.1742521398599255</v>
      </c>
      <c r="M588" s="329">
        <v>2.2500328392737652</v>
      </c>
      <c r="N588" s="329">
        <v>0.7506089739002314</v>
      </c>
      <c r="O588" s="329">
        <v>1.5201866057300317E-2</v>
      </c>
      <c r="P588" s="329">
        <v>0.67562863047843191</v>
      </c>
    </row>
    <row r="589" spans="2:16" ht="18" customHeight="1">
      <c r="B589" s="284"/>
      <c r="C589" s="309" t="s">
        <v>151</v>
      </c>
      <c r="D589" s="310"/>
      <c r="E589" s="287" t="str">
        <f>HYPERLINK("#LAYOUT_m1!lay중YINT2A15","YINT2A15")</f>
        <v>YINT2A15</v>
      </c>
      <c r="F589" s="78">
        <v>1</v>
      </c>
      <c r="G589" s="179" t="s">
        <v>105</v>
      </c>
      <c r="H589" s="233">
        <v>7.3668603509424875</v>
      </c>
      <c r="I589" s="327">
        <v>2.8487620448727995</v>
      </c>
      <c r="J589" s="327">
        <v>1.5807812653162129E-2</v>
      </c>
      <c r="K589" s="327">
        <v>0.55490112561745986</v>
      </c>
      <c r="L589" s="233">
        <v>5.9920931015483978</v>
      </c>
      <c r="M589" s="327">
        <v>2.7855849136783326</v>
      </c>
      <c r="N589" s="327">
        <v>0.73304859064651673</v>
      </c>
      <c r="O589" s="327">
        <v>1.4846220703434202E-2</v>
      </c>
      <c r="P589" s="327">
        <v>0.53296600762494561</v>
      </c>
    </row>
    <row r="590" spans="2:16" ht="18" customHeight="1">
      <c r="B590" s="284"/>
      <c r="C590" s="311"/>
      <c r="D590" s="312"/>
      <c r="E590" s="289"/>
      <c r="F590" s="79">
        <v>2</v>
      </c>
      <c r="G590" s="178" t="s">
        <v>106</v>
      </c>
      <c r="H590" s="234">
        <v>18.952827153674725</v>
      </c>
      <c r="I590" s="328"/>
      <c r="J590" s="328"/>
      <c r="K590" s="328"/>
      <c r="L590" s="234">
        <v>21.900157772537327</v>
      </c>
      <c r="M590" s="328">
        <v>2.7855849136783326</v>
      </c>
      <c r="N590" s="328">
        <v>0.73304859064651673</v>
      </c>
      <c r="O590" s="328">
        <v>1.4846220703434202E-2</v>
      </c>
      <c r="P590" s="328">
        <v>0.53296600762494561</v>
      </c>
    </row>
    <row r="591" spans="2:16" ht="18" customHeight="1">
      <c r="B591" s="284"/>
      <c r="C591" s="311"/>
      <c r="D591" s="312"/>
      <c r="E591" s="289"/>
      <c r="F591" s="79">
        <v>3</v>
      </c>
      <c r="G591" s="178" t="s">
        <v>107</v>
      </c>
      <c r="H591" s="234">
        <v>55.117560152544243</v>
      </c>
      <c r="I591" s="328"/>
      <c r="J591" s="328"/>
      <c r="K591" s="328"/>
      <c r="L591" s="234">
        <v>59.664913782446</v>
      </c>
      <c r="M591" s="328">
        <v>2.7855849136783326</v>
      </c>
      <c r="N591" s="328">
        <v>0.73304859064651673</v>
      </c>
      <c r="O591" s="328">
        <v>1.4846220703434202E-2</v>
      </c>
      <c r="P591" s="328">
        <v>0.53296600762494561</v>
      </c>
    </row>
    <row r="592" spans="2:16" ht="18" customHeight="1">
      <c r="B592" s="284"/>
      <c r="C592" s="313"/>
      <c r="D592" s="314"/>
      <c r="E592" s="288"/>
      <c r="F592" s="82">
        <v>4</v>
      </c>
      <c r="G592" s="180" t="s">
        <v>108</v>
      </c>
      <c r="H592" s="235">
        <v>18.562752342838536</v>
      </c>
      <c r="I592" s="329"/>
      <c r="J592" s="329"/>
      <c r="K592" s="329"/>
      <c r="L592" s="235">
        <v>12.442835343468266</v>
      </c>
      <c r="M592" s="329">
        <v>2.7855849136783326</v>
      </c>
      <c r="N592" s="329">
        <v>0.73304859064651673</v>
      </c>
      <c r="O592" s="329">
        <v>1.4846220703434202E-2</v>
      </c>
      <c r="P592" s="329">
        <v>0.53296600762494561</v>
      </c>
    </row>
    <row r="593" spans="2:16" ht="18" customHeight="1">
      <c r="B593" s="284"/>
      <c r="C593" s="309" t="s">
        <v>152</v>
      </c>
      <c r="D593" s="310"/>
      <c r="E593" s="287" t="str">
        <f>HYPERLINK("#LAYOUT_m1!lay중YINT2A16","YINT2A16")</f>
        <v>YINT2A16</v>
      </c>
      <c r="F593" s="78">
        <v>1</v>
      </c>
      <c r="G593" s="179" t="s">
        <v>105</v>
      </c>
      <c r="H593" s="233">
        <v>13.277356982492758</v>
      </c>
      <c r="I593" s="327">
        <v>2.4198114784726656</v>
      </c>
      <c r="J593" s="327">
        <v>1.6591148582927952E-2</v>
      </c>
      <c r="K593" s="327">
        <v>0.68563806439169139</v>
      </c>
      <c r="L593" s="233">
        <v>10.53365783723021</v>
      </c>
      <c r="M593" s="327">
        <v>2.4786884188354961</v>
      </c>
      <c r="N593" s="327">
        <v>0.79393264331774827</v>
      </c>
      <c r="O593" s="327">
        <v>1.607928778085593E-2</v>
      </c>
      <c r="P593" s="327">
        <v>0.64870145269852353</v>
      </c>
    </row>
    <row r="594" spans="2:16" ht="18" customHeight="1">
      <c r="B594" s="284"/>
      <c r="C594" s="311"/>
      <c r="D594" s="312"/>
      <c r="E594" s="289"/>
      <c r="F594" s="79">
        <v>2</v>
      </c>
      <c r="G594" s="178" t="s">
        <v>106</v>
      </c>
      <c r="H594" s="234">
        <v>41.641502207379339</v>
      </c>
      <c r="I594" s="328"/>
      <c r="J594" s="328"/>
      <c r="K594" s="328"/>
      <c r="L594" s="234">
        <v>39.556418710843843</v>
      </c>
      <c r="M594" s="328">
        <v>2.4786884188354961</v>
      </c>
      <c r="N594" s="328">
        <v>0.79393264331774827</v>
      </c>
      <c r="O594" s="328">
        <v>1.607928778085593E-2</v>
      </c>
      <c r="P594" s="328">
        <v>0.64870145269852353</v>
      </c>
    </row>
    <row r="595" spans="2:16" ht="18" customHeight="1">
      <c r="B595" s="284"/>
      <c r="C595" s="311"/>
      <c r="D595" s="312"/>
      <c r="E595" s="289"/>
      <c r="F595" s="79">
        <v>3</v>
      </c>
      <c r="G595" s="178" t="s">
        <v>107</v>
      </c>
      <c r="H595" s="234">
        <v>34.903776790496359</v>
      </c>
      <c r="I595" s="328"/>
      <c r="J595" s="328"/>
      <c r="K595" s="328"/>
      <c r="L595" s="234">
        <v>41.417347183071548</v>
      </c>
      <c r="M595" s="328">
        <v>2.4786884188354961</v>
      </c>
      <c r="N595" s="328">
        <v>0.79393264331774827</v>
      </c>
      <c r="O595" s="328">
        <v>1.607928778085593E-2</v>
      </c>
      <c r="P595" s="328">
        <v>0.64870145269852353</v>
      </c>
    </row>
    <row r="596" spans="2:16" ht="18" customHeight="1">
      <c r="B596" s="286"/>
      <c r="C596" s="313"/>
      <c r="D596" s="314"/>
      <c r="E596" s="288"/>
      <c r="F596" s="82">
        <v>4</v>
      </c>
      <c r="G596" s="180" t="s">
        <v>108</v>
      </c>
      <c r="H596" s="235">
        <v>10.177364019631556</v>
      </c>
      <c r="I596" s="329"/>
      <c r="J596" s="329"/>
      <c r="K596" s="329"/>
      <c r="L596" s="235">
        <v>8.4925762688544104</v>
      </c>
      <c r="M596" s="329">
        <v>2.4786884188354961</v>
      </c>
      <c r="N596" s="329">
        <v>0.79393264331774827</v>
      </c>
      <c r="O596" s="329">
        <v>1.607928778085593E-2</v>
      </c>
      <c r="P596" s="329">
        <v>0.64870145269852353</v>
      </c>
    </row>
    <row r="597" spans="2:16" ht="18" customHeight="1">
      <c r="B597" s="282" t="s">
        <v>136</v>
      </c>
      <c r="C597" s="309" t="s">
        <v>358</v>
      </c>
      <c r="D597" s="310"/>
      <c r="E597" s="287" t="str">
        <f>HYPERLINK("#LAYOUT_m1!lay중YINT2B01","YINT2B01")</f>
        <v>YINT2B01</v>
      </c>
      <c r="F597" s="78">
        <v>1</v>
      </c>
      <c r="G597" s="179" t="s">
        <v>105</v>
      </c>
      <c r="H597" s="233">
        <v>27.095834793287004</v>
      </c>
      <c r="I597" s="327">
        <v>1.9717510040569031</v>
      </c>
      <c r="J597" s="327">
        <v>1.4663981339524314E-2</v>
      </c>
      <c r="K597" s="327">
        <v>0.74370350563296195</v>
      </c>
      <c r="L597" s="233">
        <v>18.92212784642917</v>
      </c>
      <c r="M597" s="327">
        <v>2.0910566409495512</v>
      </c>
      <c r="N597" s="327">
        <v>0.7114021925053271</v>
      </c>
      <c r="O597" s="327">
        <v>1.4407822473986573E-2</v>
      </c>
      <c r="P597" s="327">
        <v>0.68902114805670511</v>
      </c>
    </row>
    <row r="598" spans="2:16" ht="18" customHeight="1">
      <c r="B598" s="284"/>
      <c r="C598" s="311"/>
      <c r="D598" s="312"/>
      <c r="E598" s="289"/>
      <c r="F598" s="79">
        <v>2</v>
      </c>
      <c r="G598" s="178" t="s">
        <v>106</v>
      </c>
      <c r="H598" s="234">
        <v>50.825682842763612</v>
      </c>
      <c r="I598" s="328"/>
      <c r="J598" s="328"/>
      <c r="K598" s="328"/>
      <c r="L598" s="234">
        <v>55.283960618976479</v>
      </c>
      <c r="M598" s="328">
        <v>2.0910566409495512</v>
      </c>
      <c r="N598" s="328">
        <v>0.7114021925053271</v>
      </c>
      <c r="O598" s="328">
        <v>1.4407822473986573E-2</v>
      </c>
      <c r="P598" s="328">
        <v>0.68902114805670511</v>
      </c>
    </row>
    <row r="599" spans="2:16" ht="18" customHeight="1">
      <c r="B599" s="284"/>
      <c r="C599" s="311"/>
      <c r="D599" s="312"/>
      <c r="E599" s="289"/>
      <c r="F599" s="79">
        <v>3</v>
      </c>
      <c r="G599" s="178" t="s">
        <v>107</v>
      </c>
      <c r="H599" s="234">
        <v>19.886029528921529</v>
      </c>
      <c r="I599" s="328"/>
      <c r="J599" s="328"/>
      <c r="K599" s="328"/>
      <c r="L599" s="234">
        <v>23.560031127803505</v>
      </c>
      <c r="M599" s="328">
        <v>2.0910566409495512</v>
      </c>
      <c r="N599" s="328">
        <v>0.7114021925053271</v>
      </c>
      <c r="O599" s="328">
        <v>1.4407822473986573E-2</v>
      </c>
      <c r="P599" s="328">
        <v>0.68902114805670511</v>
      </c>
    </row>
    <row r="600" spans="2:16" ht="18" customHeight="1">
      <c r="B600" s="284"/>
      <c r="C600" s="313"/>
      <c r="D600" s="314"/>
      <c r="E600" s="288"/>
      <c r="F600" s="82">
        <v>4</v>
      </c>
      <c r="G600" s="180" t="s">
        <v>108</v>
      </c>
      <c r="H600" s="235">
        <v>2.1924528350278529</v>
      </c>
      <c r="I600" s="329"/>
      <c r="J600" s="329"/>
      <c r="K600" s="329"/>
      <c r="L600" s="235">
        <v>2.2338804067908593</v>
      </c>
      <c r="M600" s="329">
        <v>2.0910566409495512</v>
      </c>
      <c r="N600" s="329">
        <v>0.7114021925053271</v>
      </c>
      <c r="O600" s="329">
        <v>1.4407822473986573E-2</v>
      </c>
      <c r="P600" s="329">
        <v>0.68902114805670511</v>
      </c>
    </row>
    <row r="601" spans="2:16" ht="18" customHeight="1">
      <c r="B601" s="284"/>
      <c r="C601" s="309" t="s">
        <v>359</v>
      </c>
      <c r="D601" s="310"/>
      <c r="E601" s="287" t="str">
        <f>HYPERLINK("#LAYOUT_m1!lay중YINT2B02","YINT2B02")</f>
        <v>YINT2B02</v>
      </c>
      <c r="F601" s="78">
        <v>1</v>
      </c>
      <c r="G601" s="179" t="s">
        <v>105</v>
      </c>
      <c r="H601" s="233">
        <v>39.011141237730072</v>
      </c>
      <c r="I601" s="327">
        <v>1.7312193776305635</v>
      </c>
      <c r="J601" s="327">
        <v>1.3311512659860298E-2</v>
      </c>
      <c r="K601" s="327">
        <v>0.76890963859699446</v>
      </c>
      <c r="L601" s="233">
        <v>29.008942606698746</v>
      </c>
      <c r="M601" s="327">
        <v>1.8740109050014919</v>
      </c>
      <c r="N601" s="327">
        <v>0.67731732479240381</v>
      </c>
      <c r="O601" s="327">
        <v>1.3717511524384829E-2</v>
      </c>
      <c r="P601" s="327">
        <v>0.73198675033184535</v>
      </c>
    </row>
    <row r="602" spans="2:16" ht="18" customHeight="1">
      <c r="B602" s="284"/>
      <c r="C602" s="311"/>
      <c r="D602" s="312"/>
      <c r="E602" s="289"/>
      <c r="F602" s="79">
        <v>2</v>
      </c>
      <c r="G602" s="178" t="s">
        <v>106</v>
      </c>
      <c r="H602" s="234">
        <v>49.833890795350896</v>
      </c>
      <c r="I602" s="328"/>
      <c r="J602" s="328"/>
      <c r="K602" s="328"/>
      <c r="L602" s="234">
        <v>55.593728449680412</v>
      </c>
      <c r="M602" s="328">
        <v>1.8740109050014919</v>
      </c>
      <c r="N602" s="328">
        <v>0.67731732479240381</v>
      </c>
      <c r="O602" s="328">
        <v>1.3717511524384829E-2</v>
      </c>
      <c r="P602" s="328">
        <v>0.73198675033184535</v>
      </c>
    </row>
    <row r="603" spans="2:16" ht="18" customHeight="1">
      <c r="B603" s="284"/>
      <c r="C603" s="311"/>
      <c r="D603" s="312"/>
      <c r="E603" s="289"/>
      <c r="F603" s="79">
        <v>3</v>
      </c>
      <c r="G603" s="178" t="s">
        <v>107</v>
      </c>
      <c r="H603" s="234">
        <v>10.176856933052218</v>
      </c>
      <c r="I603" s="328"/>
      <c r="J603" s="328"/>
      <c r="K603" s="328"/>
      <c r="L603" s="234">
        <v>14.384624780392496</v>
      </c>
      <c r="M603" s="328">
        <v>1.8740109050014919</v>
      </c>
      <c r="N603" s="328">
        <v>0.67731732479240381</v>
      </c>
      <c r="O603" s="328">
        <v>1.3717511524384829E-2</v>
      </c>
      <c r="P603" s="328">
        <v>0.73198675033184535</v>
      </c>
    </row>
    <row r="604" spans="2:16" ht="18" customHeight="1">
      <c r="B604" s="284"/>
      <c r="C604" s="313"/>
      <c r="D604" s="314"/>
      <c r="E604" s="288"/>
      <c r="F604" s="82">
        <v>4</v>
      </c>
      <c r="G604" s="180" t="s">
        <v>108</v>
      </c>
      <c r="H604" s="235">
        <v>0.97811103386678722</v>
      </c>
      <c r="I604" s="329"/>
      <c r="J604" s="329"/>
      <c r="K604" s="329"/>
      <c r="L604" s="235">
        <v>1.0127041632283225</v>
      </c>
      <c r="M604" s="329">
        <v>1.8740109050014919</v>
      </c>
      <c r="N604" s="329">
        <v>0.67731732479240381</v>
      </c>
      <c r="O604" s="329">
        <v>1.3717511524384829E-2</v>
      </c>
      <c r="P604" s="329">
        <v>0.73198675033184535</v>
      </c>
    </row>
    <row r="605" spans="2:16" ht="18" customHeight="1">
      <c r="B605" s="284"/>
      <c r="C605" s="309" t="s">
        <v>360</v>
      </c>
      <c r="D605" s="310"/>
      <c r="E605" s="287" t="str">
        <f>HYPERLINK("#LAYOUT_m1!lay중YINT2B03","YINT2B03")</f>
        <v>YINT2B03</v>
      </c>
      <c r="F605" s="78">
        <v>1</v>
      </c>
      <c r="G605" s="179" t="s">
        <v>105</v>
      </c>
      <c r="H605" s="233">
        <v>34.842174222141445</v>
      </c>
      <c r="I605" s="327">
        <v>1.8099080571315462</v>
      </c>
      <c r="J605" s="327">
        <v>1.3842281720906829E-2</v>
      </c>
      <c r="K605" s="327">
        <v>0.76480579587257802</v>
      </c>
      <c r="L605" s="233">
        <v>27.408546211444065</v>
      </c>
      <c r="M605" s="327">
        <v>1.9035832705532034</v>
      </c>
      <c r="N605" s="327">
        <v>0.68798793982456641</v>
      </c>
      <c r="O605" s="327">
        <v>1.3933620398789939E-2</v>
      </c>
      <c r="P605" s="327">
        <v>0.73196800026198294</v>
      </c>
    </row>
    <row r="606" spans="2:16" ht="18" customHeight="1">
      <c r="B606" s="284"/>
      <c r="C606" s="311"/>
      <c r="D606" s="312"/>
      <c r="E606" s="289"/>
      <c r="F606" s="79">
        <v>2</v>
      </c>
      <c r="G606" s="178" t="s">
        <v>106</v>
      </c>
      <c r="H606" s="234">
        <v>50.597770502561609</v>
      </c>
      <c r="I606" s="328"/>
      <c r="J606" s="328"/>
      <c r="K606" s="328"/>
      <c r="L606" s="234">
        <v>56.358343046877508</v>
      </c>
      <c r="M606" s="328">
        <v>1.9035832705532034</v>
      </c>
      <c r="N606" s="328">
        <v>0.68798793982456641</v>
      </c>
      <c r="O606" s="328">
        <v>1.3933620398789939E-2</v>
      </c>
      <c r="P606" s="328">
        <v>0.73196800026198294</v>
      </c>
    </row>
    <row r="607" spans="2:16" ht="18" customHeight="1">
      <c r="B607" s="284"/>
      <c r="C607" s="311"/>
      <c r="D607" s="312"/>
      <c r="E607" s="289"/>
      <c r="F607" s="79">
        <v>3</v>
      </c>
      <c r="G607" s="178" t="s">
        <v>107</v>
      </c>
      <c r="H607" s="234">
        <v>13.287130615298539</v>
      </c>
      <c r="I607" s="328"/>
      <c r="J607" s="328"/>
      <c r="K607" s="328"/>
      <c r="L607" s="234">
        <v>14.699348216591332</v>
      </c>
      <c r="M607" s="328">
        <v>1.9035832705532034</v>
      </c>
      <c r="N607" s="328">
        <v>0.68798793982456641</v>
      </c>
      <c r="O607" s="328">
        <v>1.3933620398789939E-2</v>
      </c>
      <c r="P607" s="328">
        <v>0.73196800026198294</v>
      </c>
    </row>
    <row r="608" spans="2:16" ht="18" customHeight="1">
      <c r="B608" s="284"/>
      <c r="C608" s="313"/>
      <c r="D608" s="314"/>
      <c r="E608" s="288"/>
      <c r="F608" s="82">
        <v>4</v>
      </c>
      <c r="G608" s="180" t="s">
        <v>108</v>
      </c>
      <c r="H608" s="235">
        <v>1.2729246599984252</v>
      </c>
      <c r="I608" s="329"/>
      <c r="J608" s="329"/>
      <c r="K608" s="329"/>
      <c r="L608" s="235">
        <v>1.5337625250870746</v>
      </c>
      <c r="M608" s="329">
        <v>1.9035832705532034</v>
      </c>
      <c r="N608" s="329">
        <v>0.68798793982456641</v>
      </c>
      <c r="O608" s="329">
        <v>1.3933620398789939E-2</v>
      </c>
      <c r="P608" s="329">
        <v>0.73196800026198294</v>
      </c>
    </row>
    <row r="609" spans="2:16" ht="18" customHeight="1">
      <c r="B609" s="284"/>
      <c r="C609" s="309" t="s">
        <v>361</v>
      </c>
      <c r="D609" s="310"/>
      <c r="E609" s="287" t="str">
        <f>HYPERLINK("#LAYOUT_m1!lay중YINT2B04","YINT2B04")</f>
        <v>YINT2B04</v>
      </c>
      <c r="F609" s="78">
        <v>1</v>
      </c>
      <c r="G609" s="179" t="s">
        <v>105</v>
      </c>
      <c r="H609" s="233">
        <v>40.79649956707231</v>
      </c>
      <c r="I609" s="327">
        <v>1.6873698465668845</v>
      </c>
      <c r="J609" s="327">
        <v>1.2792239327181376E-2</v>
      </c>
      <c r="K609" s="327">
        <v>0.75811709882148304</v>
      </c>
      <c r="L609" s="233">
        <v>32.912062180196756</v>
      </c>
      <c r="M609" s="327">
        <v>1.8138938882044486</v>
      </c>
      <c r="N609" s="327">
        <v>0.68184235757089839</v>
      </c>
      <c r="O609" s="327">
        <v>1.3809155702106465E-2</v>
      </c>
      <c r="P609" s="327">
        <v>0.76129898181508149</v>
      </c>
    </row>
    <row r="610" spans="2:16" ht="18" customHeight="1">
      <c r="B610" s="284"/>
      <c r="C610" s="311"/>
      <c r="D610" s="312"/>
      <c r="E610" s="289"/>
      <c r="F610" s="79">
        <v>2</v>
      </c>
      <c r="G610" s="178" t="s">
        <v>106</v>
      </c>
      <c r="H610" s="234">
        <v>50.575282503185797</v>
      </c>
      <c r="I610" s="328"/>
      <c r="J610" s="328"/>
      <c r="K610" s="328"/>
      <c r="L610" s="234">
        <v>54.147419860955324</v>
      </c>
      <c r="M610" s="328">
        <v>1.8138938882044486</v>
      </c>
      <c r="N610" s="328">
        <v>0.68184235757089839</v>
      </c>
      <c r="O610" s="328">
        <v>1.3809155702106465E-2</v>
      </c>
      <c r="P610" s="328">
        <v>0.76129898181508149</v>
      </c>
    </row>
    <row r="611" spans="2:16" ht="18" customHeight="1">
      <c r="B611" s="284"/>
      <c r="C611" s="311"/>
      <c r="D611" s="312"/>
      <c r="E611" s="289"/>
      <c r="F611" s="79">
        <v>3</v>
      </c>
      <c r="G611" s="178" t="s">
        <v>107</v>
      </c>
      <c r="H611" s="234">
        <v>7.7229516357239403</v>
      </c>
      <c r="I611" s="328"/>
      <c r="J611" s="328"/>
      <c r="K611" s="328"/>
      <c r="L611" s="234">
        <v>11.579584917053124</v>
      </c>
      <c r="M611" s="328">
        <v>1.8138938882044486</v>
      </c>
      <c r="N611" s="328">
        <v>0.68184235757089839</v>
      </c>
      <c r="O611" s="328">
        <v>1.3809155702106465E-2</v>
      </c>
      <c r="P611" s="328">
        <v>0.76129898181508149</v>
      </c>
    </row>
    <row r="612" spans="2:16" ht="18" customHeight="1">
      <c r="B612" s="284"/>
      <c r="C612" s="313"/>
      <c r="D612" s="314"/>
      <c r="E612" s="288"/>
      <c r="F612" s="82">
        <v>4</v>
      </c>
      <c r="G612" s="180" t="s">
        <v>108</v>
      </c>
      <c r="H612" s="235">
        <v>0.90526629401795988</v>
      </c>
      <c r="I612" s="329"/>
      <c r="J612" s="329"/>
      <c r="K612" s="329"/>
      <c r="L612" s="235">
        <v>1.3609330417947771</v>
      </c>
      <c r="M612" s="329">
        <v>1.8138938882044486</v>
      </c>
      <c r="N612" s="329">
        <v>0.68184235757089839</v>
      </c>
      <c r="O612" s="329">
        <v>1.3809155702106465E-2</v>
      </c>
      <c r="P612" s="329">
        <v>0.76129898181508149</v>
      </c>
    </row>
    <row r="613" spans="2:16" ht="18" customHeight="1">
      <c r="B613" s="284"/>
      <c r="C613" s="309" t="s">
        <v>362</v>
      </c>
      <c r="D613" s="310"/>
      <c r="E613" s="287" t="str">
        <f>HYPERLINK("#LAYOUT_m1!lay중YINT2B05","YINT2B05")</f>
        <v>YINT2B05</v>
      </c>
      <c r="F613" s="78">
        <v>1</v>
      </c>
      <c r="G613" s="179" t="s">
        <v>105</v>
      </c>
      <c r="H613" s="233">
        <v>29.293817881315622</v>
      </c>
      <c r="I613" s="327">
        <v>2.0151655672231685</v>
      </c>
      <c r="J613" s="327">
        <v>1.6533248357131582E-2</v>
      </c>
      <c r="K613" s="327">
        <v>0.82044118984793102</v>
      </c>
      <c r="L613" s="233">
        <v>24.701732460736956</v>
      </c>
      <c r="M613" s="327">
        <v>2.1001369145569919</v>
      </c>
      <c r="N613" s="327">
        <v>0.82794146337957863</v>
      </c>
      <c r="O613" s="327">
        <v>1.67680585594151E-2</v>
      </c>
      <c r="P613" s="327">
        <v>0.79842692365379397</v>
      </c>
    </row>
    <row r="614" spans="2:16" ht="18" customHeight="1">
      <c r="B614" s="284"/>
      <c r="C614" s="311"/>
      <c r="D614" s="312"/>
      <c r="E614" s="289"/>
      <c r="F614" s="79">
        <v>2</v>
      </c>
      <c r="G614" s="178" t="s">
        <v>106</v>
      </c>
      <c r="H614" s="234">
        <v>45.240148589374066</v>
      </c>
      <c r="I614" s="328"/>
      <c r="J614" s="328"/>
      <c r="K614" s="328"/>
      <c r="L614" s="234">
        <v>45.635930466851804</v>
      </c>
      <c r="M614" s="328">
        <v>2.1001369145569919</v>
      </c>
      <c r="N614" s="328">
        <v>0.82794146337957863</v>
      </c>
      <c r="O614" s="328">
        <v>1.67680585594151E-2</v>
      </c>
      <c r="P614" s="328">
        <v>0.79842692365379397</v>
      </c>
    </row>
    <row r="615" spans="2:16" ht="18" customHeight="1">
      <c r="B615" s="284"/>
      <c r="C615" s="311"/>
      <c r="D615" s="312"/>
      <c r="E615" s="289"/>
      <c r="F615" s="79">
        <v>3</v>
      </c>
      <c r="G615" s="178" t="s">
        <v>107</v>
      </c>
      <c r="H615" s="234">
        <v>20.121692454988171</v>
      </c>
      <c r="I615" s="328"/>
      <c r="J615" s="328"/>
      <c r="K615" s="328"/>
      <c r="L615" s="234">
        <v>24.609250228385282</v>
      </c>
      <c r="M615" s="328">
        <v>2.1001369145569919</v>
      </c>
      <c r="N615" s="328">
        <v>0.82794146337957863</v>
      </c>
      <c r="O615" s="328">
        <v>1.67680585594151E-2</v>
      </c>
      <c r="P615" s="328">
        <v>0.79842692365379397</v>
      </c>
    </row>
    <row r="616" spans="2:16" ht="18" customHeight="1">
      <c r="B616" s="284"/>
      <c r="C616" s="313"/>
      <c r="D616" s="314"/>
      <c r="E616" s="288"/>
      <c r="F616" s="82">
        <v>4</v>
      </c>
      <c r="G616" s="180" t="s">
        <v>108</v>
      </c>
      <c r="H616" s="235">
        <v>5.344341074322168</v>
      </c>
      <c r="I616" s="329"/>
      <c r="J616" s="329"/>
      <c r="K616" s="329"/>
      <c r="L616" s="235">
        <v>5.0530868440259518</v>
      </c>
      <c r="M616" s="329">
        <v>2.1001369145569919</v>
      </c>
      <c r="N616" s="329">
        <v>0.82794146337957863</v>
      </c>
      <c r="O616" s="329">
        <v>1.67680585594151E-2</v>
      </c>
      <c r="P616" s="329">
        <v>0.79842692365379397</v>
      </c>
    </row>
    <row r="617" spans="2:16" ht="18" customHeight="1">
      <c r="B617" s="284"/>
      <c r="C617" s="309" t="s">
        <v>363</v>
      </c>
      <c r="D617" s="310"/>
      <c r="E617" s="287" t="str">
        <f>HYPERLINK("#LAYOUT_m1!lay중YINT2B06","YINT2B06")</f>
        <v>YINT2B06</v>
      </c>
      <c r="F617" s="78">
        <v>1</v>
      </c>
      <c r="G617" s="179" t="s">
        <v>105</v>
      </c>
      <c r="H617" s="233">
        <v>35.450262983209541</v>
      </c>
      <c r="I617" s="327">
        <v>1.8736535721671372</v>
      </c>
      <c r="J617" s="327">
        <v>1.5708894433255675E-2</v>
      </c>
      <c r="K617" s="327">
        <v>0.83840976083354513</v>
      </c>
      <c r="L617" s="233">
        <v>31.079228566255001</v>
      </c>
      <c r="M617" s="327">
        <v>1.9271712817674096</v>
      </c>
      <c r="N617" s="327">
        <v>0.78800906260971582</v>
      </c>
      <c r="O617" s="327">
        <v>1.595931921715063E-2</v>
      </c>
      <c r="P617" s="327">
        <v>0.82812147358870603</v>
      </c>
    </row>
    <row r="618" spans="2:16" ht="18" customHeight="1">
      <c r="B618" s="284"/>
      <c r="C618" s="311"/>
      <c r="D618" s="312"/>
      <c r="E618" s="289"/>
      <c r="F618" s="79">
        <v>2</v>
      </c>
      <c r="G618" s="178" t="s">
        <v>106</v>
      </c>
      <c r="H618" s="234">
        <v>45.343640427207283</v>
      </c>
      <c r="I618" s="328"/>
      <c r="J618" s="328"/>
      <c r="K618" s="328"/>
      <c r="L618" s="234">
        <v>48.98700229035056</v>
      </c>
      <c r="M618" s="328">
        <v>1.9271712817674096</v>
      </c>
      <c r="N618" s="328">
        <v>0.78800906260971582</v>
      </c>
      <c r="O618" s="328">
        <v>1.595931921715063E-2</v>
      </c>
      <c r="P618" s="328">
        <v>0.82812147358870603</v>
      </c>
    </row>
    <row r="619" spans="2:16" ht="18" customHeight="1">
      <c r="B619" s="284"/>
      <c r="C619" s="311"/>
      <c r="D619" s="312"/>
      <c r="E619" s="289"/>
      <c r="F619" s="79">
        <v>3</v>
      </c>
      <c r="G619" s="178" t="s">
        <v>107</v>
      </c>
      <c r="H619" s="234">
        <v>15.596572979243604</v>
      </c>
      <c r="I619" s="328"/>
      <c r="J619" s="328"/>
      <c r="K619" s="328"/>
      <c r="L619" s="234">
        <v>16.071181543791973</v>
      </c>
      <c r="M619" s="328">
        <v>1.9271712817674096</v>
      </c>
      <c r="N619" s="328">
        <v>0.78800906260971582</v>
      </c>
      <c r="O619" s="328">
        <v>1.595931921715063E-2</v>
      </c>
      <c r="P619" s="328">
        <v>0.82812147358870603</v>
      </c>
    </row>
    <row r="620" spans="2:16" ht="18" customHeight="1">
      <c r="B620" s="284"/>
      <c r="C620" s="313"/>
      <c r="D620" s="314"/>
      <c r="E620" s="288"/>
      <c r="F620" s="82">
        <v>4</v>
      </c>
      <c r="G620" s="180" t="s">
        <v>108</v>
      </c>
      <c r="H620" s="235">
        <v>3.6095236103396129</v>
      </c>
      <c r="I620" s="329"/>
      <c r="J620" s="329"/>
      <c r="K620" s="329"/>
      <c r="L620" s="235">
        <v>3.8625875996024601</v>
      </c>
      <c r="M620" s="329">
        <v>1.9271712817674096</v>
      </c>
      <c r="N620" s="329">
        <v>0.78800906260971582</v>
      </c>
      <c r="O620" s="329">
        <v>1.595931921715063E-2</v>
      </c>
      <c r="P620" s="329">
        <v>0.82812147358870603</v>
      </c>
    </row>
    <row r="621" spans="2:16" ht="18" customHeight="1">
      <c r="B621" s="284"/>
      <c r="C621" s="309" t="s">
        <v>364</v>
      </c>
      <c r="D621" s="310"/>
      <c r="E621" s="287" t="str">
        <f>HYPERLINK("#LAYOUT_m1!lay중YINT2B07","YINT2B07")</f>
        <v>YINT2B07</v>
      </c>
      <c r="F621" s="78">
        <v>1</v>
      </c>
      <c r="G621" s="179" t="s">
        <v>105</v>
      </c>
      <c r="H621" s="233">
        <v>36.893349628429647</v>
      </c>
      <c r="I621" s="327">
        <v>1.8640209067411375</v>
      </c>
      <c r="J621" s="327">
        <v>1.5985112195981539E-2</v>
      </c>
      <c r="K621" s="327">
        <v>0.85756077832454447</v>
      </c>
      <c r="L621" s="233">
        <v>29.613901841298823</v>
      </c>
      <c r="M621" s="327">
        <v>1.9548495708359801</v>
      </c>
      <c r="N621" s="327">
        <v>0.78360598780479296</v>
      </c>
      <c r="O621" s="327">
        <v>1.5870145018930078E-2</v>
      </c>
      <c r="P621" s="327">
        <v>0.81183459104442979</v>
      </c>
    </row>
    <row r="622" spans="2:16" ht="18" customHeight="1">
      <c r="B622" s="284"/>
      <c r="C622" s="311"/>
      <c r="D622" s="312"/>
      <c r="E622" s="289"/>
      <c r="F622" s="79">
        <v>2</v>
      </c>
      <c r="G622" s="178" t="s">
        <v>106</v>
      </c>
      <c r="H622" s="234">
        <v>43.718888246516805</v>
      </c>
      <c r="I622" s="328"/>
      <c r="J622" s="328"/>
      <c r="K622" s="328"/>
      <c r="L622" s="234">
        <v>48.722111044420522</v>
      </c>
      <c r="M622" s="328">
        <v>1.9548495708359801</v>
      </c>
      <c r="N622" s="328">
        <v>0.78360598780479296</v>
      </c>
      <c r="O622" s="328">
        <v>1.5870145018930078E-2</v>
      </c>
      <c r="P622" s="328">
        <v>0.81183459104442979</v>
      </c>
    </row>
    <row r="623" spans="2:16" ht="18" customHeight="1">
      <c r="B623" s="284"/>
      <c r="C623" s="311"/>
      <c r="D623" s="312"/>
      <c r="E623" s="289"/>
      <c r="F623" s="79">
        <v>3</v>
      </c>
      <c r="G623" s="178" t="s">
        <v>107</v>
      </c>
      <c r="H623" s="234">
        <v>15.480083947563891</v>
      </c>
      <c r="I623" s="328"/>
      <c r="J623" s="328"/>
      <c r="K623" s="328"/>
      <c r="L623" s="234">
        <v>18.229115303663935</v>
      </c>
      <c r="M623" s="328">
        <v>1.9548495708359801</v>
      </c>
      <c r="N623" s="328">
        <v>0.78360598780479296</v>
      </c>
      <c r="O623" s="328">
        <v>1.5870145018930078E-2</v>
      </c>
      <c r="P623" s="328">
        <v>0.81183459104442979</v>
      </c>
    </row>
    <row r="624" spans="2:16" ht="18" customHeight="1">
      <c r="B624" s="284"/>
      <c r="C624" s="313"/>
      <c r="D624" s="314"/>
      <c r="E624" s="288"/>
      <c r="F624" s="82">
        <v>4</v>
      </c>
      <c r="G624" s="180" t="s">
        <v>108</v>
      </c>
      <c r="H624" s="235">
        <v>3.9076781774896197</v>
      </c>
      <c r="I624" s="329"/>
      <c r="J624" s="329"/>
      <c r="K624" s="329"/>
      <c r="L624" s="235">
        <v>3.434871810616738</v>
      </c>
      <c r="M624" s="329">
        <v>1.9548495708359801</v>
      </c>
      <c r="N624" s="329">
        <v>0.78360598780479296</v>
      </c>
      <c r="O624" s="329">
        <v>1.5870145018930078E-2</v>
      </c>
      <c r="P624" s="329">
        <v>0.81183459104442979</v>
      </c>
    </row>
    <row r="625" spans="2:16" ht="18" customHeight="1">
      <c r="B625" s="284"/>
      <c r="C625" s="309" t="s">
        <v>365</v>
      </c>
      <c r="D625" s="310"/>
      <c r="E625" s="287" t="str">
        <f>HYPERLINK("#LAYOUT_m1!lay중YINT2B08","YINT2B08")</f>
        <v>YINT2B08</v>
      </c>
      <c r="F625" s="78">
        <v>1</v>
      </c>
      <c r="G625" s="179" t="s">
        <v>105</v>
      </c>
      <c r="H625" s="233">
        <v>27.367719056794193</v>
      </c>
      <c r="I625" s="327">
        <v>2.0946257351727517</v>
      </c>
      <c r="J625" s="327">
        <v>1.6863878684610339E-2</v>
      </c>
      <c r="K625" s="327">
        <v>0.80510223862114028</v>
      </c>
      <c r="L625" s="233">
        <v>23.227556869668717</v>
      </c>
      <c r="M625" s="327">
        <v>2.1403739674266049</v>
      </c>
      <c r="N625" s="327">
        <v>0.83222454258171896</v>
      </c>
      <c r="O625" s="327">
        <v>1.6854802521461584E-2</v>
      </c>
      <c r="P625" s="327">
        <v>0.78746998318832517</v>
      </c>
    </row>
    <row r="626" spans="2:16" ht="18" customHeight="1">
      <c r="B626" s="284"/>
      <c r="C626" s="311"/>
      <c r="D626" s="312"/>
      <c r="E626" s="289"/>
      <c r="F626" s="79">
        <v>2</v>
      </c>
      <c r="G626" s="178" t="s">
        <v>106</v>
      </c>
      <c r="H626" s="234">
        <v>40.965021876797827</v>
      </c>
      <c r="I626" s="328"/>
      <c r="J626" s="328"/>
      <c r="K626" s="328"/>
      <c r="L626" s="234">
        <v>44.862157058921731</v>
      </c>
      <c r="M626" s="328">
        <v>2.1403739674266049</v>
      </c>
      <c r="N626" s="328">
        <v>0.83222454258171896</v>
      </c>
      <c r="O626" s="328">
        <v>1.6854802521461584E-2</v>
      </c>
      <c r="P626" s="328">
        <v>0.78746998318832517</v>
      </c>
    </row>
    <row r="627" spans="2:16" ht="18" customHeight="1">
      <c r="B627" s="284"/>
      <c r="C627" s="311"/>
      <c r="D627" s="312"/>
      <c r="E627" s="289"/>
      <c r="F627" s="79">
        <v>3</v>
      </c>
      <c r="G627" s="178" t="s">
        <v>107</v>
      </c>
      <c r="H627" s="234">
        <v>26.504225558746779</v>
      </c>
      <c r="I627" s="328"/>
      <c r="J627" s="328"/>
      <c r="K627" s="328"/>
      <c r="L627" s="234">
        <v>26.555618530488942</v>
      </c>
      <c r="M627" s="328">
        <v>2.1403739674266049</v>
      </c>
      <c r="N627" s="328">
        <v>0.83222454258171896</v>
      </c>
      <c r="O627" s="328">
        <v>1.6854802521461584E-2</v>
      </c>
      <c r="P627" s="328">
        <v>0.78746998318832517</v>
      </c>
    </row>
    <row r="628" spans="2:16" ht="18" customHeight="1">
      <c r="B628" s="284"/>
      <c r="C628" s="313"/>
      <c r="D628" s="314"/>
      <c r="E628" s="288"/>
      <c r="F628" s="82">
        <v>4</v>
      </c>
      <c r="G628" s="180" t="s">
        <v>108</v>
      </c>
      <c r="H628" s="235">
        <v>5.1630335076611926</v>
      </c>
      <c r="I628" s="329"/>
      <c r="J628" s="329"/>
      <c r="K628" s="329"/>
      <c r="L628" s="235">
        <v>5.3546675409205999</v>
      </c>
      <c r="M628" s="329">
        <v>2.1403739674266049</v>
      </c>
      <c r="N628" s="329">
        <v>0.83222454258171896</v>
      </c>
      <c r="O628" s="329">
        <v>1.6854802521461584E-2</v>
      </c>
      <c r="P628" s="329">
        <v>0.78746998318832517</v>
      </c>
    </row>
    <row r="629" spans="2:16" ht="18" customHeight="1">
      <c r="B629" s="284"/>
      <c r="C629" s="309" t="s">
        <v>366</v>
      </c>
      <c r="D629" s="310"/>
      <c r="E629" s="287" t="str">
        <f>HYPERLINK("#LAYOUT_m1!lay중YINT2B09","YINT2B09")</f>
        <v>YINT2B09</v>
      </c>
      <c r="F629" s="78">
        <v>1</v>
      </c>
      <c r="G629" s="179" t="s">
        <v>105</v>
      </c>
      <c r="H629" s="233">
        <v>18.153292279233824</v>
      </c>
      <c r="I629" s="327">
        <v>2.3018425419112276</v>
      </c>
      <c r="J629" s="327">
        <v>1.6497857965637377E-2</v>
      </c>
      <c r="K629" s="327">
        <v>0.71672400110996015</v>
      </c>
      <c r="L629" s="233">
        <v>14.939753667096774</v>
      </c>
      <c r="M629" s="327">
        <v>2.3372537572991394</v>
      </c>
      <c r="N629" s="327">
        <v>0.79719467182956905</v>
      </c>
      <c r="O629" s="327">
        <v>1.6145352699123715E-2</v>
      </c>
      <c r="P629" s="327">
        <v>0.690783046072875</v>
      </c>
    </row>
    <row r="630" spans="2:16" ht="18" customHeight="1">
      <c r="B630" s="284"/>
      <c r="C630" s="311"/>
      <c r="D630" s="312"/>
      <c r="E630" s="289"/>
      <c r="F630" s="79">
        <v>2</v>
      </c>
      <c r="G630" s="178" t="s">
        <v>106</v>
      </c>
      <c r="H630" s="234">
        <v>40.052800525451069</v>
      </c>
      <c r="I630" s="328"/>
      <c r="J630" s="328"/>
      <c r="K630" s="328"/>
      <c r="L630" s="234">
        <v>42.04261386344097</v>
      </c>
      <c r="M630" s="328">
        <v>2.3372537572991394</v>
      </c>
      <c r="N630" s="328">
        <v>0.79719467182956905</v>
      </c>
      <c r="O630" s="328">
        <v>1.6145352699123715E-2</v>
      </c>
      <c r="P630" s="328">
        <v>0.690783046072875</v>
      </c>
    </row>
    <row r="631" spans="2:16" ht="18" customHeight="1">
      <c r="B631" s="284"/>
      <c r="C631" s="311"/>
      <c r="D631" s="312"/>
      <c r="E631" s="289"/>
      <c r="F631" s="79">
        <v>3</v>
      </c>
      <c r="G631" s="178" t="s">
        <v>107</v>
      </c>
      <c r="H631" s="234">
        <v>35.250267920273778</v>
      </c>
      <c r="I631" s="328"/>
      <c r="J631" s="328"/>
      <c r="K631" s="328"/>
      <c r="L631" s="234">
        <v>37.370135541913129</v>
      </c>
      <c r="M631" s="328">
        <v>2.3372537572991394</v>
      </c>
      <c r="N631" s="328">
        <v>0.79719467182956905</v>
      </c>
      <c r="O631" s="328">
        <v>1.6145352699123715E-2</v>
      </c>
      <c r="P631" s="328">
        <v>0.690783046072875</v>
      </c>
    </row>
    <row r="632" spans="2:16" ht="18" customHeight="1">
      <c r="B632" s="284"/>
      <c r="C632" s="313"/>
      <c r="D632" s="314"/>
      <c r="E632" s="288"/>
      <c r="F632" s="82">
        <v>4</v>
      </c>
      <c r="G632" s="180" t="s">
        <v>108</v>
      </c>
      <c r="H632" s="235">
        <v>6.5436392750413059</v>
      </c>
      <c r="I632" s="329"/>
      <c r="J632" s="329"/>
      <c r="K632" s="329"/>
      <c r="L632" s="235">
        <v>5.6474969275491347</v>
      </c>
      <c r="M632" s="329">
        <v>2.3372537572991394</v>
      </c>
      <c r="N632" s="329">
        <v>0.79719467182956905</v>
      </c>
      <c r="O632" s="329">
        <v>1.6145352699123715E-2</v>
      </c>
      <c r="P632" s="329">
        <v>0.690783046072875</v>
      </c>
    </row>
    <row r="633" spans="2:16" ht="18" customHeight="1">
      <c r="B633" s="284"/>
      <c r="C633" s="309" t="s">
        <v>367</v>
      </c>
      <c r="D633" s="310"/>
      <c r="E633" s="287" t="str">
        <f>HYPERLINK("#LAYOUT_m1!lay중YINT2B10","YINT2B10")</f>
        <v>YINT2B10</v>
      </c>
      <c r="F633" s="78">
        <v>1</v>
      </c>
      <c r="G633" s="179" t="s">
        <v>105</v>
      </c>
      <c r="H633" s="233">
        <v>31.740173229024514</v>
      </c>
      <c r="I633" s="327">
        <v>1.9096686088455188</v>
      </c>
      <c r="J633" s="327">
        <v>1.5199857944894622E-2</v>
      </c>
      <c r="K633" s="327">
        <v>0.79594217941738188</v>
      </c>
      <c r="L633" s="233">
        <v>25.769939058789497</v>
      </c>
      <c r="M633" s="327">
        <v>2.0304142553681395</v>
      </c>
      <c r="N633" s="327">
        <v>0.77673312061010613</v>
      </c>
      <c r="O633" s="327">
        <v>1.5730950831069037E-2</v>
      </c>
      <c r="P633" s="327">
        <v>0.77476558241642235</v>
      </c>
    </row>
    <row r="634" spans="2:16" ht="18" customHeight="1">
      <c r="B634" s="284"/>
      <c r="C634" s="311"/>
      <c r="D634" s="312"/>
      <c r="E634" s="289"/>
      <c r="F634" s="79">
        <v>2</v>
      </c>
      <c r="G634" s="178" t="s">
        <v>106</v>
      </c>
      <c r="H634" s="234">
        <v>48.644745973491446</v>
      </c>
      <c r="I634" s="328"/>
      <c r="J634" s="328"/>
      <c r="K634" s="328"/>
      <c r="L634" s="234">
        <v>48.327639756822258</v>
      </c>
      <c r="M634" s="328">
        <v>2.0304142553681395</v>
      </c>
      <c r="N634" s="328">
        <v>0.77673312061010613</v>
      </c>
      <c r="O634" s="328">
        <v>1.5730950831069037E-2</v>
      </c>
      <c r="P634" s="328">
        <v>0.77476558241642235</v>
      </c>
    </row>
    <row r="635" spans="2:16" ht="18" customHeight="1">
      <c r="B635" s="284"/>
      <c r="C635" s="311"/>
      <c r="D635" s="312"/>
      <c r="E635" s="289"/>
      <c r="F635" s="79">
        <v>3</v>
      </c>
      <c r="G635" s="178" t="s">
        <v>107</v>
      </c>
      <c r="H635" s="234">
        <v>16.52312748139218</v>
      </c>
      <c r="I635" s="328"/>
      <c r="J635" s="328"/>
      <c r="K635" s="328"/>
      <c r="L635" s="234">
        <v>22.993477773172089</v>
      </c>
      <c r="M635" s="328">
        <v>2.0304142553681395</v>
      </c>
      <c r="N635" s="328">
        <v>0.77673312061010613</v>
      </c>
      <c r="O635" s="328">
        <v>1.5730950831069037E-2</v>
      </c>
      <c r="P635" s="328">
        <v>0.77476558241642235</v>
      </c>
    </row>
    <row r="636" spans="2:16" ht="18" customHeight="1">
      <c r="B636" s="284"/>
      <c r="C636" s="313"/>
      <c r="D636" s="314"/>
      <c r="E636" s="288"/>
      <c r="F636" s="82">
        <v>4</v>
      </c>
      <c r="G636" s="180" t="s">
        <v>108</v>
      </c>
      <c r="H636" s="235">
        <v>3.0919533160918706</v>
      </c>
      <c r="I636" s="329"/>
      <c r="J636" s="329"/>
      <c r="K636" s="329"/>
      <c r="L636" s="235">
        <v>2.9089434112161716</v>
      </c>
      <c r="M636" s="329">
        <v>2.0304142553681395</v>
      </c>
      <c r="N636" s="329">
        <v>0.77673312061010613</v>
      </c>
      <c r="O636" s="329">
        <v>1.5730950831069037E-2</v>
      </c>
      <c r="P636" s="329">
        <v>0.77476558241642235</v>
      </c>
    </row>
    <row r="637" spans="2:16" ht="18" customHeight="1">
      <c r="B637" s="284"/>
      <c r="C637" s="309" t="s">
        <v>368</v>
      </c>
      <c r="D637" s="310"/>
      <c r="E637" s="287" t="str">
        <f>HYPERLINK("#LAYOUT_m1!lay중YINT2B11","YINT2B11")</f>
        <v>YINT2B11</v>
      </c>
      <c r="F637" s="78">
        <v>1</v>
      </c>
      <c r="G637" s="179" t="s">
        <v>105</v>
      </c>
      <c r="H637" s="233">
        <v>45.966511803035274</v>
      </c>
      <c r="I637" s="327">
        <v>1.6711945541911182</v>
      </c>
      <c r="J637" s="327">
        <v>1.4107833622321531E-2</v>
      </c>
      <c r="K637" s="327">
        <v>0.84417661528043453</v>
      </c>
      <c r="L637" s="233">
        <v>37.372562219097624</v>
      </c>
      <c r="M637" s="327">
        <v>1.8013494271240305</v>
      </c>
      <c r="N637" s="327">
        <v>0.73577120862605161</v>
      </c>
      <c r="O637" s="327">
        <v>1.4901361096487353E-2</v>
      </c>
      <c r="P637" s="327">
        <v>0.82723323260375603</v>
      </c>
    </row>
    <row r="638" spans="2:16" ht="18" customHeight="1">
      <c r="B638" s="284"/>
      <c r="C638" s="311"/>
      <c r="D638" s="312"/>
      <c r="E638" s="289"/>
      <c r="F638" s="79">
        <v>2</v>
      </c>
      <c r="G638" s="178" t="s">
        <v>106</v>
      </c>
      <c r="H638" s="234">
        <v>42.591491525636663</v>
      </c>
      <c r="I638" s="328"/>
      <c r="J638" s="328"/>
      <c r="K638" s="328"/>
      <c r="L638" s="234">
        <v>46.709862823323405</v>
      </c>
      <c r="M638" s="328">
        <v>1.8013494271240305</v>
      </c>
      <c r="N638" s="328">
        <v>0.73577120862605161</v>
      </c>
      <c r="O638" s="328">
        <v>1.4901361096487353E-2</v>
      </c>
      <c r="P638" s="328">
        <v>0.82723323260375603</v>
      </c>
    </row>
    <row r="639" spans="2:16" ht="18" customHeight="1">
      <c r="B639" s="284"/>
      <c r="C639" s="311"/>
      <c r="D639" s="312"/>
      <c r="E639" s="289"/>
      <c r="F639" s="79">
        <v>3</v>
      </c>
      <c r="G639" s="178" t="s">
        <v>107</v>
      </c>
      <c r="H639" s="234">
        <v>9.7980261205096415</v>
      </c>
      <c r="I639" s="328"/>
      <c r="J639" s="328"/>
      <c r="K639" s="328"/>
      <c r="L639" s="234">
        <v>14.32764498365618</v>
      </c>
      <c r="M639" s="328">
        <v>1.8013494271240305</v>
      </c>
      <c r="N639" s="328">
        <v>0.73577120862605161</v>
      </c>
      <c r="O639" s="328">
        <v>1.4901361096487353E-2</v>
      </c>
      <c r="P639" s="328">
        <v>0.82723323260375603</v>
      </c>
    </row>
    <row r="640" spans="2:16" ht="18" customHeight="1">
      <c r="B640" s="284"/>
      <c r="C640" s="313"/>
      <c r="D640" s="314"/>
      <c r="E640" s="288"/>
      <c r="F640" s="82">
        <v>4</v>
      </c>
      <c r="G640" s="180" t="s">
        <v>108</v>
      </c>
      <c r="H640" s="235">
        <v>1.6439705508184275</v>
      </c>
      <c r="I640" s="329"/>
      <c r="J640" s="329"/>
      <c r="K640" s="329"/>
      <c r="L640" s="235">
        <v>1.5899299739227939</v>
      </c>
      <c r="M640" s="329">
        <v>1.8013494271240305</v>
      </c>
      <c r="N640" s="329">
        <v>0.73577120862605161</v>
      </c>
      <c r="O640" s="329">
        <v>1.4901361096487353E-2</v>
      </c>
      <c r="P640" s="329">
        <v>0.82723323260375603</v>
      </c>
    </row>
    <row r="641" spans="2:16" ht="18" customHeight="1">
      <c r="B641" s="284"/>
      <c r="C641" s="309" t="s">
        <v>369</v>
      </c>
      <c r="D641" s="310"/>
      <c r="E641" s="287" t="str">
        <f>HYPERLINK("#LAYOUT_m1!lay중YINT2B12","YINT2B12")</f>
        <v>YINT2B12</v>
      </c>
      <c r="F641" s="78">
        <v>1</v>
      </c>
      <c r="G641" s="179" t="s">
        <v>105</v>
      </c>
      <c r="H641" s="233">
        <v>57.222950700226008</v>
      </c>
      <c r="I641" s="327">
        <v>1.5172167010551718</v>
      </c>
      <c r="J641" s="327">
        <v>1.316008468178493E-2</v>
      </c>
      <c r="K641" s="327">
        <v>0.86738332583819711</v>
      </c>
      <c r="L641" s="233">
        <v>49.466241920167114</v>
      </c>
      <c r="M641" s="327">
        <v>1.6420487654422042</v>
      </c>
      <c r="N641" s="327">
        <v>0.72936943467630599</v>
      </c>
      <c r="O641" s="327">
        <v>1.4771707823615497E-2</v>
      </c>
      <c r="P641" s="327">
        <v>0.8995900812749299</v>
      </c>
    </row>
    <row r="642" spans="2:16" ht="18" customHeight="1">
      <c r="B642" s="284"/>
      <c r="C642" s="311"/>
      <c r="D642" s="312"/>
      <c r="E642" s="289"/>
      <c r="F642" s="79">
        <v>2</v>
      </c>
      <c r="G642" s="178" t="s">
        <v>106</v>
      </c>
      <c r="H642" s="234">
        <v>34.821792870319406</v>
      </c>
      <c r="I642" s="328"/>
      <c r="J642" s="328"/>
      <c r="K642" s="328"/>
      <c r="L642" s="234">
        <v>38.288492183638596</v>
      </c>
      <c r="M642" s="328">
        <v>1.6420487654422042</v>
      </c>
      <c r="N642" s="328">
        <v>0.72936943467630599</v>
      </c>
      <c r="O642" s="328">
        <v>1.4771707823615497E-2</v>
      </c>
      <c r="P642" s="328">
        <v>0.8995900812749299</v>
      </c>
    </row>
    <row r="643" spans="2:16" ht="18" customHeight="1">
      <c r="B643" s="284"/>
      <c r="C643" s="311"/>
      <c r="D643" s="312"/>
      <c r="E643" s="289"/>
      <c r="F643" s="79">
        <v>3</v>
      </c>
      <c r="G643" s="178" t="s">
        <v>107</v>
      </c>
      <c r="H643" s="234">
        <v>6.9658920531663204</v>
      </c>
      <c r="I643" s="328"/>
      <c r="J643" s="328"/>
      <c r="K643" s="328"/>
      <c r="L643" s="234">
        <v>10.819413327999882</v>
      </c>
      <c r="M643" s="328">
        <v>1.6420487654422042</v>
      </c>
      <c r="N643" s="328">
        <v>0.72936943467630599</v>
      </c>
      <c r="O643" s="328">
        <v>1.4771707823615497E-2</v>
      </c>
      <c r="P643" s="328">
        <v>0.8995900812749299</v>
      </c>
    </row>
    <row r="644" spans="2:16" ht="18" customHeight="1">
      <c r="B644" s="284"/>
      <c r="C644" s="313"/>
      <c r="D644" s="314"/>
      <c r="E644" s="288"/>
      <c r="F644" s="82">
        <v>4</v>
      </c>
      <c r="G644" s="180" t="s">
        <v>108</v>
      </c>
      <c r="H644" s="235">
        <v>0.98936437628825979</v>
      </c>
      <c r="I644" s="329"/>
      <c r="J644" s="329"/>
      <c r="K644" s="329"/>
      <c r="L644" s="235">
        <v>1.4258525681944278</v>
      </c>
      <c r="M644" s="329">
        <v>1.6420487654422042</v>
      </c>
      <c r="N644" s="329">
        <v>0.72936943467630599</v>
      </c>
      <c r="O644" s="329">
        <v>1.4771707823615497E-2</v>
      </c>
      <c r="P644" s="329">
        <v>0.8995900812749299</v>
      </c>
    </row>
    <row r="645" spans="2:16" ht="18" customHeight="1">
      <c r="B645" s="284"/>
      <c r="C645" s="309" t="s">
        <v>370</v>
      </c>
      <c r="D645" s="310"/>
      <c r="E645" s="287" t="str">
        <f>HYPERLINK("#LAYOUT_m1!lay중YINT2B13","YINT2B13")</f>
        <v>YINT2B13</v>
      </c>
      <c r="F645" s="78">
        <v>1</v>
      </c>
      <c r="G645" s="179" t="s">
        <v>105</v>
      </c>
      <c r="H645" s="233">
        <v>38.9355348915877</v>
      </c>
      <c r="I645" s="327">
        <v>1.8293121604966713</v>
      </c>
      <c r="J645" s="327">
        <v>1.5613877965818236E-2</v>
      </c>
      <c r="K645" s="327">
        <v>0.85353819337094194</v>
      </c>
      <c r="L645" s="233">
        <v>33.751428044593126</v>
      </c>
      <c r="M645" s="327">
        <v>1.9385725645068801</v>
      </c>
      <c r="N645" s="327">
        <v>0.81958239221818685</v>
      </c>
      <c r="O645" s="327">
        <v>1.6598764713248261E-2</v>
      </c>
      <c r="P645" s="327">
        <v>0.85623644000504773</v>
      </c>
    </row>
    <row r="646" spans="2:16" ht="18" customHeight="1">
      <c r="B646" s="284"/>
      <c r="C646" s="311"/>
      <c r="D646" s="312"/>
      <c r="E646" s="289"/>
      <c r="F646" s="79">
        <v>2</v>
      </c>
      <c r="G646" s="178" t="s">
        <v>106</v>
      </c>
      <c r="H646" s="234">
        <v>41.812315993720823</v>
      </c>
      <c r="I646" s="328"/>
      <c r="J646" s="328"/>
      <c r="K646" s="328"/>
      <c r="L646" s="234">
        <v>41.720486613954186</v>
      </c>
      <c r="M646" s="328">
        <v>1.9385725645068801</v>
      </c>
      <c r="N646" s="328">
        <v>0.81958239221818685</v>
      </c>
      <c r="O646" s="328">
        <v>1.6598764713248261E-2</v>
      </c>
      <c r="P646" s="328">
        <v>0.85623644000504773</v>
      </c>
    </row>
    <row r="647" spans="2:16" ht="18" customHeight="1">
      <c r="B647" s="284"/>
      <c r="C647" s="311"/>
      <c r="D647" s="312"/>
      <c r="E647" s="289"/>
      <c r="F647" s="79">
        <v>3</v>
      </c>
      <c r="G647" s="178" t="s">
        <v>107</v>
      </c>
      <c r="H647" s="234">
        <v>16.637547288128761</v>
      </c>
      <c r="I647" s="328"/>
      <c r="J647" s="328"/>
      <c r="K647" s="328"/>
      <c r="L647" s="234">
        <v>21.447486187623355</v>
      </c>
      <c r="M647" s="328">
        <v>1.9385725645068801</v>
      </c>
      <c r="N647" s="328">
        <v>0.81958239221818685</v>
      </c>
      <c r="O647" s="328">
        <v>1.6598764713248261E-2</v>
      </c>
      <c r="P647" s="328">
        <v>0.85623644000504773</v>
      </c>
    </row>
    <row r="648" spans="2:16" ht="18" customHeight="1">
      <c r="B648" s="284"/>
      <c r="C648" s="313"/>
      <c r="D648" s="314"/>
      <c r="E648" s="288"/>
      <c r="F648" s="82">
        <v>4</v>
      </c>
      <c r="G648" s="180" t="s">
        <v>108</v>
      </c>
      <c r="H648" s="235">
        <v>2.6146018265626951</v>
      </c>
      <c r="I648" s="329"/>
      <c r="J648" s="329"/>
      <c r="K648" s="329"/>
      <c r="L648" s="235">
        <v>3.0805991538293362</v>
      </c>
      <c r="M648" s="329">
        <v>1.9385725645068801</v>
      </c>
      <c r="N648" s="329">
        <v>0.81958239221818685</v>
      </c>
      <c r="O648" s="329">
        <v>1.6598764713248261E-2</v>
      </c>
      <c r="P648" s="329">
        <v>0.85623644000504773</v>
      </c>
    </row>
    <row r="649" spans="2:16" ht="18" customHeight="1">
      <c r="B649" s="284"/>
      <c r="C649" s="309" t="s">
        <v>371</v>
      </c>
      <c r="D649" s="310"/>
      <c r="E649" s="287" t="str">
        <f>HYPERLINK("#LAYOUT_m1!lay중YINT2B14","YINT2B14")</f>
        <v>YINT2B14</v>
      </c>
      <c r="F649" s="78">
        <v>1</v>
      </c>
      <c r="G649" s="179" t="s">
        <v>105</v>
      </c>
      <c r="H649" s="233">
        <v>26.091593257191558</v>
      </c>
      <c r="I649" s="327">
        <v>2.1066393445061244</v>
      </c>
      <c r="J649" s="327">
        <v>1.6521589823087237E-2</v>
      </c>
      <c r="K649" s="327">
        <v>0.78426285287862263</v>
      </c>
      <c r="L649" s="233">
        <v>26.697795374989219</v>
      </c>
      <c r="M649" s="327">
        <v>2.0679645578101256</v>
      </c>
      <c r="N649" s="327">
        <v>0.82662380897293697</v>
      </c>
      <c r="O649" s="327">
        <v>1.6741372486511537E-2</v>
      </c>
      <c r="P649" s="327">
        <v>0.80955799862642897</v>
      </c>
    </row>
    <row r="650" spans="2:16" ht="18" customHeight="1">
      <c r="B650" s="284"/>
      <c r="C650" s="311"/>
      <c r="D650" s="312"/>
      <c r="E650" s="289"/>
      <c r="F650" s="79">
        <v>2</v>
      </c>
      <c r="G650" s="178" t="s">
        <v>106</v>
      </c>
      <c r="H650" s="234">
        <v>41.632967367389682</v>
      </c>
      <c r="I650" s="328"/>
      <c r="J650" s="328"/>
      <c r="K650" s="328"/>
      <c r="L650" s="234">
        <v>44.094221659838979</v>
      </c>
      <c r="M650" s="328">
        <v>2.0679645578101256</v>
      </c>
      <c r="N650" s="328">
        <v>0.82662380897293697</v>
      </c>
      <c r="O650" s="328">
        <v>1.6741372486511537E-2</v>
      </c>
      <c r="P650" s="328">
        <v>0.80955799862642897</v>
      </c>
    </row>
    <row r="651" spans="2:16" ht="18" customHeight="1">
      <c r="B651" s="284"/>
      <c r="C651" s="311"/>
      <c r="D651" s="312"/>
      <c r="E651" s="289"/>
      <c r="F651" s="79">
        <v>3</v>
      </c>
      <c r="G651" s="178" t="s">
        <v>107</v>
      </c>
      <c r="H651" s="234">
        <v>27.795351043033246</v>
      </c>
      <c r="I651" s="328"/>
      <c r="J651" s="328"/>
      <c r="K651" s="328"/>
      <c r="L651" s="234">
        <v>24.921714774341499</v>
      </c>
      <c r="M651" s="328">
        <v>2.0679645578101256</v>
      </c>
      <c r="N651" s="328">
        <v>0.82662380897293697</v>
      </c>
      <c r="O651" s="328">
        <v>1.6741372486511537E-2</v>
      </c>
      <c r="P651" s="328">
        <v>0.80955799862642897</v>
      </c>
    </row>
    <row r="652" spans="2:16" ht="18" customHeight="1">
      <c r="B652" s="284"/>
      <c r="C652" s="313"/>
      <c r="D652" s="314"/>
      <c r="E652" s="288"/>
      <c r="F652" s="82">
        <v>4</v>
      </c>
      <c r="G652" s="180" t="s">
        <v>108</v>
      </c>
      <c r="H652" s="235">
        <v>4.480088332385491</v>
      </c>
      <c r="I652" s="329"/>
      <c r="J652" s="329"/>
      <c r="K652" s="329"/>
      <c r="L652" s="235">
        <v>4.2862681908303193</v>
      </c>
      <c r="M652" s="329">
        <v>2.0679645578101256</v>
      </c>
      <c r="N652" s="329">
        <v>0.82662380897293697</v>
      </c>
      <c r="O652" s="329">
        <v>1.6741372486511537E-2</v>
      </c>
      <c r="P652" s="329">
        <v>0.80955799862642897</v>
      </c>
    </row>
    <row r="653" spans="2:16" ht="18" customHeight="1">
      <c r="B653" s="284"/>
      <c r="C653" s="309" t="s">
        <v>372</v>
      </c>
      <c r="D653" s="310"/>
      <c r="E653" s="287" t="str">
        <f>HYPERLINK("#LAYOUT_m1!lay중YINT2B15","YINT2B15")</f>
        <v>YINT2B15</v>
      </c>
      <c r="F653" s="78">
        <v>1</v>
      </c>
      <c r="G653" s="179" t="s">
        <v>105</v>
      </c>
      <c r="H653" s="233">
        <v>37.739442798358496</v>
      </c>
      <c r="I653" s="327">
        <v>1.7830065182338513</v>
      </c>
      <c r="J653" s="327">
        <v>1.4087059974442297E-2</v>
      </c>
      <c r="K653" s="327">
        <v>0.79007338618123291</v>
      </c>
      <c r="L653" s="233">
        <v>33.506621742222904</v>
      </c>
      <c r="M653" s="327">
        <v>1.8659683052472529</v>
      </c>
      <c r="N653" s="327">
        <v>0.74642226671599032</v>
      </c>
      <c r="O653" s="327">
        <v>1.5117073889808284E-2</v>
      </c>
      <c r="P653" s="327">
        <v>0.81014633781816503</v>
      </c>
    </row>
    <row r="654" spans="2:16" ht="18" customHeight="1">
      <c r="B654" s="284"/>
      <c r="C654" s="311"/>
      <c r="D654" s="312"/>
      <c r="E654" s="289"/>
      <c r="F654" s="79">
        <v>2</v>
      </c>
      <c r="G654" s="178" t="s">
        <v>106</v>
      </c>
      <c r="H654" s="234">
        <v>47.373741168058352</v>
      </c>
      <c r="I654" s="328"/>
      <c r="J654" s="328"/>
      <c r="K654" s="328"/>
      <c r="L654" s="234">
        <v>48.328997462478725</v>
      </c>
      <c r="M654" s="328">
        <v>1.8659683052472529</v>
      </c>
      <c r="N654" s="328">
        <v>0.74642226671599032</v>
      </c>
      <c r="O654" s="328">
        <v>1.5117073889808284E-2</v>
      </c>
      <c r="P654" s="328">
        <v>0.81014633781816503</v>
      </c>
    </row>
    <row r="655" spans="2:16" ht="18" customHeight="1">
      <c r="B655" s="284"/>
      <c r="C655" s="311"/>
      <c r="D655" s="312"/>
      <c r="E655" s="289"/>
      <c r="F655" s="79">
        <v>3</v>
      </c>
      <c r="G655" s="178" t="s">
        <v>107</v>
      </c>
      <c r="H655" s="234">
        <v>13.733537445422961</v>
      </c>
      <c r="I655" s="328"/>
      <c r="J655" s="328"/>
      <c r="K655" s="328"/>
      <c r="L655" s="234">
        <v>16.225309323647522</v>
      </c>
      <c r="M655" s="328">
        <v>1.8659683052472529</v>
      </c>
      <c r="N655" s="328">
        <v>0.74642226671599032</v>
      </c>
      <c r="O655" s="328">
        <v>1.5117073889808284E-2</v>
      </c>
      <c r="P655" s="328">
        <v>0.81014633781816503</v>
      </c>
    </row>
    <row r="656" spans="2:16" ht="18" customHeight="1">
      <c r="B656" s="284"/>
      <c r="C656" s="313"/>
      <c r="D656" s="314"/>
      <c r="E656" s="288"/>
      <c r="F656" s="82">
        <v>4</v>
      </c>
      <c r="G656" s="180" t="s">
        <v>108</v>
      </c>
      <c r="H656" s="235">
        <v>1.1532785881601977</v>
      </c>
      <c r="I656" s="329"/>
      <c r="J656" s="329"/>
      <c r="K656" s="329"/>
      <c r="L656" s="235">
        <v>1.9390714716508295</v>
      </c>
      <c r="M656" s="329">
        <v>1.8659683052472529</v>
      </c>
      <c r="N656" s="329">
        <v>0.74642226671599032</v>
      </c>
      <c r="O656" s="329">
        <v>1.5117073889808284E-2</v>
      </c>
      <c r="P656" s="329">
        <v>0.81014633781816503</v>
      </c>
    </row>
    <row r="657" spans="2:16" ht="18" customHeight="1">
      <c r="B657" s="284"/>
      <c r="C657" s="309" t="s">
        <v>373</v>
      </c>
      <c r="D657" s="310"/>
      <c r="E657" s="287" t="str">
        <f>HYPERLINK("#LAYOUT_m1!lay중YINT2B16","YINT2B16")</f>
        <v>YINT2B16</v>
      </c>
      <c r="F657" s="78">
        <v>1</v>
      </c>
      <c r="G657" s="179" t="s">
        <v>105</v>
      </c>
      <c r="H657" s="233">
        <v>30.020017019152519</v>
      </c>
      <c r="I657" s="327">
        <v>2.0696781522425498</v>
      </c>
      <c r="J657" s="327">
        <v>1.7555995425681727E-2</v>
      </c>
      <c r="K657" s="327">
        <v>0.84824760828920898</v>
      </c>
      <c r="L657" s="233">
        <v>29.890578252084556</v>
      </c>
      <c r="M657" s="327">
        <v>2.0348930737496556</v>
      </c>
      <c r="N657" s="327">
        <v>0.86325232851520017</v>
      </c>
      <c r="O657" s="327">
        <v>1.7483199279582501E-2</v>
      </c>
      <c r="P657" s="327">
        <v>0.85917041564088514</v>
      </c>
    </row>
    <row r="658" spans="2:16" ht="18" customHeight="1">
      <c r="B658" s="284"/>
      <c r="C658" s="311"/>
      <c r="D658" s="312"/>
      <c r="E658" s="289"/>
      <c r="F658" s="79">
        <v>2</v>
      </c>
      <c r="G658" s="178" t="s">
        <v>106</v>
      </c>
      <c r="H658" s="234">
        <v>39.629148014947447</v>
      </c>
      <c r="I658" s="328"/>
      <c r="J658" s="328"/>
      <c r="K658" s="328"/>
      <c r="L658" s="234">
        <v>42.4001265325753</v>
      </c>
      <c r="M658" s="328">
        <v>2.0348930737496556</v>
      </c>
      <c r="N658" s="328">
        <v>0.86325232851520017</v>
      </c>
      <c r="O658" s="328">
        <v>1.7483199279582501E-2</v>
      </c>
      <c r="P658" s="328">
        <v>0.85917041564088514</v>
      </c>
    </row>
    <row r="659" spans="2:16" ht="18" customHeight="1">
      <c r="B659" s="284"/>
      <c r="C659" s="311"/>
      <c r="D659" s="312"/>
      <c r="E659" s="289"/>
      <c r="F659" s="79">
        <v>3</v>
      </c>
      <c r="G659" s="178" t="s">
        <v>107</v>
      </c>
      <c r="H659" s="234">
        <v>23.713837688392754</v>
      </c>
      <c r="I659" s="328"/>
      <c r="J659" s="328"/>
      <c r="K659" s="328"/>
      <c r="L659" s="234">
        <v>22.038704803629606</v>
      </c>
      <c r="M659" s="328">
        <v>2.0348930737496556</v>
      </c>
      <c r="N659" s="328">
        <v>0.86325232851520017</v>
      </c>
      <c r="O659" s="328">
        <v>1.7483199279582501E-2</v>
      </c>
      <c r="P659" s="328">
        <v>0.85917041564088514</v>
      </c>
    </row>
    <row r="660" spans="2:16" ht="18" customHeight="1">
      <c r="B660" s="286"/>
      <c r="C660" s="313"/>
      <c r="D660" s="314"/>
      <c r="E660" s="288"/>
      <c r="F660" s="82">
        <v>4</v>
      </c>
      <c r="G660" s="180" t="s">
        <v>108</v>
      </c>
      <c r="H660" s="235">
        <v>6.6369972775072892</v>
      </c>
      <c r="I660" s="329"/>
      <c r="J660" s="329"/>
      <c r="K660" s="329"/>
      <c r="L660" s="235">
        <v>5.6705904117105597</v>
      </c>
      <c r="M660" s="329">
        <v>2.0348930737496556</v>
      </c>
      <c r="N660" s="329">
        <v>0.86325232851520017</v>
      </c>
      <c r="O660" s="329">
        <v>1.7483199279582501E-2</v>
      </c>
      <c r="P660" s="329">
        <v>0.85917041564088514</v>
      </c>
    </row>
    <row r="661" spans="2:16" ht="18" customHeight="1">
      <c r="B661" s="281" t="s">
        <v>374</v>
      </c>
      <c r="C661" s="281"/>
      <c r="D661" s="282"/>
      <c r="E661" s="287" t="str">
        <f>HYPERLINK("#LAYOUT_m1!lay중YFUR1A00","YFUR1A00")</f>
        <v>YFUR1A00</v>
      </c>
      <c r="F661" s="78">
        <v>1</v>
      </c>
      <c r="G661" s="179" t="s">
        <v>375</v>
      </c>
      <c r="H661" s="233">
        <v>6.2542697612526643</v>
      </c>
      <c r="I661" s="327"/>
      <c r="J661" s="327"/>
      <c r="K661" s="327"/>
      <c r="L661" s="233">
        <v>4.7299001753857457</v>
      </c>
      <c r="M661" s="327"/>
      <c r="N661" s="327"/>
      <c r="O661" s="327"/>
      <c r="P661" s="327"/>
    </row>
    <row r="662" spans="2:16" ht="18" customHeight="1">
      <c r="B662" s="283"/>
      <c r="C662" s="283"/>
      <c r="D662" s="284"/>
      <c r="E662" s="289"/>
      <c r="F662" s="79">
        <v>2</v>
      </c>
      <c r="G662" s="178" t="s">
        <v>376</v>
      </c>
      <c r="H662" s="234">
        <v>9.2756440754233882</v>
      </c>
      <c r="I662" s="328"/>
      <c r="J662" s="328"/>
      <c r="K662" s="328"/>
      <c r="L662" s="234">
        <v>8.2961714878373112</v>
      </c>
      <c r="M662" s="328"/>
      <c r="N662" s="328"/>
      <c r="O662" s="328"/>
      <c r="P662" s="328"/>
    </row>
    <row r="663" spans="2:16" ht="18" customHeight="1">
      <c r="B663" s="283"/>
      <c r="C663" s="283"/>
      <c r="D663" s="284"/>
      <c r="E663" s="289"/>
      <c r="F663" s="79">
        <v>3</v>
      </c>
      <c r="G663" s="178" t="s">
        <v>377</v>
      </c>
      <c r="H663" s="234">
        <v>46.495273058606919</v>
      </c>
      <c r="I663" s="328"/>
      <c r="J663" s="328"/>
      <c r="K663" s="328"/>
      <c r="L663" s="234">
        <v>56.530465534746178</v>
      </c>
      <c r="M663" s="328"/>
      <c r="N663" s="328"/>
      <c r="O663" s="328"/>
      <c r="P663" s="328"/>
    </row>
    <row r="664" spans="2:16" ht="18" customHeight="1">
      <c r="B664" s="283"/>
      <c r="C664" s="283"/>
      <c r="D664" s="284"/>
      <c r="E664" s="289"/>
      <c r="F664" s="79">
        <v>4</v>
      </c>
      <c r="G664" s="178" t="s">
        <v>378</v>
      </c>
      <c r="H664" s="234">
        <v>9.8626716061642519</v>
      </c>
      <c r="I664" s="328"/>
      <c r="J664" s="328"/>
      <c r="K664" s="328"/>
      <c r="L664" s="234">
        <v>8.831046900100862</v>
      </c>
      <c r="M664" s="328"/>
      <c r="N664" s="328"/>
      <c r="O664" s="328"/>
      <c r="P664" s="328"/>
    </row>
    <row r="665" spans="2:16" ht="18" customHeight="1">
      <c r="B665" s="285"/>
      <c r="C665" s="285"/>
      <c r="D665" s="286"/>
      <c r="E665" s="288"/>
      <c r="F665" s="82">
        <v>5</v>
      </c>
      <c r="G665" s="180" t="s">
        <v>129</v>
      </c>
      <c r="H665" s="235">
        <v>28.112141498552781</v>
      </c>
      <c r="I665" s="329"/>
      <c r="J665" s="329"/>
      <c r="K665" s="329"/>
      <c r="L665" s="235">
        <v>21.612415901929893</v>
      </c>
      <c r="M665" s="329"/>
      <c r="N665" s="329"/>
      <c r="O665" s="329"/>
      <c r="P665" s="329"/>
    </row>
    <row r="666" spans="2:16" ht="18" customHeight="1">
      <c r="B666" s="281" t="s">
        <v>379</v>
      </c>
      <c r="C666" s="281"/>
      <c r="D666" s="282"/>
      <c r="E666" s="287" t="str">
        <f>HYPERLINK("#LAYOUT_m1!lay중YFUR1B00","YFUR1B00")</f>
        <v>YFUR1B00</v>
      </c>
      <c r="F666" s="78">
        <v>1</v>
      </c>
      <c r="G666" s="179" t="s">
        <v>380</v>
      </c>
      <c r="H666" s="233">
        <v>25.750971214403378</v>
      </c>
      <c r="I666" s="327"/>
      <c r="J666" s="327"/>
      <c r="K666" s="327"/>
      <c r="L666" s="233">
        <v>36.697912404973067</v>
      </c>
      <c r="M666" s="327"/>
      <c r="N666" s="327"/>
      <c r="O666" s="327"/>
      <c r="P666" s="327"/>
    </row>
    <row r="667" spans="2:16" ht="18" customHeight="1">
      <c r="B667" s="283"/>
      <c r="C667" s="283"/>
      <c r="D667" s="284"/>
      <c r="E667" s="289"/>
      <c r="F667" s="79">
        <v>2</v>
      </c>
      <c r="G667" s="178" t="s">
        <v>381</v>
      </c>
      <c r="H667" s="234">
        <v>47.655062441732682</v>
      </c>
      <c r="I667" s="328"/>
      <c r="J667" s="328"/>
      <c r="K667" s="328"/>
      <c r="L667" s="234">
        <v>48.107013706293046</v>
      </c>
      <c r="M667" s="328"/>
      <c r="N667" s="328"/>
      <c r="O667" s="328"/>
      <c r="P667" s="328"/>
    </row>
    <row r="668" spans="2:16" ht="18" customHeight="1">
      <c r="B668" s="285"/>
      <c r="C668" s="285"/>
      <c r="D668" s="286"/>
      <c r="E668" s="288"/>
      <c r="F668" s="82">
        <v>3</v>
      </c>
      <c r="G668" s="180" t="s">
        <v>382</v>
      </c>
      <c r="H668" s="235">
        <v>26.593966343863944</v>
      </c>
      <c r="I668" s="329"/>
      <c r="J668" s="329"/>
      <c r="K668" s="329"/>
      <c r="L668" s="235">
        <v>15.195073888733891</v>
      </c>
      <c r="M668" s="329"/>
      <c r="N668" s="329"/>
      <c r="O668" s="329"/>
      <c r="P668" s="329"/>
    </row>
    <row r="669" spans="2:16" ht="18" customHeight="1">
      <c r="B669" s="282" t="s">
        <v>153</v>
      </c>
      <c r="C669" s="309" t="s">
        <v>154</v>
      </c>
      <c r="D669" s="310"/>
      <c r="E669" s="287" t="str">
        <f>HYPERLINK("#LAYOUT_m1!lay중YFUR2A01","YFUR2A01")</f>
        <v>YFUR2A01</v>
      </c>
      <c r="F669" s="78">
        <v>1</v>
      </c>
      <c r="G669" s="179" t="s">
        <v>155</v>
      </c>
      <c r="H669" s="233">
        <v>6.3759647240824897</v>
      </c>
      <c r="I669" s="327">
        <v>3.0252744128947486</v>
      </c>
      <c r="J669" s="327">
        <v>1.7664773895115213E-2</v>
      </c>
      <c r="K669" s="327">
        <v>0.58390649852528886</v>
      </c>
      <c r="L669" s="233">
        <v>5.1891421298069718</v>
      </c>
      <c r="M669" s="327">
        <v>3.231297416844336</v>
      </c>
      <c r="N669" s="327">
        <v>1.2997616733744481</v>
      </c>
      <c r="O669" s="327">
        <v>2.632369656118334E-2</v>
      </c>
      <c r="P669" s="327">
        <v>0.81464790037467005</v>
      </c>
    </row>
    <row r="670" spans="2:16" ht="18" customHeight="1">
      <c r="B670" s="284"/>
      <c r="C670" s="311"/>
      <c r="D670" s="312"/>
      <c r="E670" s="289"/>
      <c r="F670" s="79">
        <v>2</v>
      </c>
      <c r="G670" s="178" t="s">
        <v>156</v>
      </c>
      <c r="H670" s="234">
        <v>18.446360225539749</v>
      </c>
      <c r="I670" s="328"/>
      <c r="J670" s="328"/>
      <c r="K670" s="328"/>
      <c r="L670" s="234">
        <v>16.591298415236771</v>
      </c>
      <c r="M670" s="328">
        <v>3.231297416844336</v>
      </c>
      <c r="N670" s="328">
        <v>1.2997616733744481</v>
      </c>
      <c r="O670" s="328">
        <v>2.632369656118334E-2</v>
      </c>
      <c r="P670" s="328">
        <v>0.81464790037467005</v>
      </c>
    </row>
    <row r="671" spans="2:16" ht="18" customHeight="1">
      <c r="B671" s="284"/>
      <c r="C671" s="311"/>
      <c r="D671" s="312"/>
      <c r="E671" s="289"/>
      <c r="F671" s="79">
        <v>3</v>
      </c>
      <c r="G671" s="178" t="s">
        <v>157</v>
      </c>
      <c r="H671" s="234">
        <v>39.361286618465151</v>
      </c>
      <c r="I671" s="328"/>
      <c r="J671" s="328"/>
      <c r="K671" s="328"/>
      <c r="L671" s="234">
        <v>45.474516149147568</v>
      </c>
      <c r="M671" s="328">
        <v>3.231297416844336</v>
      </c>
      <c r="N671" s="328">
        <v>1.2997616733744481</v>
      </c>
      <c r="O671" s="328">
        <v>2.632369656118334E-2</v>
      </c>
      <c r="P671" s="328">
        <v>0.81464790037467005</v>
      </c>
    </row>
    <row r="672" spans="2:16" ht="18" customHeight="1">
      <c r="B672" s="284"/>
      <c r="C672" s="311"/>
      <c r="D672" s="312"/>
      <c r="E672" s="289"/>
      <c r="F672" s="79">
        <v>4</v>
      </c>
      <c r="G672" s="178" t="s">
        <v>158</v>
      </c>
      <c r="H672" s="234">
        <v>33.671520690271542</v>
      </c>
      <c r="I672" s="328"/>
      <c r="J672" s="328"/>
      <c r="K672" s="328"/>
      <c r="L672" s="234">
        <v>28.40647304243938</v>
      </c>
      <c r="M672" s="328">
        <v>3.231297416844336</v>
      </c>
      <c r="N672" s="328">
        <v>1.2997616733744481</v>
      </c>
      <c r="O672" s="328">
        <v>2.632369656118334E-2</v>
      </c>
      <c r="P672" s="328">
        <v>0.81464790037467005</v>
      </c>
    </row>
    <row r="673" spans="2:16" ht="18" customHeight="1">
      <c r="B673" s="284"/>
      <c r="C673" s="313"/>
      <c r="D673" s="314"/>
      <c r="E673" s="288"/>
      <c r="F673" s="82">
        <v>8</v>
      </c>
      <c r="G673" s="180" t="s">
        <v>90</v>
      </c>
      <c r="H673" s="235">
        <v>2.1448677416410682</v>
      </c>
      <c r="I673" s="329"/>
      <c r="J673" s="329"/>
      <c r="K673" s="329"/>
      <c r="L673" s="235">
        <v>4.3385702633693368</v>
      </c>
      <c r="M673" s="329">
        <v>3.231297416844336</v>
      </c>
      <c r="N673" s="329">
        <v>1.2997616733744481</v>
      </c>
      <c r="O673" s="329">
        <v>2.632369656118334E-2</v>
      </c>
      <c r="P673" s="329">
        <v>0.81464790037467005</v>
      </c>
    </row>
    <row r="674" spans="2:16" ht="18" customHeight="1">
      <c r="B674" s="284"/>
      <c r="C674" s="309" t="s">
        <v>159</v>
      </c>
      <c r="D674" s="310"/>
      <c r="E674" s="287" t="str">
        <f>HYPERLINK("#LAYOUT_m1!lay중YFUR2A02","YFUR2A02")</f>
        <v>YFUR2A02</v>
      </c>
      <c r="F674" s="78">
        <v>1</v>
      </c>
      <c r="G674" s="179" t="s">
        <v>155</v>
      </c>
      <c r="H674" s="233">
        <v>2.8137034707407711</v>
      </c>
      <c r="I674" s="327">
        <v>3.4335830315652855</v>
      </c>
      <c r="J674" s="327">
        <v>1.511067985466193E-2</v>
      </c>
      <c r="K674" s="327">
        <v>0.44008488263565709</v>
      </c>
      <c r="L674" s="233">
        <v>2.2656002286198738</v>
      </c>
      <c r="M674" s="327">
        <v>3.5340650569152645</v>
      </c>
      <c r="N674" s="327">
        <v>1.0535214166540663</v>
      </c>
      <c r="O674" s="327">
        <v>2.1336663990645436E-2</v>
      </c>
      <c r="P674" s="327">
        <v>0.60374281873773128</v>
      </c>
    </row>
    <row r="675" spans="2:16" ht="18" customHeight="1">
      <c r="B675" s="284"/>
      <c r="C675" s="311"/>
      <c r="D675" s="312"/>
      <c r="E675" s="289"/>
      <c r="F675" s="79">
        <v>2</v>
      </c>
      <c r="G675" s="178" t="s">
        <v>156</v>
      </c>
      <c r="H675" s="234">
        <v>8.1690582709265609</v>
      </c>
      <c r="I675" s="328"/>
      <c r="J675" s="328"/>
      <c r="K675" s="328"/>
      <c r="L675" s="234">
        <v>8.1873696208736852</v>
      </c>
      <c r="M675" s="328">
        <v>3.5340650569152645</v>
      </c>
      <c r="N675" s="328">
        <v>1.0535214166540663</v>
      </c>
      <c r="O675" s="328">
        <v>2.1336663990645436E-2</v>
      </c>
      <c r="P675" s="328">
        <v>0.60374281873773128</v>
      </c>
    </row>
    <row r="676" spans="2:16" ht="18" customHeight="1">
      <c r="B676" s="284"/>
      <c r="C676" s="311"/>
      <c r="D676" s="312"/>
      <c r="E676" s="289"/>
      <c r="F676" s="79">
        <v>3</v>
      </c>
      <c r="G676" s="178" t="s">
        <v>157</v>
      </c>
      <c r="H676" s="234">
        <v>30.99925800410146</v>
      </c>
      <c r="I676" s="328"/>
      <c r="J676" s="328"/>
      <c r="K676" s="328"/>
      <c r="L676" s="234">
        <v>34.640537262594151</v>
      </c>
      <c r="M676" s="328">
        <v>3.5340650569152645</v>
      </c>
      <c r="N676" s="328">
        <v>1.0535214166540663</v>
      </c>
      <c r="O676" s="328">
        <v>2.1336663990645436E-2</v>
      </c>
      <c r="P676" s="328">
        <v>0.60374281873773128</v>
      </c>
    </row>
    <row r="677" spans="2:16" ht="18" customHeight="1">
      <c r="B677" s="284"/>
      <c r="C677" s="311"/>
      <c r="D677" s="312"/>
      <c r="E677" s="289"/>
      <c r="F677" s="79">
        <v>4</v>
      </c>
      <c r="G677" s="178" t="s">
        <v>158</v>
      </c>
      <c r="H677" s="234">
        <v>56.493993627060235</v>
      </c>
      <c r="I677" s="328"/>
      <c r="J677" s="328"/>
      <c r="K677" s="328"/>
      <c r="L677" s="234">
        <v>52.10184716747969</v>
      </c>
      <c r="M677" s="328">
        <v>3.5340650569152645</v>
      </c>
      <c r="N677" s="328">
        <v>1.0535214166540663</v>
      </c>
      <c r="O677" s="328">
        <v>2.1336663990645436E-2</v>
      </c>
      <c r="P677" s="328">
        <v>0.60374281873773128</v>
      </c>
    </row>
    <row r="678" spans="2:16" ht="18" customHeight="1">
      <c r="B678" s="284"/>
      <c r="C678" s="313"/>
      <c r="D678" s="314"/>
      <c r="E678" s="288"/>
      <c r="F678" s="82">
        <v>8</v>
      </c>
      <c r="G678" s="180" t="s">
        <v>90</v>
      </c>
      <c r="H678" s="235">
        <v>1.5239866271709817</v>
      </c>
      <c r="I678" s="329"/>
      <c r="J678" s="329"/>
      <c r="K678" s="329"/>
      <c r="L678" s="235">
        <v>2.8046457204325792</v>
      </c>
      <c r="M678" s="329">
        <v>3.5340650569152645</v>
      </c>
      <c r="N678" s="329">
        <v>1.0535214166540663</v>
      </c>
      <c r="O678" s="329">
        <v>2.1336663990645436E-2</v>
      </c>
      <c r="P678" s="329">
        <v>0.60374281873773128</v>
      </c>
    </row>
    <row r="679" spans="2:16" ht="18" customHeight="1">
      <c r="B679" s="284"/>
      <c r="C679" s="309" t="s">
        <v>1604</v>
      </c>
      <c r="D679" s="310"/>
      <c r="E679" s="287" t="str">
        <f>HYPERLINK("#LAYOUT_m1!lay중YFUR2A03","YFUR2A03")</f>
        <v>YFUR2A03</v>
      </c>
      <c r="F679" s="78">
        <v>1</v>
      </c>
      <c r="G679" s="179" t="s">
        <v>155</v>
      </c>
      <c r="H679" s="233">
        <v>19.847351540701478</v>
      </c>
      <c r="I679" s="327">
        <v>2.6299820319562874</v>
      </c>
      <c r="J679" s="327">
        <v>2.3894873912078764E-2</v>
      </c>
      <c r="K679" s="327">
        <v>0.90855654608046066</v>
      </c>
      <c r="L679" s="233">
        <v>16.550316360804302</v>
      </c>
      <c r="M679" s="327">
        <v>3.4322211943177696</v>
      </c>
      <c r="N679" s="327">
        <v>2.1102554720148206</v>
      </c>
      <c r="O679" s="327">
        <v>4.2738392622146147E-2</v>
      </c>
      <c r="P679" s="327">
        <v>1.2452109057802545</v>
      </c>
    </row>
    <row r="680" spans="2:16" ht="18" customHeight="1">
      <c r="B680" s="284"/>
      <c r="C680" s="311"/>
      <c r="D680" s="312"/>
      <c r="E680" s="289"/>
      <c r="F680" s="79">
        <v>2</v>
      </c>
      <c r="G680" s="178" t="s">
        <v>156</v>
      </c>
      <c r="H680" s="234">
        <v>20.504081338915075</v>
      </c>
      <c r="I680" s="328"/>
      <c r="J680" s="328"/>
      <c r="K680" s="328"/>
      <c r="L680" s="234">
        <v>19.286610596433658</v>
      </c>
      <c r="M680" s="328">
        <v>3.4322211943177696</v>
      </c>
      <c r="N680" s="328">
        <v>2.1102554720148206</v>
      </c>
      <c r="O680" s="328">
        <v>4.2738392622146147E-2</v>
      </c>
      <c r="P680" s="328">
        <v>1.2452109057802545</v>
      </c>
    </row>
    <row r="681" spans="2:16" ht="18" customHeight="1">
      <c r="B681" s="284"/>
      <c r="C681" s="311"/>
      <c r="D681" s="312"/>
      <c r="E681" s="289"/>
      <c r="F681" s="79">
        <v>3</v>
      </c>
      <c r="G681" s="178" t="s">
        <v>157</v>
      </c>
      <c r="H681" s="234">
        <v>20.443810868831974</v>
      </c>
      <c r="I681" s="328"/>
      <c r="J681" s="328"/>
      <c r="K681" s="328"/>
      <c r="L681" s="234">
        <v>25.097597490688845</v>
      </c>
      <c r="M681" s="328">
        <v>3.4322211943177696</v>
      </c>
      <c r="N681" s="328">
        <v>2.1102554720148206</v>
      </c>
      <c r="O681" s="328">
        <v>4.2738392622146147E-2</v>
      </c>
      <c r="P681" s="328">
        <v>1.2452109057802545</v>
      </c>
    </row>
    <row r="682" spans="2:16" ht="18" customHeight="1">
      <c r="B682" s="284"/>
      <c r="C682" s="311"/>
      <c r="D682" s="312"/>
      <c r="E682" s="289"/>
      <c r="F682" s="79">
        <v>4</v>
      </c>
      <c r="G682" s="178" t="s">
        <v>158</v>
      </c>
      <c r="H682" s="234">
        <v>27.520406842279954</v>
      </c>
      <c r="I682" s="328"/>
      <c r="J682" s="328"/>
      <c r="K682" s="328"/>
      <c r="L682" s="234">
        <v>24.9295037526364</v>
      </c>
      <c r="M682" s="328">
        <v>3.4322211943177696</v>
      </c>
      <c r="N682" s="328">
        <v>2.1102554720148206</v>
      </c>
      <c r="O682" s="328">
        <v>4.2738392622146147E-2</v>
      </c>
      <c r="P682" s="328">
        <v>1.2452109057802545</v>
      </c>
    </row>
    <row r="683" spans="2:16" ht="18" customHeight="1">
      <c r="B683" s="284"/>
      <c r="C683" s="313"/>
      <c r="D683" s="314"/>
      <c r="E683" s="288"/>
      <c r="F683" s="82">
        <v>8</v>
      </c>
      <c r="G683" s="180" t="s">
        <v>90</v>
      </c>
      <c r="H683" s="235">
        <v>11.684349409271537</v>
      </c>
      <c r="I683" s="329"/>
      <c r="J683" s="329"/>
      <c r="K683" s="329"/>
      <c r="L683" s="235">
        <v>14.135971799436813</v>
      </c>
      <c r="M683" s="329">
        <v>3.4322211943177696</v>
      </c>
      <c r="N683" s="329">
        <v>2.1102554720148206</v>
      </c>
      <c r="O683" s="329">
        <v>4.2738392622146147E-2</v>
      </c>
      <c r="P683" s="329">
        <v>1.2452109057802545</v>
      </c>
    </row>
    <row r="684" spans="2:16" ht="18" customHeight="1">
      <c r="B684" s="284"/>
      <c r="C684" s="309" t="s">
        <v>1605</v>
      </c>
      <c r="D684" s="310"/>
      <c r="E684" s="287" t="str">
        <f>HYPERLINK("#LAYOUT_m1!lay중YFUR2A04","YFUR2A04")</f>
        <v>YFUR2A04</v>
      </c>
      <c r="F684" s="78">
        <v>1</v>
      </c>
      <c r="G684" s="179" t="s">
        <v>155</v>
      </c>
      <c r="H684" s="233">
        <v>26.703967202375701</v>
      </c>
      <c r="I684" s="327">
        <v>2.1759812739351778</v>
      </c>
      <c r="J684" s="327">
        <v>1.8917230244696357E-2</v>
      </c>
      <c r="K684" s="327">
        <v>0.86936548909197564</v>
      </c>
      <c r="L684" s="233">
        <v>27.174080564395673</v>
      </c>
      <c r="M684" s="327">
        <v>2.4795652529252545</v>
      </c>
      <c r="N684" s="327">
        <v>1.6432208519593543</v>
      </c>
      <c r="O684" s="327">
        <v>3.3279675786782259E-2</v>
      </c>
      <c r="P684" s="327">
        <v>1.3421576926649024</v>
      </c>
    </row>
    <row r="685" spans="2:16" ht="18" customHeight="1">
      <c r="B685" s="284"/>
      <c r="C685" s="311"/>
      <c r="D685" s="312"/>
      <c r="E685" s="289"/>
      <c r="F685" s="79">
        <v>2</v>
      </c>
      <c r="G685" s="178" t="s">
        <v>156</v>
      </c>
      <c r="H685" s="234">
        <v>33.598018066885004</v>
      </c>
      <c r="I685" s="328"/>
      <c r="J685" s="328"/>
      <c r="K685" s="328"/>
      <c r="L685" s="234">
        <v>34.65191124815</v>
      </c>
      <c r="M685" s="328">
        <v>2.4795652529252545</v>
      </c>
      <c r="N685" s="328">
        <v>1.6432208519593543</v>
      </c>
      <c r="O685" s="328">
        <v>3.3279675786782259E-2</v>
      </c>
      <c r="P685" s="328">
        <v>1.3421576926649024</v>
      </c>
    </row>
    <row r="686" spans="2:16" ht="18" customHeight="1">
      <c r="B686" s="284"/>
      <c r="C686" s="311"/>
      <c r="D686" s="312"/>
      <c r="E686" s="289"/>
      <c r="F686" s="79">
        <v>3</v>
      </c>
      <c r="G686" s="178" t="s">
        <v>157</v>
      </c>
      <c r="H686" s="234">
        <v>26.504389536581581</v>
      </c>
      <c r="I686" s="328"/>
      <c r="J686" s="328"/>
      <c r="K686" s="328"/>
      <c r="L686" s="234">
        <v>24.554835432072757</v>
      </c>
      <c r="M686" s="328">
        <v>2.4795652529252545</v>
      </c>
      <c r="N686" s="328">
        <v>1.6432208519593543</v>
      </c>
      <c r="O686" s="328">
        <v>3.3279675786782259E-2</v>
      </c>
      <c r="P686" s="328">
        <v>1.3421576926649024</v>
      </c>
    </row>
    <row r="687" spans="2:16" ht="18" customHeight="1">
      <c r="B687" s="284"/>
      <c r="C687" s="311"/>
      <c r="D687" s="312"/>
      <c r="E687" s="289"/>
      <c r="F687" s="79">
        <v>4</v>
      </c>
      <c r="G687" s="178" t="s">
        <v>158</v>
      </c>
      <c r="H687" s="234">
        <v>8.4844929872019339</v>
      </c>
      <c r="I687" s="328"/>
      <c r="J687" s="328"/>
      <c r="K687" s="328"/>
      <c r="L687" s="234">
        <v>7.7848165268601468</v>
      </c>
      <c r="M687" s="328">
        <v>2.4795652529252545</v>
      </c>
      <c r="N687" s="328">
        <v>1.6432208519593543</v>
      </c>
      <c r="O687" s="328">
        <v>3.3279675786782259E-2</v>
      </c>
      <c r="P687" s="328">
        <v>1.3421576926649024</v>
      </c>
    </row>
    <row r="688" spans="2:16" ht="18" customHeight="1">
      <c r="B688" s="284"/>
      <c r="C688" s="313"/>
      <c r="D688" s="314"/>
      <c r="E688" s="288"/>
      <c r="F688" s="82">
        <v>8</v>
      </c>
      <c r="G688" s="180" t="s">
        <v>90</v>
      </c>
      <c r="H688" s="235">
        <v>4.7091322069557719</v>
      </c>
      <c r="I688" s="329"/>
      <c r="J688" s="329"/>
      <c r="K688" s="329"/>
      <c r="L688" s="235">
        <v>5.8343562285214148</v>
      </c>
      <c r="M688" s="329">
        <v>2.4795652529252545</v>
      </c>
      <c r="N688" s="329">
        <v>1.6432208519593543</v>
      </c>
      <c r="O688" s="329">
        <v>3.3279675786782259E-2</v>
      </c>
      <c r="P688" s="329">
        <v>1.3421576926649024</v>
      </c>
    </row>
    <row r="689" spans="2:16" ht="18" customHeight="1">
      <c r="B689" s="284"/>
      <c r="C689" s="309" t="s">
        <v>160</v>
      </c>
      <c r="D689" s="310"/>
      <c r="E689" s="287" t="str">
        <f>HYPERLINK("#LAYOUT_m1!lay중YFUR2A05","YFUR2A05")</f>
        <v>YFUR2A05</v>
      </c>
      <c r="F689" s="78">
        <v>1</v>
      </c>
      <c r="G689" s="179" t="s">
        <v>155</v>
      </c>
      <c r="H689" s="233">
        <v>12.81541209965742</v>
      </c>
      <c r="I689" s="327">
        <v>2.643766601442985</v>
      </c>
      <c r="J689" s="327">
        <v>1.8177009841512128E-2</v>
      </c>
      <c r="K689" s="327">
        <v>0.68754215412173647</v>
      </c>
      <c r="L689" s="233">
        <v>15.462352865622963</v>
      </c>
      <c r="M689" s="327">
        <v>2.5557706334471035</v>
      </c>
      <c r="N689" s="327">
        <v>0.92878158742835226</v>
      </c>
      <c r="O689" s="327">
        <v>1.881034437306003E-2</v>
      </c>
      <c r="P689" s="327">
        <v>0.73599501171548853</v>
      </c>
    </row>
    <row r="690" spans="2:16" ht="18" customHeight="1">
      <c r="B690" s="284"/>
      <c r="C690" s="311"/>
      <c r="D690" s="312"/>
      <c r="E690" s="289"/>
      <c r="F690" s="79">
        <v>2</v>
      </c>
      <c r="G690" s="178" t="s">
        <v>156</v>
      </c>
      <c r="H690" s="234">
        <v>26.709846022814489</v>
      </c>
      <c r="I690" s="328"/>
      <c r="J690" s="328"/>
      <c r="K690" s="328"/>
      <c r="L690" s="234">
        <v>28.805466640699681</v>
      </c>
      <c r="M690" s="328">
        <v>2.5557706334471035</v>
      </c>
      <c r="N690" s="328">
        <v>0.92878158742835226</v>
      </c>
      <c r="O690" s="328">
        <v>1.881034437306003E-2</v>
      </c>
      <c r="P690" s="328">
        <v>0.73599501171548853</v>
      </c>
    </row>
    <row r="691" spans="2:16" ht="18" customHeight="1">
      <c r="B691" s="284"/>
      <c r="C691" s="311"/>
      <c r="D691" s="312"/>
      <c r="E691" s="289"/>
      <c r="F691" s="79">
        <v>3</v>
      </c>
      <c r="G691" s="178" t="s">
        <v>157</v>
      </c>
      <c r="H691" s="234">
        <v>41.484325903394378</v>
      </c>
      <c r="I691" s="328"/>
      <c r="J691" s="328"/>
      <c r="K691" s="328"/>
      <c r="L691" s="234">
        <v>40.424944777021473</v>
      </c>
      <c r="M691" s="328">
        <v>2.5557706334471035</v>
      </c>
      <c r="N691" s="328">
        <v>0.92878158742835226</v>
      </c>
      <c r="O691" s="328">
        <v>1.881034437306003E-2</v>
      </c>
      <c r="P691" s="328">
        <v>0.73599501171548853</v>
      </c>
    </row>
    <row r="692" spans="2:16" ht="18" customHeight="1">
      <c r="B692" s="284"/>
      <c r="C692" s="311"/>
      <c r="D692" s="312"/>
      <c r="E692" s="289"/>
      <c r="F692" s="79">
        <v>4</v>
      </c>
      <c r="G692" s="178" t="s">
        <v>158</v>
      </c>
      <c r="H692" s="234">
        <v>17.314387637031505</v>
      </c>
      <c r="I692" s="328"/>
      <c r="J692" s="328"/>
      <c r="K692" s="328"/>
      <c r="L692" s="234">
        <v>15.307235716655869</v>
      </c>
      <c r="M692" s="328">
        <v>2.5557706334471035</v>
      </c>
      <c r="N692" s="328">
        <v>0.92878158742835226</v>
      </c>
      <c r="O692" s="328">
        <v>1.881034437306003E-2</v>
      </c>
      <c r="P692" s="328">
        <v>0.73599501171548853</v>
      </c>
    </row>
    <row r="693" spans="2:16" ht="18" customHeight="1">
      <c r="B693" s="284"/>
      <c r="C693" s="313"/>
      <c r="D693" s="314"/>
      <c r="E693" s="288"/>
      <c r="F693" s="82">
        <v>8</v>
      </c>
      <c r="G693" s="180" t="s">
        <v>90</v>
      </c>
      <c r="H693" s="235">
        <v>1.6760283371021998</v>
      </c>
      <c r="I693" s="329"/>
      <c r="J693" s="329"/>
      <c r="K693" s="329"/>
      <c r="L693" s="235">
        <v>0</v>
      </c>
      <c r="M693" s="329">
        <v>2.5557706334471035</v>
      </c>
      <c r="N693" s="329">
        <v>0.92878158742835226</v>
      </c>
      <c r="O693" s="329">
        <v>1.881034437306003E-2</v>
      </c>
      <c r="P693" s="329">
        <v>0.73599501171548853</v>
      </c>
    </row>
    <row r="694" spans="2:16" ht="18" customHeight="1">
      <c r="B694" s="284"/>
      <c r="C694" s="309" t="s">
        <v>161</v>
      </c>
      <c r="D694" s="310"/>
      <c r="E694" s="287" t="str">
        <f>HYPERLINK("#LAYOUT_m1!lay중YFUR2A06","YFUR2A06")</f>
        <v>YFUR2A06</v>
      </c>
      <c r="F694" s="78">
        <v>1</v>
      </c>
      <c r="G694" s="179" t="s">
        <v>155</v>
      </c>
      <c r="H694" s="233">
        <v>35.163391103269724</v>
      </c>
      <c r="I694" s="327">
        <v>1.9070617677349555</v>
      </c>
      <c r="J694" s="327">
        <v>1.9709672056140357E-2</v>
      </c>
      <c r="K694" s="327">
        <v>1.0335098941000649</v>
      </c>
      <c r="L694" s="233">
        <v>33.530985443121089</v>
      </c>
      <c r="M694" s="327">
        <v>2.7609380242521189</v>
      </c>
      <c r="N694" s="327">
        <v>2.2347437992961763</v>
      </c>
      <c r="O694" s="327">
        <v>4.52596186437259E-2</v>
      </c>
      <c r="P694" s="327">
        <v>1.6392841217790755</v>
      </c>
    </row>
    <row r="695" spans="2:16" ht="18" customHeight="1">
      <c r="B695" s="284"/>
      <c r="C695" s="311"/>
      <c r="D695" s="312"/>
      <c r="E695" s="289"/>
      <c r="F695" s="79">
        <v>2</v>
      </c>
      <c r="G695" s="178" t="s">
        <v>156</v>
      </c>
      <c r="H695" s="234">
        <v>27.217723425569631</v>
      </c>
      <c r="I695" s="328"/>
      <c r="J695" s="328"/>
      <c r="K695" s="328"/>
      <c r="L695" s="234">
        <v>29.601015651263182</v>
      </c>
      <c r="M695" s="328">
        <v>2.7609380242521189</v>
      </c>
      <c r="N695" s="328">
        <v>2.2347437992961763</v>
      </c>
      <c r="O695" s="328">
        <v>4.52596186437259E-2</v>
      </c>
      <c r="P695" s="328">
        <v>1.6392841217790755</v>
      </c>
    </row>
    <row r="696" spans="2:16" ht="18" customHeight="1">
      <c r="B696" s="284"/>
      <c r="C696" s="311"/>
      <c r="D696" s="312"/>
      <c r="E696" s="289"/>
      <c r="F696" s="79">
        <v>3</v>
      </c>
      <c r="G696" s="178" t="s">
        <v>157</v>
      </c>
      <c r="H696" s="234">
        <v>17.12992161868133</v>
      </c>
      <c r="I696" s="328"/>
      <c r="J696" s="328"/>
      <c r="K696" s="328"/>
      <c r="L696" s="234">
        <v>17.79850153883357</v>
      </c>
      <c r="M696" s="328">
        <v>2.7609380242521189</v>
      </c>
      <c r="N696" s="328">
        <v>2.2347437992961763</v>
      </c>
      <c r="O696" s="328">
        <v>4.52596186437259E-2</v>
      </c>
      <c r="P696" s="328">
        <v>1.6392841217790755</v>
      </c>
    </row>
    <row r="697" spans="2:16" ht="18" customHeight="1">
      <c r="B697" s="284"/>
      <c r="C697" s="311"/>
      <c r="D697" s="312"/>
      <c r="E697" s="289"/>
      <c r="F697" s="79">
        <v>4</v>
      </c>
      <c r="G697" s="178" t="s">
        <v>158</v>
      </c>
      <c r="H697" s="234">
        <v>5.0856036625399685</v>
      </c>
      <c r="I697" s="328"/>
      <c r="J697" s="328"/>
      <c r="K697" s="328"/>
      <c r="L697" s="234">
        <v>5.6476744677983106</v>
      </c>
      <c r="M697" s="328">
        <v>2.7609380242521189</v>
      </c>
      <c r="N697" s="328">
        <v>2.2347437992961763</v>
      </c>
      <c r="O697" s="328">
        <v>4.52596186437259E-2</v>
      </c>
      <c r="P697" s="328">
        <v>1.6392841217790755</v>
      </c>
    </row>
    <row r="698" spans="2:16" ht="18" customHeight="1">
      <c r="B698" s="284"/>
      <c r="C698" s="313"/>
      <c r="D698" s="314"/>
      <c r="E698" s="288"/>
      <c r="F698" s="82">
        <v>8</v>
      </c>
      <c r="G698" s="180" t="s">
        <v>90</v>
      </c>
      <c r="H698" s="235">
        <v>15.40336018993936</v>
      </c>
      <c r="I698" s="329"/>
      <c r="J698" s="329"/>
      <c r="K698" s="329"/>
      <c r="L698" s="235">
        <v>13.421822898983839</v>
      </c>
      <c r="M698" s="329">
        <v>2.7609380242521189</v>
      </c>
      <c r="N698" s="329">
        <v>2.2347437992961763</v>
      </c>
      <c r="O698" s="329">
        <v>4.52596186437259E-2</v>
      </c>
      <c r="P698" s="329">
        <v>1.6392841217790755</v>
      </c>
    </row>
    <row r="699" spans="2:16" ht="18" customHeight="1">
      <c r="B699" s="284"/>
      <c r="C699" s="309" t="s">
        <v>162</v>
      </c>
      <c r="D699" s="310"/>
      <c r="E699" s="287" t="str">
        <f>HYPERLINK("#LAYOUT_m1!lay중YFUR2A07","YFUR2A07")</f>
        <v>YFUR2A07</v>
      </c>
      <c r="F699" s="78">
        <v>1</v>
      </c>
      <c r="G699" s="179" t="s">
        <v>155</v>
      </c>
      <c r="H699" s="233">
        <v>24.255962467956625</v>
      </c>
      <c r="I699" s="327">
        <v>2.5258561159968762</v>
      </c>
      <c r="J699" s="327">
        <v>2.3123951666827122E-2</v>
      </c>
      <c r="K699" s="327">
        <v>0.91548966389563413</v>
      </c>
      <c r="L699" s="233">
        <v>17.350391141083673</v>
      </c>
      <c r="M699" s="327">
        <v>3.0968147033765359</v>
      </c>
      <c r="N699" s="327">
        <v>1.7983589068276797</v>
      </c>
      <c r="O699" s="327">
        <v>3.6421641860334496E-2</v>
      </c>
      <c r="P699" s="327">
        <v>1.1761001334895196</v>
      </c>
    </row>
    <row r="700" spans="2:16" ht="18" customHeight="1">
      <c r="B700" s="284"/>
      <c r="C700" s="311"/>
      <c r="D700" s="312"/>
      <c r="E700" s="289"/>
      <c r="F700" s="79">
        <v>2</v>
      </c>
      <c r="G700" s="178" t="s">
        <v>156</v>
      </c>
      <c r="H700" s="234">
        <v>17.97236606937712</v>
      </c>
      <c r="I700" s="328"/>
      <c r="J700" s="328"/>
      <c r="K700" s="328"/>
      <c r="L700" s="234">
        <v>20.749827779761254</v>
      </c>
      <c r="M700" s="328">
        <v>3.0968147033765359</v>
      </c>
      <c r="N700" s="328">
        <v>1.7983589068276797</v>
      </c>
      <c r="O700" s="328">
        <v>3.6421641860334496E-2</v>
      </c>
      <c r="P700" s="328">
        <v>1.1761001334895196</v>
      </c>
    </row>
    <row r="701" spans="2:16" ht="18" customHeight="1">
      <c r="B701" s="284"/>
      <c r="C701" s="311"/>
      <c r="D701" s="312"/>
      <c r="E701" s="289"/>
      <c r="F701" s="79">
        <v>3</v>
      </c>
      <c r="G701" s="178" t="s">
        <v>157</v>
      </c>
      <c r="H701" s="234">
        <v>27.016356718275432</v>
      </c>
      <c r="I701" s="328"/>
      <c r="J701" s="328"/>
      <c r="K701" s="328"/>
      <c r="L701" s="234">
        <v>30.553832302046558</v>
      </c>
      <c r="M701" s="328">
        <v>3.0968147033765359</v>
      </c>
      <c r="N701" s="328">
        <v>1.7983589068276797</v>
      </c>
      <c r="O701" s="328">
        <v>3.6421641860334496E-2</v>
      </c>
      <c r="P701" s="328">
        <v>1.1761001334895196</v>
      </c>
    </row>
    <row r="702" spans="2:16" ht="18" customHeight="1">
      <c r="B702" s="284"/>
      <c r="C702" s="311"/>
      <c r="D702" s="312"/>
      <c r="E702" s="289"/>
      <c r="F702" s="79">
        <v>4</v>
      </c>
      <c r="G702" s="178" t="s">
        <v>158</v>
      </c>
      <c r="H702" s="234">
        <v>22.828400508801568</v>
      </c>
      <c r="I702" s="328"/>
      <c r="J702" s="328"/>
      <c r="K702" s="328"/>
      <c r="L702" s="234">
        <v>22.89941587148985</v>
      </c>
      <c r="M702" s="328">
        <v>3.0968147033765359</v>
      </c>
      <c r="N702" s="328">
        <v>1.7983589068276797</v>
      </c>
      <c r="O702" s="328">
        <v>3.6421641860334496E-2</v>
      </c>
      <c r="P702" s="328">
        <v>1.1761001334895196</v>
      </c>
    </row>
    <row r="703" spans="2:16" ht="18" customHeight="1">
      <c r="B703" s="284"/>
      <c r="C703" s="313"/>
      <c r="D703" s="314"/>
      <c r="E703" s="288"/>
      <c r="F703" s="82">
        <v>8</v>
      </c>
      <c r="G703" s="180" t="s">
        <v>90</v>
      </c>
      <c r="H703" s="235">
        <v>7.9269142355892681</v>
      </c>
      <c r="I703" s="329"/>
      <c r="J703" s="329"/>
      <c r="K703" s="329"/>
      <c r="L703" s="235">
        <v>8.4465329056186373</v>
      </c>
      <c r="M703" s="329">
        <v>3.0968147033765359</v>
      </c>
      <c r="N703" s="329">
        <v>1.7983589068276797</v>
      </c>
      <c r="O703" s="329">
        <v>3.6421641860334496E-2</v>
      </c>
      <c r="P703" s="329">
        <v>1.1761001334895196</v>
      </c>
    </row>
    <row r="704" spans="2:16" ht="18" customHeight="1">
      <c r="B704" s="284"/>
      <c r="C704" s="309" t="s">
        <v>101</v>
      </c>
      <c r="D704" s="310"/>
      <c r="E704" s="287" t="str">
        <f>HYPERLINK("#LAYOUT_m1!lay중YFUR2A08","YFUR2A08")</f>
        <v>YFUR2A08</v>
      </c>
      <c r="F704" s="78">
        <v>1</v>
      </c>
      <c r="G704" s="179" t="s">
        <v>155</v>
      </c>
      <c r="H704" s="233">
        <v>0</v>
      </c>
      <c r="I704" s="327">
        <v>3.6444543567242649</v>
      </c>
      <c r="J704" s="327">
        <v>5.2534627851175353E-2</v>
      </c>
      <c r="K704" s="327">
        <v>1.4414950143152545</v>
      </c>
      <c r="L704" s="233">
        <v>3.1564222535451804E-2</v>
      </c>
      <c r="M704" s="327">
        <v>7.851101471199347</v>
      </c>
      <c r="N704" s="327">
        <v>0.80429833059297817</v>
      </c>
      <c r="O704" s="327">
        <v>1.6289221041753565E-2</v>
      </c>
      <c r="P704" s="327">
        <v>0.20747688845327322</v>
      </c>
    </row>
    <row r="705" spans="2:16" ht="18" customHeight="1">
      <c r="B705" s="284"/>
      <c r="C705" s="311"/>
      <c r="D705" s="312"/>
      <c r="E705" s="289"/>
      <c r="F705" s="79">
        <v>2</v>
      </c>
      <c r="G705" s="178" t="s">
        <v>156</v>
      </c>
      <c r="H705" s="234">
        <v>7.9621999601345528E-2</v>
      </c>
      <c r="I705" s="328"/>
      <c r="J705" s="328"/>
      <c r="K705" s="328"/>
      <c r="L705" s="234">
        <v>0.23917994968445466</v>
      </c>
      <c r="M705" s="328">
        <v>7.851101471199347</v>
      </c>
      <c r="N705" s="328">
        <v>0.80429833059297817</v>
      </c>
      <c r="O705" s="328">
        <v>1.6289221041753565E-2</v>
      </c>
      <c r="P705" s="328">
        <v>0.20747688845327322</v>
      </c>
    </row>
    <row r="706" spans="2:16" ht="18" customHeight="1">
      <c r="B706" s="284"/>
      <c r="C706" s="311"/>
      <c r="D706" s="312"/>
      <c r="E706" s="289"/>
      <c r="F706" s="79">
        <v>3</v>
      </c>
      <c r="G706" s="178" t="s">
        <v>157</v>
      </c>
      <c r="H706" s="234">
        <v>1.3084650822792641</v>
      </c>
      <c r="I706" s="328"/>
      <c r="J706" s="328"/>
      <c r="K706" s="328"/>
      <c r="L706" s="234">
        <v>0.75754083708600306</v>
      </c>
      <c r="M706" s="328">
        <v>7.851101471199347</v>
      </c>
      <c r="N706" s="328">
        <v>0.80429833059297817</v>
      </c>
      <c r="O706" s="328">
        <v>1.6289221041753565E-2</v>
      </c>
      <c r="P706" s="328">
        <v>0.20747688845327322</v>
      </c>
    </row>
    <row r="707" spans="2:16" ht="18" customHeight="1">
      <c r="B707" s="284"/>
      <c r="C707" s="311"/>
      <c r="D707" s="312"/>
      <c r="E707" s="289"/>
      <c r="F707" s="79">
        <v>4</v>
      </c>
      <c r="G707" s="178" t="s">
        <v>158</v>
      </c>
      <c r="H707" s="234">
        <v>2.7399597926628632</v>
      </c>
      <c r="I707" s="328"/>
      <c r="J707" s="328"/>
      <c r="K707" s="328"/>
      <c r="L707" s="234">
        <v>2.3615298596951457</v>
      </c>
      <c r="M707" s="328">
        <v>7.851101471199347</v>
      </c>
      <c r="N707" s="328">
        <v>0.80429833059297817</v>
      </c>
      <c r="O707" s="328">
        <v>1.6289221041753565E-2</v>
      </c>
      <c r="P707" s="328">
        <v>0.20747688845327322</v>
      </c>
    </row>
    <row r="708" spans="2:16" ht="18" customHeight="1">
      <c r="B708" s="284"/>
      <c r="C708" s="313"/>
      <c r="D708" s="314"/>
      <c r="E708" s="288"/>
      <c r="F708" s="82">
        <v>8</v>
      </c>
      <c r="G708" s="180" t="s">
        <v>90</v>
      </c>
      <c r="H708" s="235">
        <v>95.871953125456514</v>
      </c>
      <c r="I708" s="329"/>
      <c r="J708" s="329"/>
      <c r="K708" s="329"/>
      <c r="L708" s="235">
        <v>96.610185130998957</v>
      </c>
      <c r="M708" s="329">
        <v>7.851101471199347</v>
      </c>
      <c r="N708" s="329">
        <v>0.80429833059297817</v>
      </c>
      <c r="O708" s="329">
        <v>1.6289221041753565E-2</v>
      </c>
      <c r="P708" s="329">
        <v>0.20747688845327322</v>
      </c>
    </row>
    <row r="709" spans="2:16" ht="18" customHeight="1">
      <c r="B709" s="286"/>
      <c r="C709" s="318" t="s">
        <v>102</v>
      </c>
      <c r="D709" s="319"/>
      <c r="E709" s="197" t="str">
        <f>HYPERLINK("#LAYOUT_m1!lay중YFUR2A08_T","YFUR2A08_T")</f>
        <v>YFUR2A08_T</v>
      </c>
      <c r="F709" s="121" t="s">
        <v>2</v>
      </c>
      <c r="G709" s="177"/>
      <c r="H709" s="236" t="s">
        <v>1811</v>
      </c>
      <c r="I709" s="237"/>
      <c r="J709" s="237"/>
      <c r="K709" s="237"/>
      <c r="L709" s="236" t="s">
        <v>1</v>
      </c>
      <c r="M709" s="237"/>
      <c r="N709" s="237"/>
      <c r="O709" s="237"/>
      <c r="P709" s="237"/>
    </row>
    <row r="710" spans="2:16" ht="18" customHeight="1">
      <c r="B710" s="282" t="s">
        <v>163</v>
      </c>
      <c r="C710" s="309" t="s">
        <v>164</v>
      </c>
      <c r="D710" s="310"/>
      <c r="E710" s="287" t="str">
        <f>HYPERLINK("#LAYOUT_m1!lay중YPSY1A01","YPSY1A01")</f>
        <v>YPSY1A01</v>
      </c>
      <c r="F710" s="78">
        <v>1</v>
      </c>
      <c r="G710" s="179" t="s">
        <v>105</v>
      </c>
      <c r="H710" s="233">
        <v>4.880803250200108</v>
      </c>
      <c r="I710" s="327">
        <v>2.6832619425136661</v>
      </c>
      <c r="J710" s="327">
        <v>1.4028635886966678E-2</v>
      </c>
      <c r="K710" s="327">
        <v>0.52282021612190199</v>
      </c>
      <c r="L710" s="233">
        <v>4.2054211155890249</v>
      </c>
      <c r="M710" s="327">
        <v>2.61707163622359</v>
      </c>
      <c r="N710" s="327">
        <v>0.66374317688990325</v>
      </c>
      <c r="O710" s="327">
        <v>1.3442598240063742E-2</v>
      </c>
      <c r="P710" s="327">
        <v>0.51365037372310085</v>
      </c>
    </row>
    <row r="711" spans="2:16" ht="18" customHeight="1">
      <c r="B711" s="284"/>
      <c r="C711" s="311"/>
      <c r="D711" s="312"/>
      <c r="E711" s="289"/>
      <c r="F711" s="79">
        <v>2</v>
      </c>
      <c r="G711" s="178" t="s">
        <v>106</v>
      </c>
      <c r="H711" s="234">
        <v>31.686742763442062</v>
      </c>
      <c r="I711" s="328"/>
      <c r="J711" s="328"/>
      <c r="K711" s="328"/>
      <c r="L711" s="234">
        <v>35.880576502299562</v>
      </c>
      <c r="M711" s="328">
        <v>2.61707163622359</v>
      </c>
      <c r="N711" s="328">
        <v>0.66374317688990325</v>
      </c>
      <c r="O711" s="328">
        <v>1.3442598240063742E-2</v>
      </c>
      <c r="P711" s="328">
        <v>0.51365037372310085</v>
      </c>
    </row>
    <row r="712" spans="2:16" ht="18" customHeight="1">
      <c r="B712" s="284"/>
      <c r="C712" s="311"/>
      <c r="D712" s="312"/>
      <c r="E712" s="289"/>
      <c r="F712" s="79">
        <v>3</v>
      </c>
      <c r="G712" s="178" t="s">
        <v>107</v>
      </c>
      <c r="H712" s="234">
        <v>53.657910471149449</v>
      </c>
      <c r="I712" s="328"/>
      <c r="J712" s="328"/>
      <c r="K712" s="328"/>
      <c r="L712" s="234">
        <v>53.915420026274219</v>
      </c>
      <c r="M712" s="328">
        <v>2.61707163622359</v>
      </c>
      <c r="N712" s="328">
        <v>0.66374317688990325</v>
      </c>
      <c r="O712" s="328">
        <v>1.3442598240063742E-2</v>
      </c>
      <c r="P712" s="328">
        <v>0.51365037372310085</v>
      </c>
    </row>
    <row r="713" spans="2:16" ht="18" customHeight="1">
      <c r="B713" s="284"/>
      <c r="C713" s="313"/>
      <c r="D713" s="314"/>
      <c r="E713" s="288"/>
      <c r="F713" s="82">
        <v>4</v>
      </c>
      <c r="G713" s="180" t="s">
        <v>108</v>
      </c>
      <c r="H713" s="235">
        <v>9.7745435152083999</v>
      </c>
      <c r="I713" s="329"/>
      <c r="J713" s="329"/>
      <c r="K713" s="329"/>
      <c r="L713" s="235">
        <v>5.9985823558371916</v>
      </c>
      <c r="M713" s="329">
        <v>2.61707163622359</v>
      </c>
      <c r="N713" s="329">
        <v>0.66374317688990325</v>
      </c>
      <c r="O713" s="329">
        <v>1.3442598240063742E-2</v>
      </c>
      <c r="P713" s="329">
        <v>0.51365037372310085</v>
      </c>
    </row>
    <row r="714" spans="2:16" ht="18" customHeight="1">
      <c r="B714" s="284"/>
      <c r="C714" s="309" t="s">
        <v>165</v>
      </c>
      <c r="D714" s="310"/>
      <c r="E714" s="287" t="str">
        <f>HYPERLINK("#LAYOUT_m1!lay중YPSY1A02","YPSY1A02")</f>
        <v>YPSY1A02</v>
      </c>
      <c r="F714" s="78">
        <v>1</v>
      </c>
      <c r="G714" s="179" t="s">
        <v>105</v>
      </c>
      <c r="H714" s="233">
        <v>3.0816768133159074</v>
      </c>
      <c r="I714" s="327">
        <v>2.9355900733824121</v>
      </c>
      <c r="J714" s="327">
        <v>1.3979110816914799E-2</v>
      </c>
      <c r="K714" s="327">
        <v>0.47619423923204468</v>
      </c>
      <c r="L714" s="233">
        <v>2.8909254004709108</v>
      </c>
      <c r="M714" s="327">
        <v>2.8424057542497758</v>
      </c>
      <c r="N714" s="327">
        <v>0.67004359488518805</v>
      </c>
      <c r="O714" s="327">
        <v>1.357019878015807E-2</v>
      </c>
      <c r="P714" s="327">
        <v>0.47741948030708919</v>
      </c>
    </row>
    <row r="715" spans="2:16" ht="18" customHeight="1">
      <c r="B715" s="284"/>
      <c r="C715" s="311"/>
      <c r="D715" s="312"/>
      <c r="E715" s="289"/>
      <c r="F715" s="79">
        <v>2</v>
      </c>
      <c r="G715" s="178" t="s">
        <v>106</v>
      </c>
      <c r="H715" s="234">
        <v>19.479439376804891</v>
      </c>
      <c r="I715" s="328"/>
      <c r="J715" s="328"/>
      <c r="K715" s="328"/>
      <c r="L715" s="234">
        <v>22.887446838363282</v>
      </c>
      <c r="M715" s="328">
        <v>2.8424057542497758</v>
      </c>
      <c r="N715" s="328">
        <v>0.67004359488518805</v>
      </c>
      <c r="O715" s="328">
        <v>1.357019878015807E-2</v>
      </c>
      <c r="P715" s="328">
        <v>0.47741948030708919</v>
      </c>
    </row>
    <row r="716" spans="2:16" ht="18" customHeight="1">
      <c r="B716" s="284"/>
      <c r="C716" s="311"/>
      <c r="D716" s="312"/>
      <c r="E716" s="289"/>
      <c r="F716" s="79">
        <v>3</v>
      </c>
      <c r="G716" s="178" t="s">
        <v>107</v>
      </c>
      <c r="H716" s="234">
        <v>58.237083468202599</v>
      </c>
      <c r="I716" s="328"/>
      <c r="J716" s="328"/>
      <c r="K716" s="328"/>
      <c r="L716" s="234">
        <v>61.311754696881884</v>
      </c>
      <c r="M716" s="328">
        <v>2.8424057542497758</v>
      </c>
      <c r="N716" s="328">
        <v>0.67004359488518805</v>
      </c>
      <c r="O716" s="328">
        <v>1.357019878015807E-2</v>
      </c>
      <c r="P716" s="328">
        <v>0.47741948030708919</v>
      </c>
    </row>
    <row r="717" spans="2:16" ht="18" customHeight="1">
      <c r="B717" s="284"/>
      <c r="C717" s="313"/>
      <c r="D717" s="314"/>
      <c r="E717" s="288"/>
      <c r="F717" s="82">
        <v>4</v>
      </c>
      <c r="G717" s="180" t="s">
        <v>108</v>
      </c>
      <c r="H717" s="235">
        <v>19.201800341676655</v>
      </c>
      <c r="I717" s="329"/>
      <c r="J717" s="329"/>
      <c r="K717" s="329"/>
      <c r="L717" s="235">
        <v>12.909873064283921</v>
      </c>
      <c r="M717" s="329">
        <v>2.8424057542497758</v>
      </c>
      <c r="N717" s="329">
        <v>0.67004359488518805</v>
      </c>
      <c r="O717" s="329">
        <v>1.357019878015807E-2</v>
      </c>
      <c r="P717" s="329">
        <v>0.47741948030708919</v>
      </c>
    </row>
    <row r="718" spans="2:16" ht="18" customHeight="1">
      <c r="B718" s="284"/>
      <c r="C718" s="309" t="s">
        <v>166</v>
      </c>
      <c r="D718" s="310"/>
      <c r="E718" s="287" t="str">
        <f>HYPERLINK("#LAYOUT_m1!lay중YPSY1A03","YPSY1A03")</f>
        <v>YPSY1A03</v>
      </c>
      <c r="F718" s="78">
        <v>1</v>
      </c>
      <c r="G718" s="179" t="s">
        <v>105</v>
      </c>
      <c r="H718" s="233">
        <v>2.3521789938859556</v>
      </c>
      <c r="I718" s="327">
        <v>3.0668813329081326</v>
      </c>
      <c r="J718" s="327">
        <v>1.4182332073880479E-2</v>
      </c>
      <c r="K718" s="327">
        <v>0.4624349798507616</v>
      </c>
      <c r="L718" s="233">
        <v>2.8979166978201976</v>
      </c>
      <c r="M718" s="327">
        <v>2.95505433593874</v>
      </c>
      <c r="N718" s="327">
        <v>0.70130321683109376</v>
      </c>
      <c r="O718" s="327">
        <v>1.4203290845863466E-2</v>
      </c>
      <c r="P718" s="327">
        <v>0.48064398251924056</v>
      </c>
    </row>
    <row r="719" spans="2:16" ht="18" customHeight="1">
      <c r="B719" s="284"/>
      <c r="C719" s="311"/>
      <c r="D719" s="312"/>
      <c r="E719" s="289"/>
      <c r="F719" s="79">
        <v>2</v>
      </c>
      <c r="G719" s="178" t="s">
        <v>106</v>
      </c>
      <c r="H719" s="234">
        <v>15.86043640583113</v>
      </c>
      <c r="I719" s="328"/>
      <c r="J719" s="328"/>
      <c r="K719" s="328"/>
      <c r="L719" s="234">
        <v>18.235762168836924</v>
      </c>
      <c r="M719" s="328">
        <v>2.95505433593874</v>
      </c>
      <c r="N719" s="328">
        <v>0.70130321683109376</v>
      </c>
      <c r="O719" s="328">
        <v>1.4203290845863466E-2</v>
      </c>
      <c r="P719" s="328">
        <v>0.48064398251924056</v>
      </c>
    </row>
    <row r="720" spans="2:16" ht="18" customHeight="1">
      <c r="B720" s="284"/>
      <c r="C720" s="311"/>
      <c r="D720" s="312"/>
      <c r="E720" s="289"/>
      <c r="F720" s="79">
        <v>3</v>
      </c>
      <c r="G720" s="178" t="s">
        <v>107</v>
      </c>
      <c r="H720" s="234">
        <v>54.534456915867814</v>
      </c>
      <c r="I720" s="328"/>
      <c r="J720" s="328"/>
      <c r="K720" s="328"/>
      <c r="L720" s="234">
        <v>59.329291974990646</v>
      </c>
      <c r="M720" s="328">
        <v>2.95505433593874</v>
      </c>
      <c r="N720" s="328">
        <v>0.70130321683109376</v>
      </c>
      <c r="O720" s="328">
        <v>1.4203290845863466E-2</v>
      </c>
      <c r="P720" s="328">
        <v>0.48064398251924056</v>
      </c>
    </row>
    <row r="721" spans="2:16" ht="18" customHeight="1">
      <c r="B721" s="284"/>
      <c r="C721" s="313"/>
      <c r="D721" s="314"/>
      <c r="E721" s="288"/>
      <c r="F721" s="82">
        <v>4</v>
      </c>
      <c r="G721" s="180" t="s">
        <v>108</v>
      </c>
      <c r="H721" s="235">
        <v>27.252927684415123</v>
      </c>
      <c r="I721" s="329"/>
      <c r="J721" s="329"/>
      <c r="K721" s="329"/>
      <c r="L721" s="235">
        <v>19.537029158352222</v>
      </c>
      <c r="M721" s="329">
        <v>2.95505433593874</v>
      </c>
      <c r="N721" s="329">
        <v>0.70130321683109376</v>
      </c>
      <c r="O721" s="329">
        <v>1.4203290845863466E-2</v>
      </c>
      <c r="P721" s="329">
        <v>0.48064398251924056</v>
      </c>
    </row>
    <row r="722" spans="2:16" ht="18" customHeight="1">
      <c r="B722" s="284"/>
      <c r="C722" s="309" t="s">
        <v>167</v>
      </c>
      <c r="D722" s="310"/>
      <c r="E722" s="287" t="str">
        <f>HYPERLINK("#LAYOUT_m1!lay중YPSY1A04","YPSY1A04")</f>
        <v>YPSY1A04</v>
      </c>
      <c r="F722" s="78">
        <v>1</v>
      </c>
      <c r="G722" s="179" t="s">
        <v>105</v>
      </c>
      <c r="H722" s="233">
        <v>4.2410830171889433</v>
      </c>
      <c r="I722" s="327">
        <v>2.7426893401439343</v>
      </c>
      <c r="J722" s="327">
        <v>1.4594047041996317E-2</v>
      </c>
      <c r="K722" s="327">
        <v>0.53210718503140553</v>
      </c>
      <c r="L722" s="233">
        <v>4.4735792389286813</v>
      </c>
      <c r="M722" s="327">
        <v>2.6321481313728352</v>
      </c>
      <c r="N722" s="327">
        <v>0.72075412099943759</v>
      </c>
      <c r="O722" s="327">
        <v>1.4597224372029722E-2</v>
      </c>
      <c r="P722" s="327">
        <v>0.5545745772452525</v>
      </c>
    </row>
    <row r="723" spans="2:16" ht="18" customHeight="1">
      <c r="B723" s="284"/>
      <c r="C723" s="311"/>
      <c r="D723" s="312"/>
      <c r="E723" s="289"/>
      <c r="F723" s="79">
        <v>2</v>
      </c>
      <c r="G723" s="178" t="s">
        <v>106</v>
      </c>
      <c r="H723" s="234">
        <v>31.02378748834996</v>
      </c>
      <c r="I723" s="328"/>
      <c r="J723" s="328"/>
      <c r="K723" s="328"/>
      <c r="L723" s="234">
        <v>37.7012767761113</v>
      </c>
      <c r="M723" s="328">
        <v>2.6321481313728352</v>
      </c>
      <c r="N723" s="328">
        <v>0.72075412099943759</v>
      </c>
      <c r="O723" s="328">
        <v>1.4597224372029722E-2</v>
      </c>
      <c r="P723" s="328">
        <v>0.5545745772452525</v>
      </c>
    </row>
    <row r="724" spans="2:16" ht="18" customHeight="1">
      <c r="B724" s="284"/>
      <c r="C724" s="311"/>
      <c r="D724" s="312"/>
      <c r="E724" s="289"/>
      <c r="F724" s="79">
        <v>3</v>
      </c>
      <c r="G724" s="178" t="s">
        <v>107</v>
      </c>
      <c r="H724" s="234">
        <v>50.96024195734055</v>
      </c>
      <c r="I724" s="328"/>
      <c r="J724" s="328"/>
      <c r="K724" s="328"/>
      <c r="L724" s="234">
        <v>47.961895593707091</v>
      </c>
      <c r="M724" s="328">
        <v>2.6321481313728352</v>
      </c>
      <c r="N724" s="328">
        <v>0.72075412099943759</v>
      </c>
      <c r="O724" s="328">
        <v>1.4597224372029722E-2</v>
      </c>
      <c r="P724" s="328">
        <v>0.5545745772452525</v>
      </c>
    </row>
    <row r="725" spans="2:16" ht="18" customHeight="1">
      <c r="B725" s="284"/>
      <c r="C725" s="313"/>
      <c r="D725" s="314"/>
      <c r="E725" s="288"/>
      <c r="F725" s="82">
        <v>4</v>
      </c>
      <c r="G725" s="180" t="s">
        <v>108</v>
      </c>
      <c r="H725" s="235">
        <v>13.774887537120568</v>
      </c>
      <c r="I725" s="329"/>
      <c r="J725" s="329"/>
      <c r="K725" s="329"/>
      <c r="L725" s="235">
        <v>9.8632483912529274</v>
      </c>
      <c r="M725" s="329">
        <v>2.6321481313728352</v>
      </c>
      <c r="N725" s="329">
        <v>0.72075412099943759</v>
      </c>
      <c r="O725" s="329">
        <v>1.4597224372029722E-2</v>
      </c>
      <c r="P725" s="329">
        <v>0.5545745772452525</v>
      </c>
    </row>
    <row r="726" spans="2:16" ht="18" customHeight="1">
      <c r="B726" s="284"/>
      <c r="C726" s="309" t="s">
        <v>168</v>
      </c>
      <c r="D726" s="310"/>
      <c r="E726" s="287" t="str">
        <f>HYPERLINK("#LAYOUT_m1!lay중YPSY1A05","YPSY1A05")</f>
        <v>YPSY1A05</v>
      </c>
      <c r="F726" s="78">
        <v>1</v>
      </c>
      <c r="G726" s="179" t="s">
        <v>105</v>
      </c>
      <c r="H726" s="233">
        <v>14.673782972958206</v>
      </c>
      <c r="I726" s="327">
        <v>2.4454733679564398</v>
      </c>
      <c r="J726" s="327">
        <v>1.7567606643417895E-2</v>
      </c>
      <c r="K726" s="327">
        <v>0.71837243756607605</v>
      </c>
      <c r="L726" s="233">
        <v>12.765244742490578</v>
      </c>
      <c r="M726" s="327">
        <v>2.4301397488026275</v>
      </c>
      <c r="N726" s="327">
        <v>0.83477763511289493</v>
      </c>
      <c r="O726" s="327">
        <v>1.6906509564729621E-2</v>
      </c>
      <c r="P726" s="327">
        <v>0.69570112472172596</v>
      </c>
    </row>
    <row r="727" spans="2:16" ht="18" customHeight="1">
      <c r="B727" s="284"/>
      <c r="C727" s="311"/>
      <c r="D727" s="312"/>
      <c r="E727" s="289"/>
      <c r="F727" s="79">
        <v>2</v>
      </c>
      <c r="G727" s="178" t="s">
        <v>106</v>
      </c>
      <c r="H727" s="234">
        <v>39.030934936955994</v>
      </c>
      <c r="I727" s="328"/>
      <c r="J727" s="328"/>
      <c r="K727" s="328"/>
      <c r="L727" s="234">
        <v>41.262707128083427</v>
      </c>
      <c r="M727" s="328">
        <v>2.4301397488026275</v>
      </c>
      <c r="N727" s="328">
        <v>0.83477763511289493</v>
      </c>
      <c r="O727" s="328">
        <v>1.6906509564729621E-2</v>
      </c>
      <c r="P727" s="328">
        <v>0.69570112472172596</v>
      </c>
    </row>
    <row r="728" spans="2:16" ht="18" customHeight="1">
      <c r="B728" s="284"/>
      <c r="C728" s="311"/>
      <c r="D728" s="312"/>
      <c r="E728" s="289"/>
      <c r="F728" s="79">
        <v>3</v>
      </c>
      <c r="G728" s="178" t="s">
        <v>107</v>
      </c>
      <c r="H728" s="234">
        <v>33.369444411569525</v>
      </c>
      <c r="I728" s="328"/>
      <c r="J728" s="328"/>
      <c r="K728" s="328"/>
      <c r="L728" s="234">
        <v>36.164876636097979</v>
      </c>
      <c r="M728" s="328">
        <v>2.4301397488026275</v>
      </c>
      <c r="N728" s="328">
        <v>0.83477763511289493</v>
      </c>
      <c r="O728" s="328">
        <v>1.6906509564729621E-2</v>
      </c>
      <c r="P728" s="328">
        <v>0.69570112472172596</v>
      </c>
    </row>
    <row r="729" spans="2:16" ht="18" customHeight="1">
      <c r="B729" s="286"/>
      <c r="C729" s="313"/>
      <c r="D729" s="314"/>
      <c r="E729" s="288"/>
      <c r="F729" s="82">
        <v>4</v>
      </c>
      <c r="G729" s="180" t="s">
        <v>108</v>
      </c>
      <c r="H729" s="235">
        <v>12.925837678516285</v>
      </c>
      <c r="I729" s="329"/>
      <c r="J729" s="329"/>
      <c r="K729" s="329"/>
      <c r="L729" s="235">
        <v>9.8071714933280187</v>
      </c>
      <c r="M729" s="329">
        <v>2.4301397488026275</v>
      </c>
      <c r="N729" s="329">
        <v>0.83477763511289493</v>
      </c>
      <c r="O729" s="329">
        <v>1.6906509564729621E-2</v>
      </c>
      <c r="P729" s="329">
        <v>0.69570112472172596</v>
      </c>
    </row>
    <row r="730" spans="2:16" ht="18" customHeight="1">
      <c r="B730" s="282" t="s">
        <v>169</v>
      </c>
      <c r="C730" s="309" t="s">
        <v>170</v>
      </c>
      <c r="D730" s="310"/>
      <c r="E730" s="287" t="str">
        <f>HYPERLINK("#LAYOUT_m1!lay중YPSY2A01","YPSY2A01")</f>
        <v>YPSY2A01</v>
      </c>
      <c r="F730" s="78">
        <v>1</v>
      </c>
      <c r="G730" s="179" t="s">
        <v>171</v>
      </c>
      <c r="H730" s="233">
        <v>0.93339511522566532</v>
      </c>
      <c r="I730" s="327">
        <v>3.2108394905053945</v>
      </c>
      <c r="J730" s="327">
        <v>1.2519370186836586E-2</v>
      </c>
      <c r="K730" s="327">
        <v>0.38990956177837499</v>
      </c>
      <c r="L730" s="233">
        <v>0.54179268227296562</v>
      </c>
      <c r="M730" s="327">
        <v>3.1292454591300922</v>
      </c>
      <c r="N730" s="327">
        <v>0.56254740861673247</v>
      </c>
      <c r="O730" s="327">
        <v>1.1393109666991042E-2</v>
      </c>
      <c r="P730" s="327">
        <v>0.36408488294677432</v>
      </c>
    </row>
    <row r="731" spans="2:16" ht="18" customHeight="1">
      <c r="B731" s="284"/>
      <c r="C731" s="311"/>
      <c r="D731" s="312"/>
      <c r="E731" s="289"/>
      <c r="F731" s="79">
        <v>2</v>
      </c>
      <c r="G731" s="178" t="s">
        <v>172</v>
      </c>
      <c r="H731" s="234">
        <v>9.1698025042086115</v>
      </c>
      <c r="I731" s="328"/>
      <c r="J731" s="328"/>
      <c r="K731" s="328"/>
      <c r="L731" s="234">
        <v>8.5640576316392067</v>
      </c>
      <c r="M731" s="328">
        <v>3.1292454591300922</v>
      </c>
      <c r="N731" s="328">
        <v>0.56254740861673247</v>
      </c>
      <c r="O731" s="328">
        <v>1.1393109666991042E-2</v>
      </c>
      <c r="P731" s="328">
        <v>0.36408488294677432</v>
      </c>
    </row>
    <row r="732" spans="2:16" ht="18" customHeight="1">
      <c r="B732" s="284"/>
      <c r="C732" s="311"/>
      <c r="D732" s="312"/>
      <c r="E732" s="289"/>
      <c r="F732" s="79">
        <v>3</v>
      </c>
      <c r="G732" s="178" t="s">
        <v>173</v>
      </c>
      <c r="H732" s="234">
        <v>57.776260595368385</v>
      </c>
      <c r="I732" s="328"/>
      <c r="J732" s="328"/>
      <c r="K732" s="328"/>
      <c r="L732" s="234">
        <v>68.32196077689224</v>
      </c>
      <c r="M732" s="328">
        <v>3.1292454591300922</v>
      </c>
      <c r="N732" s="328">
        <v>0.56254740861673247</v>
      </c>
      <c r="O732" s="328">
        <v>1.1393109666991042E-2</v>
      </c>
      <c r="P732" s="328">
        <v>0.36408488294677432</v>
      </c>
    </row>
    <row r="733" spans="2:16" ht="18" customHeight="1">
      <c r="B733" s="284"/>
      <c r="C733" s="313"/>
      <c r="D733" s="314"/>
      <c r="E733" s="288"/>
      <c r="F733" s="82">
        <v>4</v>
      </c>
      <c r="G733" s="180" t="s">
        <v>174</v>
      </c>
      <c r="H733" s="235">
        <v>32.120541785197339</v>
      </c>
      <c r="I733" s="329"/>
      <c r="J733" s="329"/>
      <c r="K733" s="329"/>
      <c r="L733" s="235">
        <v>22.572188909195557</v>
      </c>
      <c r="M733" s="329">
        <v>3.1292454591300922</v>
      </c>
      <c r="N733" s="329">
        <v>0.56254740861673247</v>
      </c>
      <c r="O733" s="329">
        <v>1.1393109666991042E-2</v>
      </c>
      <c r="P733" s="329">
        <v>0.36408488294677432</v>
      </c>
    </row>
    <row r="734" spans="2:16" ht="18" customHeight="1">
      <c r="B734" s="284"/>
      <c r="C734" s="309" t="s">
        <v>175</v>
      </c>
      <c r="D734" s="310"/>
      <c r="E734" s="287" t="str">
        <f>HYPERLINK("#LAYOUT_m1!lay중YPSY2A02","YPSY2A02")</f>
        <v>YPSY2A02</v>
      </c>
      <c r="F734" s="78">
        <v>1</v>
      </c>
      <c r="G734" s="179" t="s">
        <v>171</v>
      </c>
      <c r="H734" s="233">
        <v>1.6196219101102298</v>
      </c>
      <c r="I734" s="327">
        <v>3.1981326976315501</v>
      </c>
      <c r="J734" s="327">
        <v>1.3556854529670948E-2</v>
      </c>
      <c r="K734" s="327">
        <v>0.42389906271590239</v>
      </c>
      <c r="L734" s="233">
        <v>0.79610148092527355</v>
      </c>
      <c r="M734" s="327">
        <v>3.1326273428966132</v>
      </c>
      <c r="N734" s="327">
        <v>0.61093664698632189</v>
      </c>
      <c r="O734" s="327">
        <v>1.2373122890769852E-2</v>
      </c>
      <c r="P734" s="327">
        <v>0.39497589519629667</v>
      </c>
    </row>
    <row r="735" spans="2:16" ht="18" customHeight="1">
      <c r="B735" s="284"/>
      <c r="C735" s="311"/>
      <c r="D735" s="312"/>
      <c r="E735" s="289"/>
      <c r="F735" s="79">
        <v>2</v>
      </c>
      <c r="G735" s="178" t="s">
        <v>172</v>
      </c>
      <c r="H735" s="234">
        <v>10.988723730049463</v>
      </c>
      <c r="I735" s="328"/>
      <c r="J735" s="328"/>
      <c r="K735" s="328"/>
      <c r="L735" s="234">
        <v>10.514353639624659</v>
      </c>
      <c r="M735" s="328">
        <v>3.1326273428966132</v>
      </c>
      <c r="N735" s="328">
        <v>0.61093664698632189</v>
      </c>
      <c r="O735" s="328">
        <v>1.2373122890769852E-2</v>
      </c>
      <c r="P735" s="328">
        <v>0.39497589519629667</v>
      </c>
    </row>
    <row r="736" spans="2:16" ht="18" customHeight="1">
      <c r="B736" s="284"/>
      <c r="C736" s="311"/>
      <c r="D736" s="312"/>
      <c r="E736" s="289"/>
      <c r="F736" s="79">
        <v>3</v>
      </c>
      <c r="G736" s="178" t="s">
        <v>173</v>
      </c>
      <c r="H736" s="234">
        <v>53.350417046417185</v>
      </c>
      <c r="I736" s="328"/>
      <c r="J736" s="328"/>
      <c r="K736" s="328"/>
      <c r="L736" s="234">
        <v>63.320253988311912</v>
      </c>
      <c r="M736" s="328">
        <v>3.1326273428966132</v>
      </c>
      <c r="N736" s="328">
        <v>0.61093664698632189</v>
      </c>
      <c r="O736" s="328">
        <v>1.2373122890769852E-2</v>
      </c>
      <c r="P736" s="328">
        <v>0.39497589519629667</v>
      </c>
    </row>
    <row r="737" spans="2:16" ht="18" customHeight="1">
      <c r="B737" s="286"/>
      <c r="C737" s="313"/>
      <c r="D737" s="314"/>
      <c r="E737" s="288"/>
      <c r="F737" s="82">
        <v>4</v>
      </c>
      <c r="G737" s="180" t="s">
        <v>174</v>
      </c>
      <c r="H737" s="235">
        <v>34.041237313423125</v>
      </c>
      <c r="I737" s="329"/>
      <c r="J737" s="329"/>
      <c r="K737" s="329"/>
      <c r="L737" s="235">
        <v>25.369290891138192</v>
      </c>
      <c r="M737" s="329">
        <v>3.1326273428966132</v>
      </c>
      <c r="N737" s="329">
        <v>0.61093664698632189</v>
      </c>
      <c r="O737" s="329">
        <v>1.2373122890769852E-2</v>
      </c>
      <c r="P737" s="329">
        <v>0.39497589519629667</v>
      </c>
    </row>
    <row r="738" spans="2:16" ht="18" customHeight="1">
      <c r="B738" s="282" t="s">
        <v>169</v>
      </c>
      <c r="C738" s="309" t="s">
        <v>176</v>
      </c>
      <c r="D738" s="310"/>
      <c r="E738" s="287" t="str">
        <f>HYPERLINK("#LAYOUT_m1!lay중YPSY2A03","YPSY2A03")</f>
        <v>YPSY2A03</v>
      </c>
      <c r="F738" s="78">
        <v>1</v>
      </c>
      <c r="G738" s="179" t="s">
        <v>105</v>
      </c>
      <c r="H738" s="233">
        <v>1.4788714383157939</v>
      </c>
      <c r="I738" s="327">
        <v>3.0354337534471822</v>
      </c>
      <c r="J738" s="327">
        <v>1.3318666839824201E-2</v>
      </c>
      <c r="K738" s="327">
        <v>0.4387731020220389</v>
      </c>
      <c r="L738" s="233">
        <v>1.5239389206843439</v>
      </c>
      <c r="M738" s="327">
        <v>2.9487197086665087</v>
      </c>
      <c r="N738" s="327">
        <v>0.63432286375344549</v>
      </c>
      <c r="O738" s="327">
        <v>1.2846757162731095E-2</v>
      </c>
      <c r="P738" s="327">
        <v>0.43567237418237847</v>
      </c>
    </row>
    <row r="739" spans="2:16" ht="18" customHeight="1">
      <c r="B739" s="284"/>
      <c r="C739" s="311"/>
      <c r="D739" s="312"/>
      <c r="E739" s="289"/>
      <c r="F739" s="79">
        <v>2</v>
      </c>
      <c r="G739" s="178" t="s">
        <v>106</v>
      </c>
      <c r="H739" s="234">
        <v>16.8172080000781</v>
      </c>
      <c r="I739" s="328"/>
      <c r="J739" s="328"/>
      <c r="K739" s="328"/>
      <c r="L739" s="234">
        <v>18.233704034122237</v>
      </c>
      <c r="M739" s="328">
        <v>2.9487197086665087</v>
      </c>
      <c r="N739" s="328">
        <v>0.63432286375344549</v>
      </c>
      <c r="O739" s="328">
        <v>1.2846757162731095E-2</v>
      </c>
      <c r="P739" s="328">
        <v>0.43567237418237847</v>
      </c>
    </row>
    <row r="740" spans="2:16" ht="18" customHeight="1">
      <c r="B740" s="284"/>
      <c r="C740" s="311"/>
      <c r="D740" s="312"/>
      <c r="E740" s="289"/>
      <c r="F740" s="79">
        <v>3</v>
      </c>
      <c r="G740" s="178" t="s">
        <v>107</v>
      </c>
      <c r="H740" s="234">
        <v>58.3855943401798</v>
      </c>
      <c r="I740" s="328"/>
      <c r="J740" s="328"/>
      <c r="K740" s="328"/>
      <c r="L740" s="234">
        <v>64.088804303050566</v>
      </c>
      <c r="M740" s="328">
        <v>2.9487197086665087</v>
      </c>
      <c r="N740" s="328">
        <v>0.63432286375344549</v>
      </c>
      <c r="O740" s="328">
        <v>1.2846757162731095E-2</v>
      </c>
      <c r="P740" s="328">
        <v>0.43567237418237847</v>
      </c>
    </row>
    <row r="741" spans="2:16" ht="18" customHeight="1">
      <c r="B741" s="284"/>
      <c r="C741" s="313"/>
      <c r="D741" s="314"/>
      <c r="E741" s="288"/>
      <c r="F741" s="82">
        <v>4</v>
      </c>
      <c r="G741" s="180" t="s">
        <v>108</v>
      </c>
      <c r="H741" s="235">
        <v>23.318326221426311</v>
      </c>
      <c r="I741" s="329"/>
      <c r="J741" s="329"/>
      <c r="K741" s="329"/>
      <c r="L741" s="235">
        <v>16.15355274214286</v>
      </c>
      <c r="M741" s="329">
        <v>2.9487197086665087</v>
      </c>
      <c r="N741" s="329">
        <v>0.63432286375344549</v>
      </c>
      <c r="O741" s="329">
        <v>1.2846757162731095E-2</v>
      </c>
      <c r="P741" s="329">
        <v>0.43567237418237847</v>
      </c>
    </row>
    <row r="742" spans="2:16" ht="18" customHeight="1">
      <c r="B742" s="284"/>
      <c r="C742" s="309" t="s">
        <v>177</v>
      </c>
      <c r="D742" s="310"/>
      <c r="E742" s="287" t="str">
        <f>HYPERLINK("#LAYOUT_m1!lay중YPSY2A04","YPSY2A04")</f>
        <v>YPSY2A04</v>
      </c>
      <c r="F742" s="78">
        <v>1</v>
      </c>
      <c r="G742" s="179" t="s">
        <v>105</v>
      </c>
      <c r="H742" s="233">
        <v>30.895523308749759</v>
      </c>
      <c r="I742" s="327">
        <v>1.9107794659899795</v>
      </c>
      <c r="J742" s="327">
        <v>1.4875133223790854E-2</v>
      </c>
      <c r="K742" s="327">
        <v>0.77848508886314693</v>
      </c>
      <c r="L742" s="233">
        <v>24.815914127127716</v>
      </c>
      <c r="M742" s="327">
        <v>2.0038522553366906</v>
      </c>
      <c r="N742" s="327">
        <v>0.7281772983946424</v>
      </c>
      <c r="O742" s="327">
        <v>1.4747563832927878E-2</v>
      </c>
      <c r="P742" s="327">
        <v>0.73596063749969254</v>
      </c>
    </row>
    <row r="743" spans="2:16" ht="18" customHeight="1">
      <c r="B743" s="284"/>
      <c r="C743" s="311"/>
      <c r="D743" s="312"/>
      <c r="E743" s="289"/>
      <c r="F743" s="79">
        <v>2</v>
      </c>
      <c r="G743" s="178" t="s">
        <v>106</v>
      </c>
      <c r="H743" s="234">
        <v>49.737873581389941</v>
      </c>
      <c r="I743" s="328"/>
      <c r="J743" s="328"/>
      <c r="K743" s="328"/>
      <c r="L743" s="234">
        <v>51.476395674586243</v>
      </c>
      <c r="M743" s="328">
        <v>2.0038522553366906</v>
      </c>
      <c r="N743" s="328">
        <v>0.7281772983946424</v>
      </c>
      <c r="O743" s="328">
        <v>1.4747563832927878E-2</v>
      </c>
      <c r="P743" s="328">
        <v>0.73596063749969254</v>
      </c>
    </row>
    <row r="744" spans="2:16" ht="18" customHeight="1">
      <c r="B744" s="284"/>
      <c r="C744" s="311"/>
      <c r="D744" s="312"/>
      <c r="E744" s="289"/>
      <c r="F744" s="79">
        <v>3</v>
      </c>
      <c r="G744" s="178" t="s">
        <v>107</v>
      </c>
      <c r="H744" s="234">
        <v>16.759736311972691</v>
      </c>
      <c r="I744" s="328"/>
      <c r="J744" s="328"/>
      <c r="K744" s="328"/>
      <c r="L744" s="234">
        <v>22.214240735774247</v>
      </c>
      <c r="M744" s="328">
        <v>2.0038522553366906</v>
      </c>
      <c r="N744" s="328">
        <v>0.7281772983946424</v>
      </c>
      <c r="O744" s="328">
        <v>1.4747563832927878E-2</v>
      </c>
      <c r="P744" s="328">
        <v>0.73596063749969254</v>
      </c>
    </row>
    <row r="745" spans="2:16" ht="18" customHeight="1">
      <c r="B745" s="286"/>
      <c r="C745" s="313"/>
      <c r="D745" s="314"/>
      <c r="E745" s="288"/>
      <c r="F745" s="82">
        <v>4</v>
      </c>
      <c r="G745" s="180" t="s">
        <v>108</v>
      </c>
      <c r="H745" s="235">
        <v>2.6068667978876374</v>
      </c>
      <c r="I745" s="329"/>
      <c r="J745" s="329"/>
      <c r="K745" s="329"/>
      <c r="L745" s="235">
        <v>1.4934494625117776</v>
      </c>
      <c r="M745" s="329">
        <v>2.0038522553366906</v>
      </c>
      <c r="N745" s="329">
        <v>0.7281772983946424</v>
      </c>
      <c r="O745" s="329">
        <v>1.4747563832927878E-2</v>
      </c>
      <c r="P745" s="329">
        <v>0.73596063749969254</v>
      </c>
    </row>
    <row r="746" spans="2:16" ht="18" customHeight="1">
      <c r="B746" s="282" t="s">
        <v>136</v>
      </c>
      <c r="C746" s="309" t="s">
        <v>178</v>
      </c>
      <c r="D746" s="310"/>
      <c r="E746" s="287" t="str">
        <f>HYPERLINK("#LAYOUT_m1!lay중YPSY3A01","YPSY3A01")</f>
        <v>YPSY3A01</v>
      </c>
      <c r="F746" s="78">
        <v>1</v>
      </c>
      <c r="G746" s="179" t="s">
        <v>105</v>
      </c>
      <c r="H746" s="233">
        <v>1.9669678292599644</v>
      </c>
      <c r="I746" s="327">
        <v>3.1266160894409509</v>
      </c>
      <c r="J746" s="327">
        <v>1.3753013031191421E-2</v>
      </c>
      <c r="K746" s="327">
        <v>0.43986893938265714</v>
      </c>
      <c r="L746" s="233">
        <v>1.381150096792271</v>
      </c>
      <c r="M746" s="327">
        <v>2.9862628456897804</v>
      </c>
      <c r="N746" s="327">
        <v>0.64084832749068865</v>
      </c>
      <c r="O746" s="327">
        <v>1.2978915489029663E-2</v>
      </c>
      <c r="P746" s="327">
        <v>0.43462066668922894</v>
      </c>
    </row>
    <row r="747" spans="2:16" ht="18" customHeight="1">
      <c r="B747" s="284"/>
      <c r="C747" s="311"/>
      <c r="D747" s="312"/>
      <c r="E747" s="289"/>
      <c r="F747" s="79">
        <v>2</v>
      </c>
      <c r="G747" s="178" t="s">
        <v>106</v>
      </c>
      <c r="H747" s="234">
        <v>13.054741560045597</v>
      </c>
      <c r="I747" s="328"/>
      <c r="J747" s="328"/>
      <c r="K747" s="328"/>
      <c r="L747" s="234">
        <v>17.078749225577919</v>
      </c>
      <c r="M747" s="328">
        <v>2.9862628456897804</v>
      </c>
      <c r="N747" s="328">
        <v>0.64084832749068865</v>
      </c>
      <c r="O747" s="328">
        <v>1.2978915489029663E-2</v>
      </c>
      <c r="P747" s="328">
        <v>0.43462066668922894</v>
      </c>
    </row>
    <row r="748" spans="2:16" ht="18" customHeight="1">
      <c r="B748" s="284"/>
      <c r="C748" s="311"/>
      <c r="D748" s="312"/>
      <c r="E748" s="289"/>
      <c r="F748" s="79">
        <v>3</v>
      </c>
      <c r="G748" s="178" t="s">
        <v>107</v>
      </c>
      <c r="H748" s="234">
        <v>55.328004448035244</v>
      </c>
      <c r="I748" s="328"/>
      <c r="J748" s="328"/>
      <c r="K748" s="328"/>
      <c r="L748" s="234">
        <v>63.072766689488141</v>
      </c>
      <c r="M748" s="328">
        <v>2.9862628456897804</v>
      </c>
      <c r="N748" s="328">
        <v>0.64084832749068865</v>
      </c>
      <c r="O748" s="328">
        <v>1.2978915489029663E-2</v>
      </c>
      <c r="P748" s="328">
        <v>0.43462066668922894</v>
      </c>
    </row>
    <row r="749" spans="2:16" ht="18" customHeight="1">
      <c r="B749" s="284"/>
      <c r="C749" s="313"/>
      <c r="D749" s="314"/>
      <c r="E749" s="288"/>
      <c r="F749" s="82">
        <v>4</v>
      </c>
      <c r="G749" s="180" t="s">
        <v>108</v>
      </c>
      <c r="H749" s="235">
        <v>29.650286162659206</v>
      </c>
      <c r="I749" s="329"/>
      <c r="J749" s="329"/>
      <c r="K749" s="329"/>
      <c r="L749" s="235">
        <v>18.467333988141675</v>
      </c>
      <c r="M749" s="329">
        <v>2.9862628456897804</v>
      </c>
      <c r="N749" s="329">
        <v>0.64084832749068865</v>
      </c>
      <c r="O749" s="329">
        <v>1.2978915489029663E-2</v>
      </c>
      <c r="P749" s="329">
        <v>0.43462066668922894</v>
      </c>
    </row>
    <row r="750" spans="2:16" ht="18" customHeight="1">
      <c r="B750" s="284"/>
      <c r="C750" s="309" t="s">
        <v>179</v>
      </c>
      <c r="D750" s="310"/>
      <c r="E750" s="287" t="str">
        <f>HYPERLINK("#LAYOUT_m1!lay중YPSY3A02","YPSY3A02")</f>
        <v>YPSY3A02</v>
      </c>
      <c r="F750" s="78">
        <v>1</v>
      </c>
      <c r="G750" s="179" t="s">
        <v>105</v>
      </c>
      <c r="H750" s="233">
        <v>33.555266781505054</v>
      </c>
      <c r="I750" s="327">
        <v>1.9300090652527027</v>
      </c>
      <c r="J750" s="327">
        <v>1.5855953812194103E-2</v>
      </c>
      <c r="K750" s="327">
        <v>0.82154815216466492</v>
      </c>
      <c r="L750" s="233">
        <v>29.672487607568904</v>
      </c>
      <c r="M750" s="327">
        <v>1.9748947074559622</v>
      </c>
      <c r="N750" s="327">
        <v>0.78157532287964815</v>
      </c>
      <c r="O750" s="327">
        <v>1.582901855059209E-2</v>
      </c>
      <c r="P750" s="327">
        <v>0.80151202445536285</v>
      </c>
    </row>
    <row r="751" spans="2:16" ht="18" customHeight="1">
      <c r="B751" s="284"/>
      <c r="C751" s="311"/>
      <c r="D751" s="312"/>
      <c r="E751" s="289"/>
      <c r="F751" s="79">
        <v>2</v>
      </c>
      <c r="G751" s="178" t="s">
        <v>106</v>
      </c>
      <c r="H751" s="234">
        <v>42.622965483983904</v>
      </c>
      <c r="I751" s="328"/>
      <c r="J751" s="328"/>
      <c r="K751" s="328"/>
      <c r="L751" s="234">
        <v>45.310316219890971</v>
      </c>
      <c r="M751" s="328">
        <v>1.9748947074559622</v>
      </c>
      <c r="N751" s="328">
        <v>0.78157532287964815</v>
      </c>
      <c r="O751" s="328">
        <v>1.582901855059209E-2</v>
      </c>
      <c r="P751" s="328">
        <v>0.80151202445536285</v>
      </c>
    </row>
    <row r="752" spans="2:16" ht="18" customHeight="1">
      <c r="B752" s="284"/>
      <c r="C752" s="311"/>
      <c r="D752" s="312"/>
      <c r="E752" s="289"/>
      <c r="F752" s="79">
        <v>3</v>
      </c>
      <c r="G752" s="178" t="s">
        <v>107</v>
      </c>
      <c r="H752" s="234">
        <v>21.087362162247025</v>
      </c>
      <c r="I752" s="328"/>
      <c r="J752" s="328"/>
      <c r="K752" s="328"/>
      <c r="L752" s="234">
        <v>22.872433991914097</v>
      </c>
      <c r="M752" s="328">
        <v>1.9748947074559622</v>
      </c>
      <c r="N752" s="328">
        <v>0.78157532287964815</v>
      </c>
      <c r="O752" s="328">
        <v>1.582901855059209E-2</v>
      </c>
      <c r="P752" s="328">
        <v>0.80151202445536285</v>
      </c>
    </row>
    <row r="753" spans="2:16" ht="18" customHeight="1">
      <c r="B753" s="284"/>
      <c r="C753" s="313"/>
      <c r="D753" s="314"/>
      <c r="E753" s="288"/>
      <c r="F753" s="82">
        <v>4</v>
      </c>
      <c r="G753" s="180" t="s">
        <v>108</v>
      </c>
      <c r="H753" s="235">
        <v>2.7344055722640159</v>
      </c>
      <c r="I753" s="329"/>
      <c r="J753" s="329"/>
      <c r="K753" s="329"/>
      <c r="L753" s="235">
        <v>2.1447621806260377</v>
      </c>
      <c r="M753" s="329">
        <v>1.9748947074559622</v>
      </c>
      <c r="N753" s="329">
        <v>0.78157532287964815</v>
      </c>
      <c r="O753" s="329">
        <v>1.582901855059209E-2</v>
      </c>
      <c r="P753" s="329">
        <v>0.80151202445536285</v>
      </c>
    </row>
    <row r="754" spans="2:16" ht="18" customHeight="1">
      <c r="B754" s="284"/>
      <c r="C754" s="309" t="s">
        <v>180</v>
      </c>
      <c r="D754" s="310"/>
      <c r="E754" s="287" t="str">
        <f>HYPERLINK("#LAYOUT_m1!lay중YPSY3A03","YPSY3A03")</f>
        <v>YPSY3A03</v>
      </c>
      <c r="F754" s="78">
        <v>1</v>
      </c>
      <c r="G754" s="179" t="s">
        <v>105</v>
      </c>
      <c r="H754" s="233">
        <v>2.8003599481270087</v>
      </c>
      <c r="I754" s="327">
        <v>2.9311679456671231</v>
      </c>
      <c r="J754" s="327">
        <v>1.4638928090251696E-2</v>
      </c>
      <c r="K754" s="327">
        <v>0.49942304097215195</v>
      </c>
      <c r="L754" s="233">
        <v>1.9063102545622528</v>
      </c>
      <c r="M754" s="327">
        <v>2.8709045074245125</v>
      </c>
      <c r="N754" s="327">
        <v>0.672719687838224</v>
      </c>
      <c r="O754" s="327">
        <v>1.3624396915330308E-2</v>
      </c>
      <c r="P754" s="327">
        <v>0.47456809796689287</v>
      </c>
    </row>
    <row r="755" spans="2:16" ht="18" customHeight="1">
      <c r="B755" s="284"/>
      <c r="C755" s="311"/>
      <c r="D755" s="312"/>
      <c r="E755" s="289"/>
      <c r="F755" s="79">
        <v>2</v>
      </c>
      <c r="G755" s="178" t="s">
        <v>106</v>
      </c>
      <c r="H755" s="234">
        <v>23.018319470953919</v>
      </c>
      <c r="I755" s="328"/>
      <c r="J755" s="328"/>
      <c r="K755" s="328"/>
      <c r="L755" s="234">
        <v>24.18743388594444</v>
      </c>
      <c r="M755" s="328">
        <v>2.8709045074245125</v>
      </c>
      <c r="N755" s="328">
        <v>0.672719687838224</v>
      </c>
      <c r="O755" s="328">
        <v>1.3624396915330308E-2</v>
      </c>
      <c r="P755" s="328">
        <v>0.47456809796689287</v>
      </c>
    </row>
    <row r="756" spans="2:16" ht="18" customHeight="1">
      <c r="B756" s="284"/>
      <c r="C756" s="311"/>
      <c r="D756" s="312"/>
      <c r="E756" s="289"/>
      <c r="F756" s="79">
        <v>3</v>
      </c>
      <c r="G756" s="178" t="s">
        <v>107</v>
      </c>
      <c r="H756" s="234">
        <v>52.445486646999925</v>
      </c>
      <c r="I756" s="328"/>
      <c r="J756" s="328"/>
      <c r="K756" s="328"/>
      <c r="L756" s="234">
        <v>58.815750721971597</v>
      </c>
      <c r="M756" s="328">
        <v>2.8709045074245125</v>
      </c>
      <c r="N756" s="328">
        <v>0.672719687838224</v>
      </c>
      <c r="O756" s="328">
        <v>1.3624396915330308E-2</v>
      </c>
      <c r="P756" s="328">
        <v>0.47456809796689287</v>
      </c>
    </row>
    <row r="757" spans="2:16" ht="18" customHeight="1">
      <c r="B757" s="284"/>
      <c r="C757" s="313"/>
      <c r="D757" s="314"/>
      <c r="E757" s="288"/>
      <c r="F757" s="82">
        <v>4</v>
      </c>
      <c r="G757" s="180" t="s">
        <v>108</v>
      </c>
      <c r="H757" s="235">
        <v>21.735833933919164</v>
      </c>
      <c r="I757" s="329"/>
      <c r="J757" s="329"/>
      <c r="K757" s="329"/>
      <c r="L757" s="235">
        <v>15.090505137521699</v>
      </c>
      <c r="M757" s="329">
        <v>2.8709045074245125</v>
      </c>
      <c r="N757" s="329">
        <v>0.672719687838224</v>
      </c>
      <c r="O757" s="329">
        <v>1.3624396915330308E-2</v>
      </c>
      <c r="P757" s="329">
        <v>0.47456809796689287</v>
      </c>
    </row>
    <row r="758" spans="2:16" ht="18" customHeight="1">
      <c r="B758" s="284"/>
      <c r="C758" s="309" t="s">
        <v>181</v>
      </c>
      <c r="D758" s="310"/>
      <c r="E758" s="287" t="str">
        <f>HYPERLINK("#LAYOUT_m1!lay중YPSY3A04","YPSY3A04")</f>
        <v>YPSY3A04</v>
      </c>
      <c r="F758" s="78">
        <v>1</v>
      </c>
      <c r="G758" s="179" t="s">
        <v>105</v>
      </c>
      <c r="H758" s="233">
        <v>1.2213841222130448</v>
      </c>
      <c r="I758" s="327">
        <v>3.1724990048976318</v>
      </c>
      <c r="J758" s="327">
        <v>1.2978629281306893E-2</v>
      </c>
      <c r="K758" s="327">
        <v>0.40909797800632153</v>
      </c>
      <c r="L758" s="233">
        <v>1.262650143075043</v>
      </c>
      <c r="M758" s="327">
        <v>3.0680092377878405</v>
      </c>
      <c r="N758" s="327">
        <v>0.62726317491454053</v>
      </c>
      <c r="O758" s="327">
        <v>1.270377933024182E-2</v>
      </c>
      <c r="P758" s="327">
        <v>0.41407239501670362</v>
      </c>
    </row>
    <row r="759" spans="2:16" ht="18" customHeight="1">
      <c r="B759" s="284"/>
      <c r="C759" s="311"/>
      <c r="D759" s="312"/>
      <c r="E759" s="289"/>
      <c r="F759" s="79">
        <v>2</v>
      </c>
      <c r="G759" s="178" t="s">
        <v>106</v>
      </c>
      <c r="H759" s="234">
        <v>11.003874415909783</v>
      </c>
      <c r="I759" s="328"/>
      <c r="J759" s="328"/>
      <c r="K759" s="328"/>
      <c r="L759" s="234">
        <v>12.707735732336253</v>
      </c>
      <c r="M759" s="328">
        <v>3.0680092377878405</v>
      </c>
      <c r="N759" s="328">
        <v>0.62726317491454053</v>
      </c>
      <c r="O759" s="328">
        <v>1.270377933024182E-2</v>
      </c>
      <c r="P759" s="328">
        <v>0.41407239501670362</v>
      </c>
    </row>
    <row r="760" spans="2:16" ht="18" customHeight="1">
      <c r="B760" s="284"/>
      <c r="C760" s="311"/>
      <c r="D760" s="312"/>
      <c r="E760" s="289"/>
      <c r="F760" s="79">
        <v>3</v>
      </c>
      <c r="G760" s="178" t="s">
        <v>107</v>
      </c>
      <c r="H760" s="234">
        <v>57.078198311780099</v>
      </c>
      <c r="I760" s="328"/>
      <c r="J760" s="328"/>
      <c r="K760" s="328"/>
      <c r="L760" s="234">
        <v>63.995654327316878</v>
      </c>
      <c r="M760" s="328">
        <v>3.0680092377878405</v>
      </c>
      <c r="N760" s="328">
        <v>0.62726317491454053</v>
      </c>
      <c r="O760" s="328">
        <v>1.270377933024182E-2</v>
      </c>
      <c r="P760" s="328">
        <v>0.41407239501670362</v>
      </c>
    </row>
    <row r="761" spans="2:16" ht="18" customHeight="1">
      <c r="B761" s="284"/>
      <c r="C761" s="313"/>
      <c r="D761" s="314"/>
      <c r="E761" s="288"/>
      <c r="F761" s="82">
        <v>4</v>
      </c>
      <c r="G761" s="180" t="s">
        <v>108</v>
      </c>
      <c r="H761" s="235">
        <v>30.696543150097074</v>
      </c>
      <c r="I761" s="329"/>
      <c r="J761" s="329"/>
      <c r="K761" s="329"/>
      <c r="L761" s="235">
        <v>22.033959797271844</v>
      </c>
      <c r="M761" s="329">
        <v>3.0680092377878405</v>
      </c>
      <c r="N761" s="329">
        <v>0.62726317491454053</v>
      </c>
      <c r="O761" s="329">
        <v>1.270377933024182E-2</v>
      </c>
      <c r="P761" s="329">
        <v>0.41407239501670362</v>
      </c>
    </row>
    <row r="762" spans="2:16" ht="18" customHeight="1">
      <c r="B762" s="284"/>
      <c r="C762" s="309" t="s">
        <v>182</v>
      </c>
      <c r="D762" s="310"/>
      <c r="E762" s="287" t="str">
        <f>HYPERLINK("#LAYOUT_m1!lay중YPSY3A05","YPSY3A05")</f>
        <v>YPSY3A05</v>
      </c>
      <c r="F762" s="78">
        <v>1</v>
      </c>
      <c r="G762" s="179" t="s">
        <v>105</v>
      </c>
      <c r="H762" s="233">
        <v>28.169435498320954</v>
      </c>
      <c r="I762" s="327">
        <v>1.9832980371130835</v>
      </c>
      <c r="J762" s="327">
        <v>1.5174263478418822E-2</v>
      </c>
      <c r="K762" s="327">
        <v>0.7651025309593249</v>
      </c>
      <c r="L762" s="233">
        <v>22.553617109280673</v>
      </c>
      <c r="M762" s="327">
        <v>2.0695553020945074</v>
      </c>
      <c r="N762" s="327">
        <v>0.74927368217164869</v>
      </c>
      <c r="O762" s="327">
        <v>1.5174822780825926E-2</v>
      </c>
      <c r="P762" s="327">
        <v>0.73324074816788665</v>
      </c>
    </row>
    <row r="763" spans="2:16" ht="18" customHeight="1">
      <c r="B763" s="284"/>
      <c r="C763" s="311"/>
      <c r="D763" s="312"/>
      <c r="E763" s="289"/>
      <c r="F763" s="79">
        <v>2</v>
      </c>
      <c r="G763" s="178" t="s">
        <v>106</v>
      </c>
      <c r="H763" s="234">
        <v>47.817869041247747</v>
      </c>
      <c r="I763" s="328"/>
      <c r="J763" s="328"/>
      <c r="K763" s="328"/>
      <c r="L763" s="234">
        <v>50.206789137885352</v>
      </c>
      <c r="M763" s="328">
        <v>2.0695553020945074</v>
      </c>
      <c r="N763" s="328">
        <v>0.74927368217164869</v>
      </c>
      <c r="O763" s="328">
        <v>1.5174822780825926E-2</v>
      </c>
      <c r="P763" s="328">
        <v>0.73324074816788665</v>
      </c>
    </row>
    <row r="764" spans="2:16" ht="18" customHeight="1">
      <c r="B764" s="284"/>
      <c r="C764" s="311"/>
      <c r="D764" s="312"/>
      <c r="E764" s="289"/>
      <c r="F764" s="79">
        <v>3</v>
      </c>
      <c r="G764" s="178" t="s">
        <v>107</v>
      </c>
      <c r="H764" s="234">
        <v>21.526151711233123</v>
      </c>
      <c r="I764" s="328"/>
      <c r="J764" s="328"/>
      <c r="K764" s="328"/>
      <c r="L764" s="234">
        <v>24.970040186935904</v>
      </c>
      <c r="M764" s="328">
        <v>2.0695553020945074</v>
      </c>
      <c r="N764" s="328">
        <v>0.74927368217164869</v>
      </c>
      <c r="O764" s="328">
        <v>1.5174822780825926E-2</v>
      </c>
      <c r="P764" s="328">
        <v>0.73324074816788665</v>
      </c>
    </row>
    <row r="765" spans="2:16" ht="18" customHeight="1">
      <c r="B765" s="284"/>
      <c r="C765" s="313"/>
      <c r="D765" s="314"/>
      <c r="E765" s="288"/>
      <c r="F765" s="82">
        <v>4</v>
      </c>
      <c r="G765" s="180" t="s">
        <v>108</v>
      </c>
      <c r="H765" s="235">
        <v>2.4865437491981721</v>
      </c>
      <c r="I765" s="329"/>
      <c r="J765" s="329"/>
      <c r="K765" s="329"/>
      <c r="L765" s="235">
        <v>2.2695535658980979</v>
      </c>
      <c r="M765" s="329">
        <v>2.0695553020945074</v>
      </c>
      <c r="N765" s="329">
        <v>0.74927368217164869</v>
      </c>
      <c r="O765" s="329">
        <v>1.5174822780825926E-2</v>
      </c>
      <c r="P765" s="329">
        <v>0.73324074816788665</v>
      </c>
    </row>
    <row r="766" spans="2:16" ht="18" customHeight="1">
      <c r="B766" s="284"/>
      <c r="C766" s="309" t="s">
        <v>183</v>
      </c>
      <c r="D766" s="310"/>
      <c r="E766" s="287" t="str">
        <f>HYPERLINK("#LAYOUT_m1!lay중YPSY3A06","YPSY3A06")</f>
        <v>YPSY3A06</v>
      </c>
      <c r="F766" s="78">
        <v>1</v>
      </c>
      <c r="G766" s="179" t="s">
        <v>105</v>
      </c>
      <c r="H766" s="233">
        <v>38.801150971457723</v>
      </c>
      <c r="I766" s="327">
        <v>1.8384662607382996</v>
      </c>
      <c r="J766" s="327">
        <v>1.5674961049469402E-2</v>
      </c>
      <c r="K766" s="327">
        <v>0.85261075409535025</v>
      </c>
      <c r="L766" s="233">
        <v>33.14446663621348</v>
      </c>
      <c r="M766" s="327">
        <v>1.9082400576309444</v>
      </c>
      <c r="N766" s="327">
        <v>0.78034747677814387</v>
      </c>
      <c r="O766" s="327">
        <v>1.5804151339270257E-2</v>
      </c>
      <c r="P766" s="327">
        <v>0.82820561679702409</v>
      </c>
    </row>
    <row r="767" spans="2:16" ht="18" customHeight="1">
      <c r="B767" s="284"/>
      <c r="C767" s="311"/>
      <c r="D767" s="312"/>
      <c r="E767" s="289"/>
      <c r="F767" s="79">
        <v>2</v>
      </c>
      <c r="G767" s="178" t="s">
        <v>106</v>
      </c>
      <c r="H767" s="234">
        <v>40.937700506038972</v>
      </c>
      <c r="I767" s="328"/>
      <c r="J767" s="328"/>
      <c r="K767" s="328"/>
      <c r="L767" s="234">
        <v>45.186206463618277</v>
      </c>
      <c r="M767" s="328">
        <v>1.9082400576309444</v>
      </c>
      <c r="N767" s="328">
        <v>0.78034747677814387</v>
      </c>
      <c r="O767" s="328">
        <v>1.5804151339270257E-2</v>
      </c>
      <c r="P767" s="328">
        <v>0.82820561679702409</v>
      </c>
    </row>
    <row r="768" spans="2:16" ht="18" customHeight="1">
      <c r="B768" s="284"/>
      <c r="C768" s="311"/>
      <c r="D768" s="312"/>
      <c r="E768" s="289"/>
      <c r="F768" s="79">
        <v>3</v>
      </c>
      <c r="G768" s="178" t="s">
        <v>107</v>
      </c>
      <c r="H768" s="234">
        <v>17.874519999719265</v>
      </c>
      <c r="I768" s="328"/>
      <c r="J768" s="328"/>
      <c r="K768" s="328"/>
      <c r="L768" s="234">
        <v>19.370181401027796</v>
      </c>
      <c r="M768" s="328">
        <v>1.9082400576309444</v>
      </c>
      <c r="N768" s="328">
        <v>0.78034747677814387</v>
      </c>
      <c r="O768" s="328">
        <v>1.5804151339270257E-2</v>
      </c>
      <c r="P768" s="328">
        <v>0.82820561679702409</v>
      </c>
    </row>
    <row r="769" spans="2:16" ht="18" customHeight="1">
      <c r="B769" s="284"/>
      <c r="C769" s="313"/>
      <c r="D769" s="314"/>
      <c r="E769" s="288"/>
      <c r="F769" s="82">
        <v>4</v>
      </c>
      <c r="G769" s="180" t="s">
        <v>108</v>
      </c>
      <c r="H769" s="235">
        <v>2.3866285227840485</v>
      </c>
      <c r="I769" s="329"/>
      <c r="J769" s="329"/>
      <c r="K769" s="329"/>
      <c r="L769" s="235">
        <v>2.29914549914049</v>
      </c>
      <c r="M769" s="329">
        <v>1.9082400576309444</v>
      </c>
      <c r="N769" s="329">
        <v>0.78034747677814387</v>
      </c>
      <c r="O769" s="329">
        <v>1.5804151339270257E-2</v>
      </c>
      <c r="P769" s="329">
        <v>0.82820561679702409</v>
      </c>
    </row>
    <row r="770" spans="2:16" ht="18" customHeight="1">
      <c r="B770" s="284"/>
      <c r="C770" s="309" t="s">
        <v>184</v>
      </c>
      <c r="D770" s="310"/>
      <c r="E770" s="287" t="str">
        <f>HYPERLINK("#LAYOUT_m1!lay중YPSY3A07","YPSY3A07")</f>
        <v>YPSY3A07</v>
      </c>
      <c r="F770" s="78">
        <v>1</v>
      </c>
      <c r="G770" s="179" t="s">
        <v>105</v>
      </c>
      <c r="H770" s="233">
        <v>1.5862682081862001</v>
      </c>
      <c r="I770" s="327">
        <v>3.1728593937943845</v>
      </c>
      <c r="J770" s="327">
        <v>1.2829842037405705E-2</v>
      </c>
      <c r="K770" s="327">
        <v>0.40436213664238863</v>
      </c>
      <c r="L770" s="233">
        <v>1.3639546571923351</v>
      </c>
      <c r="M770" s="327">
        <v>3.0966279223543647</v>
      </c>
      <c r="N770" s="327">
        <v>0.6237924426044491</v>
      </c>
      <c r="O770" s="327">
        <v>1.2633487594420177E-2</v>
      </c>
      <c r="P770" s="327">
        <v>0.40797564031570632</v>
      </c>
    </row>
    <row r="771" spans="2:16" ht="18" customHeight="1">
      <c r="B771" s="284"/>
      <c r="C771" s="311"/>
      <c r="D771" s="312"/>
      <c r="E771" s="289"/>
      <c r="F771" s="79">
        <v>2</v>
      </c>
      <c r="G771" s="178" t="s">
        <v>106</v>
      </c>
      <c r="H771" s="234">
        <v>9.4003415928056313</v>
      </c>
      <c r="I771" s="328"/>
      <c r="J771" s="328"/>
      <c r="K771" s="328"/>
      <c r="L771" s="234">
        <v>10.991458001711626</v>
      </c>
      <c r="M771" s="328">
        <v>3.0966279223543647</v>
      </c>
      <c r="N771" s="328">
        <v>0.6237924426044491</v>
      </c>
      <c r="O771" s="328">
        <v>1.2633487594420177E-2</v>
      </c>
      <c r="P771" s="328">
        <v>0.40797564031570632</v>
      </c>
    </row>
    <row r="772" spans="2:16" ht="18" customHeight="1">
      <c r="B772" s="284"/>
      <c r="C772" s="311"/>
      <c r="D772" s="312"/>
      <c r="E772" s="289"/>
      <c r="F772" s="79">
        <v>3</v>
      </c>
      <c r="G772" s="178" t="s">
        <v>107</v>
      </c>
      <c r="H772" s="234">
        <v>59.154572810393589</v>
      </c>
      <c r="I772" s="328"/>
      <c r="J772" s="328"/>
      <c r="K772" s="328"/>
      <c r="L772" s="234">
        <v>64.262427789562011</v>
      </c>
      <c r="M772" s="328">
        <v>3.0966279223543647</v>
      </c>
      <c r="N772" s="328">
        <v>0.6237924426044491</v>
      </c>
      <c r="O772" s="328">
        <v>1.2633487594420177E-2</v>
      </c>
      <c r="P772" s="328">
        <v>0.40797564031570632</v>
      </c>
    </row>
    <row r="773" spans="2:16" ht="18" customHeight="1">
      <c r="B773" s="284"/>
      <c r="C773" s="313"/>
      <c r="D773" s="314"/>
      <c r="E773" s="288"/>
      <c r="F773" s="82">
        <v>4</v>
      </c>
      <c r="G773" s="180" t="s">
        <v>108</v>
      </c>
      <c r="H773" s="235">
        <v>29.858817388614554</v>
      </c>
      <c r="I773" s="329"/>
      <c r="J773" s="329"/>
      <c r="K773" s="329"/>
      <c r="L773" s="235">
        <v>23.382159551533988</v>
      </c>
      <c r="M773" s="329">
        <v>3.0966279223543647</v>
      </c>
      <c r="N773" s="329">
        <v>0.6237924426044491</v>
      </c>
      <c r="O773" s="329">
        <v>1.2633487594420177E-2</v>
      </c>
      <c r="P773" s="329">
        <v>0.40797564031570632</v>
      </c>
    </row>
    <row r="774" spans="2:16" ht="18" customHeight="1">
      <c r="B774" s="284"/>
      <c r="C774" s="309" t="s">
        <v>185</v>
      </c>
      <c r="D774" s="310"/>
      <c r="E774" s="287" t="str">
        <f>HYPERLINK("#LAYOUT_m1!lay중YPSY3A08","YPSY3A08")</f>
        <v>YPSY3A08</v>
      </c>
      <c r="F774" s="78">
        <v>1</v>
      </c>
      <c r="G774" s="179" t="s">
        <v>105</v>
      </c>
      <c r="H774" s="233">
        <v>5.0982480264037315</v>
      </c>
      <c r="I774" s="327">
        <v>2.9589735269042738</v>
      </c>
      <c r="J774" s="327">
        <v>1.4974528097036944E-2</v>
      </c>
      <c r="K774" s="327">
        <v>0.50607171577853016</v>
      </c>
      <c r="L774" s="233">
        <v>4.9815862689733565</v>
      </c>
      <c r="M774" s="327">
        <v>2.8274873024800367</v>
      </c>
      <c r="N774" s="327">
        <v>0.7197242493258027</v>
      </c>
      <c r="O774" s="327">
        <v>1.4576366679431857E-2</v>
      </c>
      <c r="P774" s="327">
        <v>0.51552368304701768</v>
      </c>
    </row>
    <row r="775" spans="2:16" ht="18" customHeight="1">
      <c r="B775" s="284"/>
      <c r="C775" s="311"/>
      <c r="D775" s="312"/>
      <c r="E775" s="289"/>
      <c r="F775" s="79">
        <v>2</v>
      </c>
      <c r="G775" s="178" t="s">
        <v>106</v>
      </c>
      <c r="H775" s="234">
        <v>15.868152004622745</v>
      </c>
      <c r="I775" s="328"/>
      <c r="J775" s="328"/>
      <c r="K775" s="328"/>
      <c r="L775" s="234">
        <v>21.058433839458676</v>
      </c>
      <c r="M775" s="328">
        <v>2.8274873024800367</v>
      </c>
      <c r="N775" s="328">
        <v>0.7197242493258027</v>
      </c>
      <c r="O775" s="328">
        <v>1.4576366679431857E-2</v>
      </c>
      <c r="P775" s="328">
        <v>0.51552368304701768</v>
      </c>
    </row>
    <row r="776" spans="2:16" ht="18" customHeight="1">
      <c r="B776" s="284"/>
      <c r="C776" s="311"/>
      <c r="D776" s="312"/>
      <c r="E776" s="289"/>
      <c r="F776" s="79">
        <v>3</v>
      </c>
      <c r="G776" s="178" t="s">
        <v>107</v>
      </c>
      <c r="H776" s="234">
        <v>57.07159922111768</v>
      </c>
      <c r="I776" s="328"/>
      <c r="J776" s="328"/>
      <c r="K776" s="328"/>
      <c r="L776" s="234">
        <v>60.189643266157518</v>
      </c>
      <c r="M776" s="328">
        <v>2.8274873024800367</v>
      </c>
      <c r="N776" s="328">
        <v>0.7197242493258027</v>
      </c>
      <c r="O776" s="328">
        <v>1.4576366679431857E-2</v>
      </c>
      <c r="P776" s="328">
        <v>0.51552368304701768</v>
      </c>
    </row>
    <row r="777" spans="2:16" ht="18" customHeight="1">
      <c r="B777" s="284"/>
      <c r="C777" s="313"/>
      <c r="D777" s="314"/>
      <c r="E777" s="288"/>
      <c r="F777" s="82">
        <v>4</v>
      </c>
      <c r="G777" s="180" t="s">
        <v>108</v>
      </c>
      <c r="H777" s="235">
        <v>21.962000747855839</v>
      </c>
      <c r="I777" s="329"/>
      <c r="J777" s="329"/>
      <c r="K777" s="329"/>
      <c r="L777" s="235">
        <v>13.770336625410449</v>
      </c>
      <c r="M777" s="329">
        <v>2.8274873024800367</v>
      </c>
      <c r="N777" s="329">
        <v>0.7197242493258027</v>
      </c>
      <c r="O777" s="329">
        <v>1.4576366679431857E-2</v>
      </c>
      <c r="P777" s="329">
        <v>0.51552368304701768</v>
      </c>
    </row>
    <row r="778" spans="2:16" ht="18" customHeight="1">
      <c r="B778" s="284"/>
      <c r="C778" s="309" t="s">
        <v>186</v>
      </c>
      <c r="D778" s="310"/>
      <c r="E778" s="287" t="str">
        <f>HYPERLINK("#LAYOUT_m1!lay중YPSY3A09","YPSY3A09")</f>
        <v>YPSY3A09</v>
      </c>
      <c r="F778" s="78">
        <v>1</v>
      </c>
      <c r="G778" s="179" t="s">
        <v>105</v>
      </c>
      <c r="H778" s="233">
        <v>34.529901297843921</v>
      </c>
      <c r="I778" s="327">
        <v>1.888304032805719</v>
      </c>
      <c r="J778" s="327">
        <v>1.5484845336465821E-2</v>
      </c>
      <c r="K778" s="327">
        <v>0.82003983825940407</v>
      </c>
      <c r="L778" s="233">
        <v>31.431055687977057</v>
      </c>
      <c r="M778" s="327">
        <v>1.9392776802810063</v>
      </c>
      <c r="N778" s="327">
        <v>0.78763054030984936</v>
      </c>
      <c r="O778" s="327">
        <v>1.5951653114689351E-2</v>
      </c>
      <c r="P778" s="327">
        <v>0.82255642277994512</v>
      </c>
    </row>
    <row r="779" spans="2:16" ht="18" customHeight="1">
      <c r="B779" s="284"/>
      <c r="C779" s="311"/>
      <c r="D779" s="312"/>
      <c r="E779" s="289"/>
      <c r="F779" s="79">
        <v>2</v>
      </c>
      <c r="G779" s="178" t="s">
        <v>106</v>
      </c>
      <c r="H779" s="234">
        <v>44.828067962938469</v>
      </c>
      <c r="I779" s="328"/>
      <c r="J779" s="328"/>
      <c r="K779" s="328"/>
      <c r="L779" s="234">
        <v>46.004911539103823</v>
      </c>
      <c r="M779" s="328">
        <v>1.9392776802810063</v>
      </c>
      <c r="N779" s="328">
        <v>0.78763054030984936</v>
      </c>
      <c r="O779" s="328">
        <v>1.5951653114689351E-2</v>
      </c>
      <c r="P779" s="328">
        <v>0.82255642277994512</v>
      </c>
    </row>
    <row r="780" spans="2:16" ht="18" customHeight="1">
      <c r="B780" s="284"/>
      <c r="C780" s="311"/>
      <c r="D780" s="312"/>
      <c r="E780" s="289"/>
      <c r="F780" s="79">
        <v>3</v>
      </c>
      <c r="G780" s="178" t="s">
        <v>107</v>
      </c>
      <c r="H780" s="234">
        <v>17.923756900020138</v>
      </c>
      <c r="I780" s="328"/>
      <c r="J780" s="328"/>
      <c r="K780" s="328"/>
      <c r="L780" s="234">
        <v>19.769241829759729</v>
      </c>
      <c r="M780" s="328">
        <v>1.9392776802810063</v>
      </c>
      <c r="N780" s="328">
        <v>0.78763054030984936</v>
      </c>
      <c r="O780" s="328">
        <v>1.5951653114689351E-2</v>
      </c>
      <c r="P780" s="328">
        <v>0.82255642277994512</v>
      </c>
    </row>
    <row r="781" spans="2:16" ht="18" customHeight="1">
      <c r="B781" s="284"/>
      <c r="C781" s="313"/>
      <c r="D781" s="314"/>
      <c r="E781" s="288"/>
      <c r="F781" s="82">
        <v>4</v>
      </c>
      <c r="G781" s="180" t="s">
        <v>108</v>
      </c>
      <c r="H781" s="235">
        <v>2.7182738391974595</v>
      </c>
      <c r="I781" s="329"/>
      <c r="J781" s="329"/>
      <c r="K781" s="329"/>
      <c r="L781" s="235">
        <v>2.7947909431593874</v>
      </c>
      <c r="M781" s="329">
        <v>1.9392776802810063</v>
      </c>
      <c r="N781" s="329">
        <v>0.78763054030984936</v>
      </c>
      <c r="O781" s="329">
        <v>1.5951653114689351E-2</v>
      </c>
      <c r="P781" s="329">
        <v>0.82255642277994512</v>
      </c>
    </row>
    <row r="782" spans="2:16" ht="18" customHeight="1">
      <c r="B782" s="284"/>
      <c r="C782" s="309" t="s">
        <v>187</v>
      </c>
      <c r="D782" s="310"/>
      <c r="E782" s="287" t="str">
        <f>HYPERLINK("#LAYOUT_m1!lay중YPSY3A10","YPSY3A10")</f>
        <v>YPSY3A10</v>
      </c>
      <c r="F782" s="78">
        <v>1</v>
      </c>
      <c r="G782" s="179" t="s">
        <v>105</v>
      </c>
      <c r="H782" s="233">
        <v>1.5701035545503901</v>
      </c>
      <c r="I782" s="327">
        <v>3.1099632637754073</v>
      </c>
      <c r="J782" s="327">
        <v>1.3788712666706775E-2</v>
      </c>
      <c r="K782" s="327">
        <v>0.44337220401657312</v>
      </c>
      <c r="L782" s="233">
        <v>2.1867942994557987</v>
      </c>
      <c r="M782" s="327">
        <v>3.0354906531483539</v>
      </c>
      <c r="N782" s="327">
        <v>0.67533272090368179</v>
      </c>
      <c r="O782" s="327">
        <v>1.3677317916871202E-2</v>
      </c>
      <c r="P782" s="327">
        <v>0.45058013612018061</v>
      </c>
    </row>
    <row r="783" spans="2:16" ht="18" customHeight="1">
      <c r="B783" s="284"/>
      <c r="C783" s="311"/>
      <c r="D783" s="312"/>
      <c r="E783" s="289"/>
      <c r="F783" s="79">
        <v>2</v>
      </c>
      <c r="G783" s="178" t="s">
        <v>106</v>
      </c>
      <c r="H783" s="234">
        <v>15.008268998883981</v>
      </c>
      <c r="I783" s="328"/>
      <c r="J783" s="328"/>
      <c r="K783" s="328"/>
      <c r="L783" s="234">
        <v>14.522424512147847</v>
      </c>
      <c r="M783" s="328">
        <v>3.0354906531483539</v>
      </c>
      <c r="N783" s="328">
        <v>0.67533272090368179</v>
      </c>
      <c r="O783" s="328">
        <v>1.3677317916871202E-2</v>
      </c>
      <c r="P783" s="328">
        <v>0.45058013612018061</v>
      </c>
    </row>
    <row r="784" spans="2:16" ht="18" customHeight="1">
      <c r="B784" s="284"/>
      <c r="C784" s="311"/>
      <c r="D784" s="312"/>
      <c r="E784" s="289"/>
      <c r="F784" s="79">
        <v>3</v>
      </c>
      <c r="G784" s="178" t="s">
        <v>107</v>
      </c>
      <c r="H784" s="234">
        <v>54.27682496104191</v>
      </c>
      <c r="I784" s="328"/>
      <c r="J784" s="328"/>
      <c r="K784" s="328"/>
      <c r="L784" s="234">
        <v>60.845702762500302</v>
      </c>
      <c r="M784" s="328">
        <v>3.0354906531483539</v>
      </c>
      <c r="N784" s="328">
        <v>0.67533272090368179</v>
      </c>
      <c r="O784" s="328">
        <v>1.3677317916871202E-2</v>
      </c>
      <c r="P784" s="328">
        <v>0.45058013612018061</v>
      </c>
    </row>
    <row r="785" spans="2:16" ht="18" customHeight="1">
      <c r="B785" s="286"/>
      <c r="C785" s="313"/>
      <c r="D785" s="314"/>
      <c r="E785" s="288"/>
      <c r="F785" s="82">
        <v>4</v>
      </c>
      <c r="G785" s="180" t="s">
        <v>108</v>
      </c>
      <c r="H785" s="235">
        <v>29.144802485523712</v>
      </c>
      <c r="I785" s="329"/>
      <c r="J785" s="329"/>
      <c r="K785" s="329"/>
      <c r="L785" s="235">
        <v>22.445078425896078</v>
      </c>
      <c r="M785" s="329">
        <v>3.0354906531483539</v>
      </c>
      <c r="N785" s="329">
        <v>0.67533272090368179</v>
      </c>
      <c r="O785" s="329">
        <v>1.3677317916871202E-2</v>
      </c>
      <c r="P785" s="329">
        <v>0.45058013612018061</v>
      </c>
    </row>
    <row r="786" spans="2:16" ht="18" customHeight="1">
      <c r="B786" s="282" t="s">
        <v>136</v>
      </c>
      <c r="C786" s="309" t="s">
        <v>188</v>
      </c>
      <c r="D786" s="310"/>
      <c r="E786" s="287" t="str">
        <f>HYPERLINK("#LAYOUT_m1!lay중YPSY4A01","YPSY4A01")</f>
        <v>YPSY4A01</v>
      </c>
      <c r="F786" s="78">
        <v>1</v>
      </c>
      <c r="G786" s="179" t="s">
        <v>105</v>
      </c>
      <c r="H786" s="233">
        <v>23.600551272811806</v>
      </c>
      <c r="I786" s="327">
        <v>2.100947170822038</v>
      </c>
      <c r="J786" s="327">
        <v>1.5687065005461177E-2</v>
      </c>
      <c r="K786" s="327">
        <v>0.74666632380495745</v>
      </c>
      <c r="L786" s="233">
        <v>19.716575942420924</v>
      </c>
      <c r="M786" s="327">
        <v>2.1485546266577504</v>
      </c>
      <c r="N786" s="327">
        <v>0.76191688736293783</v>
      </c>
      <c r="O786" s="327">
        <v>1.5430881952160179E-2</v>
      </c>
      <c r="P786" s="327">
        <v>0.71819826038885304</v>
      </c>
    </row>
    <row r="787" spans="2:16" ht="18" customHeight="1">
      <c r="B787" s="284"/>
      <c r="C787" s="311"/>
      <c r="D787" s="312"/>
      <c r="E787" s="289"/>
      <c r="F787" s="79">
        <v>2</v>
      </c>
      <c r="G787" s="178" t="s">
        <v>106</v>
      </c>
      <c r="H787" s="234">
        <v>46.421362021563937</v>
      </c>
      <c r="I787" s="328"/>
      <c r="J787" s="328"/>
      <c r="K787" s="328"/>
      <c r="L787" s="234">
        <v>48.684463585695312</v>
      </c>
      <c r="M787" s="328">
        <v>2.1485546266577504</v>
      </c>
      <c r="N787" s="328">
        <v>0.76191688736293783</v>
      </c>
      <c r="O787" s="328">
        <v>1.5430881952160179E-2</v>
      </c>
      <c r="P787" s="328">
        <v>0.71819826038885304</v>
      </c>
    </row>
    <row r="788" spans="2:16" ht="18" customHeight="1">
      <c r="B788" s="284"/>
      <c r="C788" s="311"/>
      <c r="D788" s="312"/>
      <c r="E788" s="289"/>
      <c r="F788" s="79">
        <v>3</v>
      </c>
      <c r="G788" s="178" t="s">
        <v>107</v>
      </c>
      <c r="H788" s="234">
        <v>26.260905056232591</v>
      </c>
      <c r="I788" s="328"/>
      <c r="J788" s="328"/>
      <c r="K788" s="328"/>
      <c r="L788" s="234">
        <v>28.625882335570971</v>
      </c>
      <c r="M788" s="328">
        <v>2.1485546266577504</v>
      </c>
      <c r="N788" s="328">
        <v>0.76191688736293783</v>
      </c>
      <c r="O788" s="328">
        <v>1.5430881952160179E-2</v>
      </c>
      <c r="P788" s="328">
        <v>0.71819826038885304</v>
      </c>
    </row>
    <row r="789" spans="2:16" ht="18" customHeight="1">
      <c r="B789" s="284"/>
      <c r="C789" s="313"/>
      <c r="D789" s="314"/>
      <c r="E789" s="288"/>
      <c r="F789" s="82">
        <v>4</v>
      </c>
      <c r="G789" s="180" t="s">
        <v>108</v>
      </c>
      <c r="H789" s="235">
        <v>3.7171816493916894</v>
      </c>
      <c r="I789" s="329"/>
      <c r="J789" s="329"/>
      <c r="K789" s="329"/>
      <c r="L789" s="235">
        <v>2.9730781363127794</v>
      </c>
      <c r="M789" s="329">
        <v>2.1485546266577504</v>
      </c>
      <c r="N789" s="329">
        <v>0.76191688736293783</v>
      </c>
      <c r="O789" s="329">
        <v>1.5430881952160179E-2</v>
      </c>
      <c r="P789" s="329">
        <v>0.71819826038885304</v>
      </c>
    </row>
    <row r="790" spans="2:16" ht="18" customHeight="1">
      <c r="B790" s="284"/>
      <c r="C790" s="309" t="s">
        <v>189</v>
      </c>
      <c r="D790" s="310"/>
      <c r="E790" s="287" t="str">
        <f>HYPERLINK("#LAYOUT_m1!lay중YPSY4A02","YPSY4A02")</f>
        <v>YPSY4A02</v>
      </c>
      <c r="F790" s="78">
        <v>1</v>
      </c>
      <c r="G790" s="179" t="s">
        <v>105</v>
      </c>
      <c r="H790" s="233">
        <v>19.846744172910981</v>
      </c>
      <c r="I790" s="327">
        <v>2.2713877868029808</v>
      </c>
      <c r="J790" s="327">
        <v>1.6461361527997837E-2</v>
      </c>
      <c r="K790" s="327">
        <v>0.72472704236767505</v>
      </c>
      <c r="L790" s="233">
        <v>14.665332514347879</v>
      </c>
      <c r="M790" s="327">
        <v>2.3727250809993787</v>
      </c>
      <c r="N790" s="327">
        <v>0.80570552979557097</v>
      </c>
      <c r="O790" s="327">
        <v>1.6317720639463677E-2</v>
      </c>
      <c r="P790" s="327">
        <v>0.6877206622096621</v>
      </c>
    </row>
    <row r="791" spans="2:16" ht="18" customHeight="1">
      <c r="B791" s="284"/>
      <c r="C791" s="311"/>
      <c r="D791" s="312"/>
      <c r="E791" s="289"/>
      <c r="F791" s="79">
        <v>2</v>
      </c>
      <c r="G791" s="178" t="s">
        <v>106</v>
      </c>
      <c r="H791" s="234">
        <v>38.512064005473945</v>
      </c>
      <c r="I791" s="328"/>
      <c r="J791" s="328"/>
      <c r="K791" s="328"/>
      <c r="L791" s="234">
        <v>39.486196244162045</v>
      </c>
      <c r="M791" s="328">
        <v>2.3727250809993787</v>
      </c>
      <c r="N791" s="328">
        <v>0.80570552979557097</v>
      </c>
      <c r="O791" s="328">
        <v>1.6317720639463677E-2</v>
      </c>
      <c r="P791" s="328">
        <v>0.6877206622096621</v>
      </c>
    </row>
    <row r="792" spans="2:16" ht="18" customHeight="1">
      <c r="B792" s="284"/>
      <c r="C792" s="311"/>
      <c r="D792" s="312"/>
      <c r="E792" s="289"/>
      <c r="F792" s="79">
        <v>3</v>
      </c>
      <c r="G792" s="178" t="s">
        <v>107</v>
      </c>
      <c r="H792" s="234">
        <v>36.296860790021192</v>
      </c>
      <c r="I792" s="328"/>
      <c r="J792" s="328"/>
      <c r="K792" s="328"/>
      <c r="L792" s="234">
        <v>39.759101868692809</v>
      </c>
      <c r="M792" s="328">
        <v>2.3727250809993787</v>
      </c>
      <c r="N792" s="328">
        <v>0.80570552979557097</v>
      </c>
      <c r="O792" s="328">
        <v>1.6317720639463677E-2</v>
      </c>
      <c r="P792" s="328">
        <v>0.6877206622096621</v>
      </c>
    </row>
    <row r="793" spans="2:16" ht="18" customHeight="1">
      <c r="B793" s="284"/>
      <c r="C793" s="313"/>
      <c r="D793" s="314"/>
      <c r="E793" s="288"/>
      <c r="F793" s="82">
        <v>4</v>
      </c>
      <c r="G793" s="180" t="s">
        <v>108</v>
      </c>
      <c r="H793" s="235">
        <v>5.3443310315938728</v>
      </c>
      <c r="I793" s="329"/>
      <c r="J793" s="329"/>
      <c r="K793" s="329"/>
      <c r="L793" s="235">
        <v>6.0893693727972504</v>
      </c>
      <c r="M793" s="329">
        <v>2.3727250809993787</v>
      </c>
      <c r="N793" s="329">
        <v>0.80570552979557097</v>
      </c>
      <c r="O793" s="329">
        <v>1.6317720639463677E-2</v>
      </c>
      <c r="P793" s="329">
        <v>0.6877206622096621</v>
      </c>
    </row>
    <row r="794" spans="2:16" ht="18" customHeight="1">
      <c r="B794" s="284"/>
      <c r="C794" s="309" t="s">
        <v>190</v>
      </c>
      <c r="D794" s="310"/>
      <c r="E794" s="287" t="str">
        <f>HYPERLINK("#LAYOUT_m1!lay중YPSY4A03","YPSY4A03")</f>
        <v>YPSY4A03</v>
      </c>
      <c r="F794" s="78">
        <v>1</v>
      </c>
      <c r="G794" s="179" t="s">
        <v>105</v>
      </c>
      <c r="H794" s="233">
        <v>19.001057740598821</v>
      </c>
      <c r="I794" s="327">
        <v>2.2708633285505342</v>
      </c>
      <c r="J794" s="327">
        <v>1.6372128705639678E-2</v>
      </c>
      <c r="K794" s="327">
        <v>0.72096495195463017</v>
      </c>
      <c r="L794" s="233">
        <v>17.7113050672491</v>
      </c>
      <c r="M794" s="327">
        <v>2.2745657060014004</v>
      </c>
      <c r="N794" s="327">
        <v>0.81589573729621578</v>
      </c>
      <c r="O794" s="327">
        <v>1.6524099959332402E-2</v>
      </c>
      <c r="P794" s="327">
        <v>0.72647274667572248</v>
      </c>
    </row>
    <row r="795" spans="2:16" ht="18" customHeight="1">
      <c r="B795" s="284"/>
      <c r="C795" s="311"/>
      <c r="D795" s="312"/>
      <c r="E795" s="289"/>
      <c r="F795" s="79">
        <v>2</v>
      </c>
      <c r="G795" s="178" t="s">
        <v>106</v>
      </c>
      <c r="H795" s="234">
        <v>40.734306790227002</v>
      </c>
      <c r="I795" s="328"/>
      <c r="J795" s="328"/>
      <c r="K795" s="328"/>
      <c r="L795" s="234">
        <v>42.721185656577752</v>
      </c>
      <c r="M795" s="328">
        <v>2.2745657060014004</v>
      </c>
      <c r="N795" s="328">
        <v>0.81589573729621578</v>
      </c>
      <c r="O795" s="328">
        <v>1.6524099959332402E-2</v>
      </c>
      <c r="P795" s="328">
        <v>0.72647274667572248</v>
      </c>
    </row>
    <row r="796" spans="2:16" ht="18" customHeight="1">
      <c r="B796" s="284"/>
      <c r="C796" s="311"/>
      <c r="D796" s="312"/>
      <c r="E796" s="289"/>
      <c r="F796" s="79">
        <v>3</v>
      </c>
      <c r="G796" s="178" t="s">
        <v>107</v>
      </c>
      <c r="H796" s="234">
        <v>34.44188034269628</v>
      </c>
      <c r="I796" s="328"/>
      <c r="J796" s="328"/>
      <c r="K796" s="328"/>
      <c r="L796" s="234">
        <v>33.967142884956644</v>
      </c>
      <c r="M796" s="328">
        <v>2.2745657060014004</v>
      </c>
      <c r="N796" s="328">
        <v>0.81589573729621578</v>
      </c>
      <c r="O796" s="328">
        <v>1.6524099959332402E-2</v>
      </c>
      <c r="P796" s="328">
        <v>0.72647274667572248</v>
      </c>
    </row>
    <row r="797" spans="2:16" ht="18" customHeight="1">
      <c r="B797" s="284"/>
      <c r="C797" s="313"/>
      <c r="D797" s="314"/>
      <c r="E797" s="288"/>
      <c r="F797" s="82">
        <v>4</v>
      </c>
      <c r="G797" s="180" t="s">
        <v>108</v>
      </c>
      <c r="H797" s="235">
        <v>5.822755126477924</v>
      </c>
      <c r="I797" s="329"/>
      <c r="J797" s="329"/>
      <c r="K797" s="329"/>
      <c r="L797" s="235">
        <v>5.6003663912164878</v>
      </c>
      <c r="M797" s="329">
        <v>2.2745657060014004</v>
      </c>
      <c r="N797" s="329">
        <v>0.81589573729621578</v>
      </c>
      <c r="O797" s="329">
        <v>1.6524099959332402E-2</v>
      </c>
      <c r="P797" s="329">
        <v>0.72647274667572248</v>
      </c>
    </row>
    <row r="798" spans="2:16" ht="18" customHeight="1">
      <c r="B798" s="284"/>
      <c r="C798" s="309" t="s">
        <v>191</v>
      </c>
      <c r="D798" s="310"/>
      <c r="E798" s="287" t="str">
        <f>HYPERLINK("#LAYOUT_m1!lay중YPSY4A04","YPSY4A04")</f>
        <v>YPSY4A04</v>
      </c>
      <c r="F798" s="78">
        <v>1</v>
      </c>
      <c r="G798" s="179" t="s">
        <v>105</v>
      </c>
      <c r="H798" s="233">
        <v>20.384398320226179</v>
      </c>
      <c r="I798" s="327">
        <v>2.3120822364367086</v>
      </c>
      <c r="J798" s="327">
        <v>1.7564235146418763E-2</v>
      </c>
      <c r="K798" s="327">
        <v>0.75967173094535345</v>
      </c>
      <c r="L798" s="233">
        <v>22.3445316463357</v>
      </c>
      <c r="M798" s="327">
        <v>2.2296406971338065</v>
      </c>
      <c r="N798" s="327">
        <v>0.87865883564010627</v>
      </c>
      <c r="O798" s="327">
        <v>1.779522280430363E-2</v>
      </c>
      <c r="P798" s="327">
        <v>0.79812064908840763</v>
      </c>
    </row>
    <row r="799" spans="2:16" ht="18" customHeight="1">
      <c r="B799" s="284"/>
      <c r="C799" s="311"/>
      <c r="D799" s="312"/>
      <c r="E799" s="289"/>
      <c r="F799" s="79">
        <v>2</v>
      </c>
      <c r="G799" s="178" t="s">
        <v>106</v>
      </c>
      <c r="H799" s="234">
        <v>36.839865709059715</v>
      </c>
      <c r="I799" s="328"/>
      <c r="J799" s="328"/>
      <c r="K799" s="328"/>
      <c r="L799" s="234">
        <v>39.74327695461411</v>
      </c>
      <c r="M799" s="328">
        <v>2.2296406971338065</v>
      </c>
      <c r="N799" s="328">
        <v>0.87865883564010627</v>
      </c>
      <c r="O799" s="328">
        <v>1.779522280430363E-2</v>
      </c>
      <c r="P799" s="328">
        <v>0.79812064908840763</v>
      </c>
    </row>
    <row r="800" spans="2:16" ht="18" customHeight="1">
      <c r="B800" s="284"/>
      <c r="C800" s="311"/>
      <c r="D800" s="312"/>
      <c r="E800" s="289"/>
      <c r="F800" s="79">
        <v>3</v>
      </c>
      <c r="G800" s="178" t="s">
        <v>107</v>
      </c>
      <c r="H800" s="234">
        <v>33.958849977531926</v>
      </c>
      <c r="I800" s="328"/>
      <c r="J800" s="328"/>
      <c r="K800" s="328"/>
      <c r="L800" s="234">
        <v>30.515781438383002</v>
      </c>
      <c r="M800" s="328">
        <v>2.2296406971338065</v>
      </c>
      <c r="N800" s="328">
        <v>0.87865883564010627</v>
      </c>
      <c r="O800" s="328">
        <v>1.779522280430363E-2</v>
      </c>
      <c r="P800" s="328">
        <v>0.79812064908840763</v>
      </c>
    </row>
    <row r="801" spans="2:16" ht="18" customHeight="1">
      <c r="B801" s="284"/>
      <c r="C801" s="313"/>
      <c r="D801" s="314"/>
      <c r="E801" s="288"/>
      <c r="F801" s="82">
        <v>4</v>
      </c>
      <c r="G801" s="180" t="s">
        <v>108</v>
      </c>
      <c r="H801" s="235">
        <v>8.8168859931821721</v>
      </c>
      <c r="I801" s="329"/>
      <c r="J801" s="329"/>
      <c r="K801" s="329"/>
      <c r="L801" s="235">
        <v>7.3964099606671692</v>
      </c>
      <c r="M801" s="329">
        <v>2.2296406971338065</v>
      </c>
      <c r="N801" s="329">
        <v>0.87865883564010627</v>
      </c>
      <c r="O801" s="329">
        <v>1.779522280430363E-2</v>
      </c>
      <c r="P801" s="329">
        <v>0.79812064908840763</v>
      </c>
    </row>
    <row r="802" spans="2:16" ht="18" customHeight="1">
      <c r="B802" s="284"/>
      <c r="C802" s="309" t="s">
        <v>192</v>
      </c>
      <c r="D802" s="310"/>
      <c r="E802" s="287" t="str">
        <f>HYPERLINK("#LAYOUT_m1!lay중YPSY4A05","YPSY4A05")</f>
        <v>YPSY4A05</v>
      </c>
      <c r="F802" s="78">
        <v>1</v>
      </c>
      <c r="G802" s="179" t="s">
        <v>105</v>
      </c>
      <c r="H802" s="233">
        <v>18.595936569392943</v>
      </c>
      <c r="I802" s="327">
        <v>2.2317559635958375</v>
      </c>
      <c r="J802" s="327">
        <v>1.5632404528888325E-2</v>
      </c>
      <c r="K802" s="327">
        <v>0.70045313125101605</v>
      </c>
      <c r="L802" s="233">
        <v>19.452697945352796</v>
      </c>
      <c r="M802" s="327">
        <v>2.1919013013499975</v>
      </c>
      <c r="N802" s="327">
        <v>0.79263654153057983</v>
      </c>
      <c r="O802" s="327">
        <v>1.6053038206909603E-2</v>
      </c>
      <c r="P802" s="327">
        <v>0.73237961020519027</v>
      </c>
    </row>
    <row r="803" spans="2:16" ht="18" customHeight="1">
      <c r="B803" s="284"/>
      <c r="C803" s="311"/>
      <c r="D803" s="312"/>
      <c r="E803" s="289"/>
      <c r="F803" s="79">
        <v>2</v>
      </c>
      <c r="G803" s="178" t="s">
        <v>106</v>
      </c>
      <c r="H803" s="234">
        <v>43.768301722437826</v>
      </c>
      <c r="I803" s="328"/>
      <c r="J803" s="328"/>
      <c r="K803" s="328"/>
      <c r="L803" s="234">
        <v>46.098765781126083</v>
      </c>
      <c r="M803" s="328">
        <v>2.1919013013499975</v>
      </c>
      <c r="N803" s="328">
        <v>0.79263654153057983</v>
      </c>
      <c r="O803" s="328">
        <v>1.6053038206909603E-2</v>
      </c>
      <c r="P803" s="328">
        <v>0.73237961020519027</v>
      </c>
    </row>
    <row r="804" spans="2:16" ht="18" customHeight="1">
      <c r="B804" s="284"/>
      <c r="C804" s="311"/>
      <c r="D804" s="312"/>
      <c r="E804" s="289"/>
      <c r="F804" s="79">
        <v>3</v>
      </c>
      <c r="G804" s="178" t="s">
        <v>107</v>
      </c>
      <c r="H804" s="234">
        <v>33.499990487361941</v>
      </c>
      <c r="I804" s="328"/>
      <c r="J804" s="328"/>
      <c r="K804" s="328"/>
      <c r="L804" s="234">
        <v>30.254244466688757</v>
      </c>
      <c r="M804" s="328">
        <v>2.1919013013499975</v>
      </c>
      <c r="N804" s="328">
        <v>0.79263654153057983</v>
      </c>
      <c r="O804" s="328">
        <v>1.6053038206909603E-2</v>
      </c>
      <c r="P804" s="328">
        <v>0.73237961020519027</v>
      </c>
    </row>
    <row r="805" spans="2:16" ht="18" customHeight="1">
      <c r="B805" s="284"/>
      <c r="C805" s="313"/>
      <c r="D805" s="314"/>
      <c r="E805" s="288"/>
      <c r="F805" s="82">
        <v>4</v>
      </c>
      <c r="G805" s="180" t="s">
        <v>108</v>
      </c>
      <c r="H805" s="235">
        <v>4.1357712208072872</v>
      </c>
      <c r="I805" s="329"/>
      <c r="J805" s="329"/>
      <c r="K805" s="329"/>
      <c r="L805" s="235">
        <v>4.1942918068323563</v>
      </c>
      <c r="M805" s="329">
        <v>2.1919013013499975</v>
      </c>
      <c r="N805" s="329">
        <v>0.79263654153057983</v>
      </c>
      <c r="O805" s="329">
        <v>1.6053038206909603E-2</v>
      </c>
      <c r="P805" s="329">
        <v>0.73237961020519027</v>
      </c>
    </row>
    <row r="806" spans="2:16" ht="18" customHeight="1">
      <c r="B806" s="284"/>
      <c r="C806" s="309" t="s">
        <v>193</v>
      </c>
      <c r="D806" s="310"/>
      <c r="E806" s="287" t="str">
        <f>HYPERLINK("#LAYOUT_m1!lay중YPSY4A06","YPSY4A06")</f>
        <v>YPSY4A06</v>
      </c>
      <c r="F806" s="78">
        <v>1</v>
      </c>
      <c r="G806" s="179" t="s">
        <v>105</v>
      </c>
      <c r="H806" s="233">
        <v>25.43327220009007</v>
      </c>
      <c r="I806" s="327">
        <v>2.0229878292160337</v>
      </c>
      <c r="J806" s="327">
        <v>1.4911981579690729E-2</v>
      </c>
      <c r="K806" s="327">
        <v>0.73712660868896873</v>
      </c>
      <c r="L806" s="233">
        <v>24.865053003868987</v>
      </c>
      <c r="M806" s="327">
        <v>2.0710075248017348</v>
      </c>
      <c r="N806" s="327">
        <v>0.79927510869977858</v>
      </c>
      <c r="O806" s="327">
        <v>1.6187487184243537E-2</v>
      </c>
      <c r="P806" s="327">
        <v>0.78162377443767272</v>
      </c>
    </row>
    <row r="807" spans="2:16" ht="18" customHeight="1">
      <c r="B807" s="284"/>
      <c r="C807" s="311"/>
      <c r="D807" s="312"/>
      <c r="E807" s="289"/>
      <c r="F807" s="79">
        <v>2</v>
      </c>
      <c r="G807" s="178" t="s">
        <v>106</v>
      </c>
      <c r="H807" s="234">
        <v>49.063864377173822</v>
      </c>
      <c r="I807" s="328"/>
      <c r="J807" s="328"/>
      <c r="K807" s="328"/>
      <c r="L807" s="234">
        <v>46.9347489293393</v>
      </c>
      <c r="M807" s="328">
        <v>2.0710075248017348</v>
      </c>
      <c r="N807" s="328">
        <v>0.79927510869977858</v>
      </c>
      <c r="O807" s="328">
        <v>1.6187487184243537E-2</v>
      </c>
      <c r="P807" s="328">
        <v>0.78162377443767272</v>
      </c>
    </row>
    <row r="808" spans="2:16" ht="18" customHeight="1">
      <c r="B808" s="284"/>
      <c r="C808" s="311"/>
      <c r="D808" s="312"/>
      <c r="E808" s="289"/>
      <c r="F808" s="79">
        <v>3</v>
      </c>
      <c r="G808" s="178" t="s">
        <v>107</v>
      </c>
      <c r="H808" s="234">
        <v>23.273671723778527</v>
      </c>
      <c r="I808" s="328"/>
      <c r="J808" s="328"/>
      <c r="K808" s="328"/>
      <c r="L808" s="234">
        <v>24.434590649539551</v>
      </c>
      <c r="M808" s="328">
        <v>2.0710075248017348</v>
      </c>
      <c r="N808" s="328">
        <v>0.79927510869977858</v>
      </c>
      <c r="O808" s="328">
        <v>1.6187487184243537E-2</v>
      </c>
      <c r="P808" s="328">
        <v>0.78162377443767272</v>
      </c>
    </row>
    <row r="809" spans="2:16" ht="18" customHeight="1">
      <c r="B809" s="284"/>
      <c r="C809" s="313"/>
      <c r="D809" s="314"/>
      <c r="E809" s="288"/>
      <c r="F809" s="82">
        <v>4</v>
      </c>
      <c r="G809" s="180" t="s">
        <v>108</v>
      </c>
      <c r="H809" s="235">
        <v>2.2291916989576026</v>
      </c>
      <c r="I809" s="329"/>
      <c r="J809" s="329"/>
      <c r="K809" s="329"/>
      <c r="L809" s="235">
        <v>3.7656074172521592</v>
      </c>
      <c r="M809" s="329">
        <v>2.0710075248017348</v>
      </c>
      <c r="N809" s="329">
        <v>0.79927510869977858</v>
      </c>
      <c r="O809" s="329">
        <v>1.6187487184243537E-2</v>
      </c>
      <c r="P809" s="329">
        <v>0.78162377443767272</v>
      </c>
    </row>
    <row r="810" spans="2:16" ht="18" customHeight="1">
      <c r="B810" s="284"/>
      <c r="C810" s="309" t="s">
        <v>194</v>
      </c>
      <c r="D810" s="310"/>
      <c r="E810" s="287" t="str">
        <f>HYPERLINK("#LAYOUT_m1!lay중YPSY4A07","YPSY4A07")</f>
        <v>YPSY4A07</v>
      </c>
      <c r="F810" s="78">
        <v>1</v>
      </c>
      <c r="G810" s="179" t="s">
        <v>105</v>
      </c>
      <c r="H810" s="233">
        <v>32.634899392381129</v>
      </c>
      <c r="I810" s="327">
        <v>1.8769627241925357</v>
      </c>
      <c r="J810" s="327">
        <v>1.4695383033000761E-2</v>
      </c>
      <c r="K810" s="327">
        <v>0.78293419701889277</v>
      </c>
      <c r="L810" s="233">
        <v>31.403442084032505</v>
      </c>
      <c r="M810" s="327">
        <v>1.9210221245198562</v>
      </c>
      <c r="N810" s="327">
        <v>0.77328266248586808</v>
      </c>
      <c r="O810" s="327">
        <v>1.5661069702458976E-2</v>
      </c>
      <c r="P810" s="327">
        <v>0.81524671176670216</v>
      </c>
    </row>
    <row r="811" spans="2:16" ht="18" customHeight="1">
      <c r="B811" s="284"/>
      <c r="C811" s="311"/>
      <c r="D811" s="312"/>
      <c r="E811" s="289"/>
      <c r="F811" s="79">
        <v>2</v>
      </c>
      <c r="G811" s="178" t="s">
        <v>106</v>
      </c>
      <c r="H811" s="234">
        <v>49.263083623774399</v>
      </c>
      <c r="I811" s="328"/>
      <c r="J811" s="328"/>
      <c r="K811" s="328"/>
      <c r="L811" s="234">
        <v>47.834270660539737</v>
      </c>
      <c r="M811" s="328">
        <v>1.9210221245198562</v>
      </c>
      <c r="N811" s="328">
        <v>0.77328266248586808</v>
      </c>
      <c r="O811" s="328">
        <v>1.5661069702458976E-2</v>
      </c>
      <c r="P811" s="328">
        <v>0.81524671176670216</v>
      </c>
    </row>
    <row r="812" spans="2:16" ht="18" customHeight="1">
      <c r="B812" s="284"/>
      <c r="C812" s="311"/>
      <c r="D812" s="312"/>
      <c r="E812" s="289"/>
      <c r="F812" s="79">
        <v>3</v>
      </c>
      <c r="G812" s="178" t="s">
        <v>107</v>
      </c>
      <c r="H812" s="234">
        <v>15.872862156054902</v>
      </c>
      <c r="I812" s="328"/>
      <c r="J812" s="328"/>
      <c r="K812" s="328"/>
      <c r="L812" s="234">
        <v>18.018919974835779</v>
      </c>
      <c r="M812" s="328">
        <v>1.9210221245198562</v>
      </c>
      <c r="N812" s="328">
        <v>0.77328266248586808</v>
      </c>
      <c r="O812" s="328">
        <v>1.5661069702458976E-2</v>
      </c>
      <c r="P812" s="328">
        <v>0.81524671176670216</v>
      </c>
    </row>
    <row r="813" spans="2:16" ht="18" customHeight="1">
      <c r="B813" s="284"/>
      <c r="C813" s="313"/>
      <c r="D813" s="314"/>
      <c r="E813" s="288"/>
      <c r="F813" s="82">
        <v>4</v>
      </c>
      <c r="G813" s="180" t="s">
        <v>108</v>
      </c>
      <c r="H813" s="235">
        <v>2.2291548277895745</v>
      </c>
      <c r="I813" s="329"/>
      <c r="J813" s="329"/>
      <c r="K813" s="329"/>
      <c r="L813" s="235">
        <v>2.7433672805919684</v>
      </c>
      <c r="M813" s="329">
        <v>1.9210221245198562</v>
      </c>
      <c r="N813" s="329">
        <v>0.77328266248586808</v>
      </c>
      <c r="O813" s="329">
        <v>1.5661069702458976E-2</v>
      </c>
      <c r="P813" s="329">
        <v>0.81524671176670216</v>
      </c>
    </row>
    <row r="814" spans="2:16" ht="18" customHeight="1">
      <c r="B814" s="284"/>
      <c r="C814" s="309" t="s">
        <v>195</v>
      </c>
      <c r="D814" s="310"/>
      <c r="E814" s="287" t="str">
        <f>HYPERLINK("#LAYOUT_m1!lay중YPSY4B01","YPSY4B01")</f>
        <v>YPSY4B01</v>
      </c>
      <c r="F814" s="78">
        <v>1</v>
      </c>
      <c r="G814" s="179" t="s">
        <v>105</v>
      </c>
      <c r="H814" s="233">
        <v>26.310215299539617</v>
      </c>
      <c r="I814" s="327">
        <v>2.037382392007256</v>
      </c>
      <c r="J814" s="327">
        <v>1.5300229039016377E-2</v>
      </c>
      <c r="K814" s="327">
        <v>0.75097483413226085</v>
      </c>
      <c r="L814" s="233">
        <v>26.04282604166611</v>
      </c>
      <c r="M814" s="327">
        <v>2.0401143643792943</v>
      </c>
      <c r="N814" s="327">
        <v>0.78371796121382553</v>
      </c>
      <c r="O814" s="327">
        <v>1.587241278393859E-2</v>
      </c>
      <c r="P814" s="327">
        <v>0.77801583387055717</v>
      </c>
    </row>
    <row r="815" spans="2:16" ht="18" customHeight="1">
      <c r="B815" s="284"/>
      <c r="C815" s="311"/>
      <c r="D815" s="312"/>
      <c r="E815" s="289"/>
      <c r="F815" s="79">
        <v>2</v>
      </c>
      <c r="G815" s="178" t="s">
        <v>106</v>
      </c>
      <c r="H815" s="234">
        <v>45.835725231172496</v>
      </c>
      <c r="I815" s="328"/>
      <c r="J815" s="328"/>
      <c r="K815" s="328"/>
      <c r="L815" s="234">
        <v>46.632920791661725</v>
      </c>
      <c r="M815" s="328">
        <v>2.0401143643792943</v>
      </c>
      <c r="N815" s="328">
        <v>0.78371796121382553</v>
      </c>
      <c r="O815" s="328">
        <v>1.587241278393859E-2</v>
      </c>
      <c r="P815" s="328">
        <v>0.77801583387055717</v>
      </c>
    </row>
    <row r="816" spans="2:16" ht="18" customHeight="1">
      <c r="B816" s="284"/>
      <c r="C816" s="311"/>
      <c r="D816" s="312"/>
      <c r="E816" s="289"/>
      <c r="F816" s="79">
        <v>3</v>
      </c>
      <c r="G816" s="178" t="s">
        <v>107</v>
      </c>
      <c r="H816" s="234">
        <v>25.659664438310255</v>
      </c>
      <c r="I816" s="328"/>
      <c r="J816" s="328"/>
      <c r="K816" s="328"/>
      <c r="L816" s="234">
        <v>24.594243853747482</v>
      </c>
      <c r="M816" s="328">
        <v>2.0401143643792943</v>
      </c>
      <c r="N816" s="328">
        <v>0.78371796121382553</v>
      </c>
      <c r="O816" s="328">
        <v>1.587241278393859E-2</v>
      </c>
      <c r="P816" s="328">
        <v>0.77801583387055717</v>
      </c>
    </row>
    <row r="817" spans="2:16" ht="18" customHeight="1">
      <c r="B817" s="284"/>
      <c r="C817" s="313"/>
      <c r="D817" s="314"/>
      <c r="E817" s="288"/>
      <c r="F817" s="82">
        <v>4</v>
      </c>
      <c r="G817" s="180" t="s">
        <v>108</v>
      </c>
      <c r="H817" s="235">
        <v>2.194395030977637</v>
      </c>
      <c r="I817" s="329"/>
      <c r="J817" s="329"/>
      <c r="K817" s="329"/>
      <c r="L817" s="235">
        <v>2.7300093129246812</v>
      </c>
      <c r="M817" s="329">
        <v>2.0401143643792943</v>
      </c>
      <c r="N817" s="329">
        <v>0.78371796121382553</v>
      </c>
      <c r="O817" s="329">
        <v>1.587241278393859E-2</v>
      </c>
      <c r="P817" s="329">
        <v>0.77801583387055717</v>
      </c>
    </row>
    <row r="818" spans="2:16" ht="18" customHeight="1">
      <c r="B818" s="284"/>
      <c r="C818" s="309" t="s">
        <v>196</v>
      </c>
      <c r="D818" s="310"/>
      <c r="E818" s="287" t="str">
        <f>HYPERLINK("#LAYOUT_m1!lay중YPSY4B02","YPSY4B02")</f>
        <v>YPSY4B02</v>
      </c>
      <c r="F818" s="78">
        <v>1</v>
      </c>
      <c r="G818" s="179" t="s">
        <v>105</v>
      </c>
      <c r="H818" s="233">
        <v>28.206098662470257</v>
      </c>
      <c r="I818" s="327">
        <v>1.9724861631198671</v>
      </c>
      <c r="J818" s="327">
        <v>1.4827860105707703E-2</v>
      </c>
      <c r="K818" s="327">
        <v>0.75173455626449559</v>
      </c>
      <c r="L818" s="233">
        <v>31.045782927095217</v>
      </c>
      <c r="M818" s="327">
        <v>1.9575228166774685</v>
      </c>
      <c r="N818" s="327">
        <v>0.79196639332473584</v>
      </c>
      <c r="O818" s="327">
        <v>1.6039465889474011E-2</v>
      </c>
      <c r="P818" s="327">
        <v>0.81937567995748983</v>
      </c>
    </row>
    <row r="819" spans="2:16" ht="18" customHeight="1">
      <c r="B819" s="284"/>
      <c r="C819" s="311"/>
      <c r="D819" s="312"/>
      <c r="E819" s="289"/>
      <c r="F819" s="79">
        <v>2</v>
      </c>
      <c r="G819" s="178" t="s">
        <v>106</v>
      </c>
      <c r="H819" s="234">
        <v>48.008210707056627</v>
      </c>
      <c r="I819" s="328"/>
      <c r="J819" s="328"/>
      <c r="K819" s="328"/>
      <c r="L819" s="234">
        <v>44.672119456731657</v>
      </c>
      <c r="M819" s="328">
        <v>1.9575228166774685</v>
      </c>
      <c r="N819" s="328">
        <v>0.79196639332473584</v>
      </c>
      <c r="O819" s="328">
        <v>1.6039465889474011E-2</v>
      </c>
      <c r="P819" s="328">
        <v>0.81937567995748983</v>
      </c>
    </row>
    <row r="820" spans="2:16" ht="18" customHeight="1">
      <c r="B820" s="284"/>
      <c r="C820" s="311"/>
      <c r="D820" s="312"/>
      <c r="E820" s="289"/>
      <c r="F820" s="79">
        <v>3</v>
      </c>
      <c r="G820" s="178" t="s">
        <v>107</v>
      </c>
      <c r="H820" s="234">
        <v>22.116666286489203</v>
      </c>
      <c r="I820" s="328"/>
      <c r="J820" s="328"/>
      <c r="K820" s="328"/>
      <c r="L820" s="234">
        <v>21.766130637503277</v>
      </c>
      <c r="M820" s="328">
        <v>1.9575228166774685</v>
      </c>
      <c r="N820" s="328">
        <v>0.79196639332473584</v>
      </c>
      <c r="O820" s="328">
        <v>1.6039465889474011E-2</v>
      </c>
      <c r="P820" s="328">
        <v>0.81937567995748983</v>
      </c>
    </row>
    <row r="821" spans="2:16" ht="18" customHeight="1">
      <c r="B821" s="284"/>
      <c r="C821" s="313"/>
      <c r="D821" s="314"/>
      <c r="E821" s="288"/>
      <c r="F821" s="82">
        <v>4</v>
      </c>
      <c r="G821" s="180" t="s">
        <v>108</v>
      </c>
      <c r="H821" s="235">
        <v>1.6690243439839174</v>
      </c>
      <c r="I821" s="329"/>
      <c r="J821" s="329"/>
      <c r="K821" s="329"/>
      <c r="L821" s="235">
        <v>2.515966978669844</v>
      </c>
      <c r="M821" s="329">
        <v>1.9575228166774685</v>
      </c>
      <c r="N821" s="329">
        <v>0.79196639332473584</v>
      </c>
      <c r="O821" s="329">
        <v>1.6039465889474011E-2</v>
      </c>
      <c r="P821" s="329">
        <v>0.81937567995748983</v>
      </c>
    </row>
    <row r="822" spans="2:16" ht="18" customHeight="1">
      <c r="B822" s="284"/>
      <c r="C822" s="309" t="s">
        <v>197</v>
      </c>
      <c r="D822" s="310"/>
      <c r="E822" s="287" t="str">
        <f>HYPERLINK("#LAYOUT_m1!lay중YPSY4B03","YPSY4B03")</f>
        <v>YPSY4B03</v>
      </c>
      <c r="F822" s="78">
        <v>1</v>
      </c>
      <c r="G822" s="179" t="s">
        <v>105</v>
      </c>
      <c r="H822" s="233">
        <v>33.907296827195907</v>
      </c>
      <c r="I822" s="327">
        <v>1.8795570895508162</v>
      </c>
      <c r="J822" s="327">
        <v>1.4917158851605248E-2</v>
      </c>
      <c r="K822" s="327">
        <v>0.79365287356981584</v>
      </c>
      <c r="L822" s="233">
        <v>32.562568293624103</v>
      </c>
      <c r="M822" s="327">
        <v>1.9309217544945625</v>
      </c>
      <c r="N822" s="327">
        <v>0.79714696440115118</v>
      </c>
      <c r="O822" s="327">
        <v>1.6144386494399341E-2</v>
      </c>
      <c r="P822" s="327">
        <v>0.83609739528908555</v>
      </c>
    </row>
    <row r="823" spans="2:16" ht="18" customHeight="1">
      <c r="B823" s="284"/>
      <c r="C823" s="311"/>
      <c r="D823" s="312"/>
      <c r="E823" s="289"/>
      <c r="F823" s="79">
        <v>2</v>
      </c>
      <c r="G823" s="178" t="s">
        <v>106</v>
      </c>
      <c r="H823" s="234">
        <v>45.875295590675137</v>
      </c>
      <c r="I823" s="328"/>
      <c r="J823" s="328"/>
      <c r="K823" s="328"/>
      <c r="L823" s="234">
        <v>44.671754226981207</v>
      </c>
      <c r="M823" s="328">
        <v>1.9309217544945625</v>
      </c>
      <c r="N823" s="328">
        <v>0.79714696440115118</v>
      </c>
      <c r="O823" s="328">
        <v>1.6144386494399341E-2</v>
      </c>
      <c r="P823" s="328">
        <v>0.83609739528908555</v>
      </c>
    </row>
    <row r="824" spans="2:16" ht="18" customHeight="1">
      <c r="B824" s="284"/>
      <c r="C824" s="311"/>
      <c r="D824" s="312"/>
      <c r="E824" s="289"/>
      <c r="F824" s="79">
        <v>3</v>
      </c>
      <c r="G824" s="178" t="s">
        <v>107</v>
      </c>
      <c r="H824" s="234">
        <v>18.571809381981044</v>
      </c>
      <c r="I824" s="328"/>
      <c r="J824" s="328"/>
      <c r="K824" s="328"/>
      <c r="L824" s="234">
        <v>19.876611215707989</v>
      </c>
      <c r="M824" s="328">
        <v>1.9309217544945625</v>
      </c>
      <c r="N824" s="328">
        <v>0.79714696440115118</v>
      </c>
      <c r="O824" s="328">
        <v>1.6144386494399341E-2</v>
      </c>
      <c r="P824" s="328">
        <v>0.83609739528908555</v>
      </c>
    </row>
    <row r="825" spans="2:16" ht="18" customHeight="1">
      <c r="B825" s="284"/>
      <c r="C825" s="313"/>
      <c r="D825" s="314"/>
      <c r="E825" s="288"/>
      <c r="F825" s="82">
        <v>4</v>
      </c>
      <c r="G825" s="180" t="s">
        <v>108</v>
      </c>
      <c r="H825" s="235">
        <v>1.645598200147913</v>
      </c>
      <c r="I825" s="329"/>
      <c r="J825" s="329"/>
      <c r="K825" s="329"/>
      <c r="L825" s="235">
        <v>2.8890662636867179</v>
      </c>
      <c r="M825" s="329">
        <v>1.9309217544945625</v>
      </c>
      <c r="N825" s="329">
        <v>0.79714696440115118</v>
      </c>
      <c r="O825" s="329">
        <v>1.6144386494399341E-2</v>
      </c>
      <c r="P825" s="329">
        <v>0.83609739528908555</v>
      </c>
    </row>
    <row r="826" spans="2:16" ht="18" customHeight="1">
      <c r="B826" s="284"/>
      <c r="C826" s="309" t="s">
        <v>198</v>
      </c>
      <c r="D826" s="310"/>
      <c r="E826" s="287" t="str">
        <f>HYPERLINK("#LAYOUT_m1!lay중YPSY4B04","YPSY4B04")</f>
        <v>YPSY4B04</v>
      </c>
      <c r="F826" s="78">
        <v>1</v>
      </c>
      <c r="G826" s="179" t="s">
        <v>105</v>
      </c>
      <c r="H826" s="233">
        <v>33.997578012521103</v>
      </c>
      <c r="I826" s="327">
        <v>1.9107290349998547</v>
      </c>
      <c r="J826" s="327">
        <v>1.544950528027246E-2</v>
      </c>
      <c r="K826" s="327">
        <v>0.80856599744262703</v>
      </c>
      <c r="L826" s="233">
        <v>31.686675213867641</v>
      </c>
      <c r="M826" s="327">
        <v>1.9326510905714682</v>
      </c>
      <c r="N826" s="327">
        <v>0.78033330921159805</v>
      </c>
      <c r="O826" s="327">
        <v>1.5803864407650095E-2</v>
      </c>
      <c r="P826" s="327">
        <v>0.81772982638977176</v>
      </c>
    </row>
    <row r="827" spans="2:16" ht="18" customHeight="1">
      <c r="B827" s="284"/>
      <c r="C827" s="311"/>
      <c r="D827" s="312"/>
      <c r="E827" s="289"/>
      <c r="F827" s="79">
        <v>2</v>
      </c>
      <c r="G827" s="178" t="s">
        <v>106</v>
      </c>
      <c r="H827" s="234">
        <v>42.694435747361567</v>
      </c>
      <c r="I827" s="328"/>
      <c r="J827" s="328"/>
      <c r="K827" s="328"/>
      <c r="L827" s="234">
        <v>45.7026201194805</v>
      </c>
      <c r="M827" s="328">
        <v>1.9326510905714682</v>
      </c>
      <c r="N827" s="328">
        <v>0.78033330921159805</v>
      </c>
      <c r="O827" s="328">
        <v>1.5803864407650095E-2</v>
      </c>
      <c r="P827" s="328">
        <v>0.81772982638977176</v>
      </c>
    </row>
    <row r="828" spans="2:16" ht="18" customHeight="1">
      <c r="B828" s="284"/>
      <c r="C828" s="311"/>
      <c r="D828" s="312"/>
      <c r="E828" s="289"/>
      <c r="F828" s="79">
        <v>3</v>
      </c>
      <c r="G828" s="178" t="s">
        <v>107</v>
      </c>
      <c r="H828" s="234">
        <v>21.545490967728753</v>
      </c>
      <c r="I828" s="328"/>
      <c r="J828" s="328"/>
      <c r="K828" s="328"/>
      <c r="L828" s="234">
        <v>20.269625062288014</v>
      </c>
      <c r="M828" s="328">
        <v>1.9326510905714682</v>
      </c>
      <c r="N828" s="328">
        <v>0.78033330921159805</v>
      </c>
      <c r="O828" s="328">
        <v>1.5803864407650095E-2</v>
      </c>
      <c r="P828" s="328">
        <v>0.81772982638977176</v>
      </c>
    </row>
    <row r="829" spans="2:16" ht="18" customHeight="1">
      <c r="B829" s="284"/>
      <c r="C829" s="313"/>
      <c r="D829" s="314"/>
      <c r="E829" s="288"/>
      <c r="F829" s="82">
        <v>4</v>
      </c>
      <c r="G829" s="180" t="s">
        <v>108</v>
      </c>
      <c r="H829" s="235">
        <v>1.7624952723885985</v>
      </c>
      <c r="I829" s="329"/>
      <c r="J829" s="329"/>
      <c r="K829" s="329"/>
      <c r="L829" s="235">
        <v>2.3410796043638458</v>
      </c>
      <c r="M829" s="329">
        <v>1.9326510905714682</v>
      </c>
      <c r="N829" s="329">
        <v>0.78033330921159805</v>
      </c>
      <c r="O829" s="329">
        <v>1.5803864407650095E-2</v>
      </c>
      <c r="P829" s="329">
        <v>0.81772982638977176</v>
      </c>
    </row>
    <row r="830" spans="2:16" ht="18" customHeight="1">
      <c r="B830" s="284"/>
      <c r="C830" s="309" t="s">
        <v>199</v>
      </c>
      <c r="D830" s="310"/>
      <c r="E830" s="287" t="str">
        <f>HYPERLINK("#LAYOUT_m1!lay중YPSY4B05","YPSY4B05")</f>
        <v>YPSY4B05</v>
      </c>
      <c r="F830" s="78">
        <v>1</v>
      </c>
      <c r="G830" s="179" t="s">
        <v>105</v>
      </c>
      <c r="H830" s="233">
        <v>39.296370562661572</v>
      </c>
      <c r="I830" s="327">
        <v>1.8363241647214097</v>
      </c>
      <c r="J830" s="327">
        <v>1.5875180366854459E-2</v>
      </c>
      <c r="K830" s="327">
        <v>0.86450860212161407</v>
      </c>
      <c r="L830" s="233">
        <v>34.109516931586022</v>
      </c>
      <c r="M830" s="327">
        <v>1.8997702194209631</v>
      </c>
      <c r="N830" s="327">
        <v>0.79354196027863155</v>
      </c>
      <c r="O830" s="327">
        <v>1.6071375390466231E-2</v>
      </c>
      <c r="P830" s="327">
        <v>0.84596417114932254</v>
      </c>
    </row>
    <row r="831" spans="2:16" ht="18" customHeight="1">
      <c r="B831" s="284"/>
      <c r="C831" s="311"/>
      <c r="D831" s="312"/>
      <c r="E831" s="289"/>
      <c r="F831" s="79">
        <v>2</v>
      </c>
      <c r="G831" s="178" t="s">
        <v>106</v>
      </c>
      <c r="H831" s="234">
        <v>40.625916531508977</v>
      </c>
      <c r="I831" s="328"/>
      <c r="J831" s="328"/>
      <c r="K831" s="328"/>
      <c r="L831" s="234">
        <v>44.680744418636557</v>
      </c>
      <c r="M831" s="328">
        <v>1.8997702194209631</v>
      </c>
      <c r="N831" s="328">
        <v>0.79354196027863155</v>
      </c>
      <c r="O831" s="328">
        <v>1.6071375390466231E-2</v>
      </c>
      <c r="P831" s="328">
        <v>0.84596417114932254</v>
      </c>
    </row>
    <row r="832" spans="2:16" ht="18" customHeight="1">
      <c r="B832" s="284"/>
      <c r="C832" s="311"/>
      <c r="D832" s="312"/>
      <c r="E832" s="289"/>
      <c r="F832" s="79">
        <v>3</v>
      </c>
      <c r="G832" s="178" t="s">
        <v>107</v>
      </c>
      <c r="H832" s="234">
        <v>17.226638776857151</v>
      </c>
      <c r="I832" s="328"/>
      <c r="J832" s="328"/>
      <c r="K832" s="328"/>
      <c r="L832" s="234">
        <v>18.332938425871038</v>
      </c>
      <c r="M832" s="328">
        <v>1.8997702194209631</v>
      </c>
      <c r="N832" s="328">
        <v>0.79354196027863155</v>
      </c>
      <c r="O832" s="328">
        <v>1.6071375390466231E-2</v>
      </c>
      <c r="P832" s="328">
        <v>0.84596417114932254</v>
      </c>
    </row>
    <row r="833" spans="2:16" ht="18" customHeight="1">
      <c r="B833" s="284"/>
      <c r="C833" s="313"/>
      <c r="D833" s="314"/>
      <c r="E833" s="288"/>
      <c r="F833" s="82">
        <v>4</v>
      </c>
      <c r="G833" s="180" t="s">
        <v>108</v>
      </c>
      <c r="H833" s="235">
        <v>2.8510741289723001</v>
      </c>
      <c r="I833" s="329"/>
      <c r="J833" s="329"/>
      <c r="K833" s="329"/>
      <c r="L833" s="235">
        <v>2.8768002239063861</v>
      </c>
      <c r="M833" s="329">
        <v>1.8997702194209631</v>
      </c>
      <c r="N833" s="329">
        <v>0.79354196027863155</v>
      </c>
      <c r="O833" s="329">
        <v>1.6071375390466231E-2</v>
      </c>
      <c r="P833" s="329">
        <v>0.84596417114932254</v>
      </c>
    </row>
    <row r="834" spans="2:16" ht="18" customHeight="1">
      <c r="B834" s="284"/>
      <c r="C834" s="309" t="s">
        <v>200</v>
      </c>
      <c r="D834" s="310"/>
      <c r="E834" s="287" t="str">
        <f>HYPERLINK("#LAYOUT_m1!lay중YPSY4B06","YPSY4B06")</f>
        <v>YPSY4B06</v>
      </c>
      <c r="F834" s="78">
        <v>1</v>
      </c>
      <c r="G834" s="179" t="s">
        <v>105</v>
      </c>
      <c r="H834" s="233">
        <v>45.755844841912925</v>
      </c>
      <c r="I834" s="327">
        <v>1.7658931909858215</v>
      </c>
      <c r="J834" s="327">
        <v>1.6339968443059748E-2</v>
      </c>
      <c r="K834" s="327">
        <v>0.92530898960756836</v>
      </c>
      <c r="L834" s="233">
        <v>41.272502070543524</v>
      </c>
      <c r="M834" s="327">
        <v>1.8051420670481344</v>
      </c>
      <c r="N834" s="327">
        <v>0.80384280747518622</v>
      </c>
      <c r="O834" s="327">
        <v>1.627999546403806E-2</v>
      </c>
      <c r="P834" s="327">
        <v>0.90186782310491376</v>
      </c>
    </row>
    <row r="835" spans="2:16" ht="18" customHeight="1">
      <c r="B835" s="284"/>
      <c r="C835" s="311"/>
      <c r="D835" s="312"/>
      <c r="E835" s="289"/>
      <c r="F835" s="79">
        <v>2</v>
      </c>
      <c r="G835" s="178" t="s">
        <v>106</v>
      </c>
      <c r="H835" s="234">
        <v>35.151233648556662</v>
      </c>
      <c r="I835" s="328"/>
      <c r="J835" s="328"/>
      <c r="K835" s="328"/>
      <c r="L835" s="234">
        <v>39.604575476724001</v>
      </c>
      <c r="M835" s="328">
        <v>1.8051420670481344</v>
      </c>
      <c r="N835" s="328">
        <v>0.80384280747518622</v>
      </c>
      <c r="O835" s="328">
        <v>1.627999546403806E-2</v>
      </c>
      <c r="P835" s="328">
        <v>0.90186782310491376</v>
      </c>
    </row>
    <row r="836" spans="2:16" ht="18" customHeight="1">
      <c r="B836" s="284"/>
      <c r="C836" s="311"/>
      <c r="D836" s="312"/>
      <c r="E836" s="289"/>
      <c r="F836" s="79">
        <v>3</v>
      </c>
      <c r="G836" s="178" t="s">
        <v>107</v>
      </c>
      <c r="H836" s="234">
        <v>15.84067907856606</v>
      </c>
      <c r="I836" s="328"/>
      <c r="J836" s="328"/>
      <c r="K836" s="328"/>
      <c r="L836" s="234">
        <v>16.459136130106579</v>
      </c>
      <c r="M836" s="328">
        <v>1.8051420670481344</v>
      </c>
      <c r="N836" s="328">
        <v>0.80384280747518622</v>
      </c>
      <c r="O836" s="328">
        <v>1.627999546403806E-2</v>
      </c>
      <c r="P836" s="328">
        <v>0.90186782310491376</v>
      </c>
    </row>
    <row r="837" spans="2:16" ht="18" customHeight="1">
      <c r="B837" s="284"/>
      <c r="C837" s="313"/>
      <c r="D837" s="314"/>
      <c r="E837" s="288"/>
      <c r="F837" s="82">
        <v>4</v>
      </c>
      <c r="G837" s="180" t="s">
        <v>108</v>
      </c>
      <c r="H837" s="235">
        <v>3.2522424309643552</v>
      </c>
      <c r="I837" s="329"/>
      <c r="J837" s="329"/>
      <c r="K837" s="329"/>
      <c r="L837" s="235">
        <v>2.6637863226258753</v>
      </c>
      <c r="M837" s="329">
        <v>1.8051420670481344</v>
      </c>
      <c r="N837" s="329">
        <v>0.80384280747518622</v>
      </c>
      <c r="O837" s="329">
        <v>1.627999546403806E-2</v>
      </c>
      <c r="P837" s="329">
        <v>0.90186782310491376</v>
      </c>
    </row>
    <row r="838" spans="2:16" ht="18" customHeight="1">
      <c r="B838" s="284"/>
      <c r="C838" s="309" t="s">
        <v>201</v>
      </c>
      <c r="D838" s="310"/>
      <c r="E838" s="287" t="str">
        <f>HYPERLINK("#LAYOUT_m1!lay중YPSY4C01","YPSY4C01")</f>
        <v>YPSY4C01</v>
      </c>
      <c r="F838" s="78">
        <v>1</v>
      </c>
      <c r="G838" s="179" t="s">
        <v>105</v>
      </c>
      <c r="H838" s="233">
        <v>45.191815414830558</v>
      </c>
      <c r="I838" s="327">
        <v>1.7838737533197462</v>
      </c>
      <c r="J838" s="327">
        <v>1.6634661818521457E-2</v>
      </c>
      <c r="K838" s="327">
        <v>0.93250219011097368</v>
      </c>
      <c r="L838" s="233">
        <v>41.181863244816775</v>
      </c>
      <c r="M838" s="327">
        <v>1.8209107906343296</v>
      </c>
      <c r="N838" s="327">
        <v>0.81381934001134948</v>
      </c>
      <c r="O838" s="327">
        <v>1.6482047286764084E-2</v>
      </c>
      <c r="P838" s="327">
        <v>0.90515402355446639</v>
      </c>
    </row>
    <row r="839" spans="2:16" ht="18" customHeight="1">
      <c r="B839" s="284"/>
      <c r="C839" s="311"/>
      <c r="D839" s="312"/>
      <c r="E839" s="289"/>
      <c r="F839" s="79">
        <v>2</v>
      </c>
      <c r="G839" s="178" t="s">
        <v>106</v>
      </c>
      <c r="H839" s="234">
        <v>34.999383493307128</v>
      </c>
      <c r="I839" s="328"/>
      <c r="J839" s="328"/>
      <c r="K839" s="328"/>
      <c r="L839" s="234">
        <v>38.022951930645242</v>
      </c>
      <c r="M839" s="328">
        <v>1.8209107906343296</v>
      </c>
      <c r="N839" s="328">
        <v>0.81381934001134948</v>
      </c>
      <c r="O839" s="328">
        <v>1.6482047286764084E-2</v>
      </c>
      <c r="P839" s="328">
        <v>0.90515402355446639</v>
      </c>
    </row>
    <row r="840" spans="2:16" ht="18" customHeight="1">
      <c r="B840" s="284"/>
      <c r="C840" s="311"/>
      <c r="D840" s="312"/>
      <c r="E840" s="289"/>
      <c r="F840" s="79">
        <v>3</v>
      </c>
      <c r="G840" s="178" t="s">
        <v>107</v>
      </c>
      <c r="H840" s="234">
        <v>16.038411436919819</v>
      </c>
      <c r="I840" s="328"/>
      <c r="J840" s="328"/>
      <c r="K840" s="328"/>
      <c r="L840" s="234">
        <v>18.317427340824679</v>
      </c>
      <c r="M840" s="328">
        <v>1.8209107906343296</v>
      </c>
      <c r="N840" s="328">
        <v>0.81381934001134948</v>
      </c>
      <c r="O840" s="328">
        <v>1.6482047286764084E-2</v>
      </c>
      <c r="P840" s="328">
        <v>0.90515402355446639</v>
      </c>
    </row>
    <row r="841" spans="2:16" ht="18" customHeight="1">
      <c r="B841" s="284"/>
      <c r="C841" s="313"/>
      <c r="D841" s="314"/>
      <c r="E841" s="288"/>
      <c r="F841" s="82">
        <v>4</v>
      </c>
      <c r="G841" s="180" t="s">
        <v>108</v>
      </c>
      <c r="H841" s="235">
        <v>3.7703896549424947</v>
      </c>
      <c r="I841" s="329"/>
      <c r="J841" s="329"/>
      <c r="K841" s="329"/>
      <c r="L841" s="235">
        <v>2.4777574837133312</v>
      </c>
      <c r="M841" s="329">
        <v>1.8209107906343296</v>
      </c>
      <c r="N841" s="329">
        <v>0.81381934001134948</v>
      </c>
      <c r="O841" s="329">
        <v>1.6482047286764084E-2</v>
      </c>
      <c r="P841" s="329">
        <v>0.90515402355446639</v>
      </c>
    </row>
    <row r="842" spans="2:16" ht="18" customHeight="1">
      <c r="B842" s="284"/>
      <c r="C842" s="309" t="s">
        <v>202</v>
      </c>
      <c r="D842" s="310"/>
      <c r="E842" s="287" t="str">
        <f>HYPERLINK("#LAYOUT_m1!lay중YPSY4C02","YPSY4C02")</f>
        <v>YPSY4C02</v>
      </c>
      <c r="F842" s="78">
        <v>1</v>
      </c>
      <c r="G842" s="179" t="s">
        <v>105</v>
      </c>
      <c r="H842" s="233">
        <v>38.27462065000671</v>
      </c>
      <c r="I842" s="327">
        <v>1.90080337157321</v>
      </c>
      <c r="J842" s="327">
        <v>1.7043518007676031E-2</v>
      </c>
      <c r="K842" s="327">
        <v>0.8966481363913974</v>
      </c>
      <c r="L842" s="233">
        <v>37.174303440070531</v>
      </c>
      <c r="M842" s="327">
        <v>1.9344208510964422</v>
      </c>
      <c r="N842" s="327">
        <v>0.875871627630604</v>
      </c>
      <c r="O842" s="327">
        <v>1.7738774288088684E-2</v>
      </c>
      <c r="P842" s="327">
        <v>0.91700698315127371</v>
      </c>
    </row>
    <row r="843" spans="2:16" ht="18" customHeight="1">
      <c r="B843" s="284"/>
      <c r="C843" s="311"/>
      <c r="D843" s="312"/>
      <c r="E843" s="289"/>
      <c r="F843" s="79">
        <v>2</v>
      </c>
      <c r="G843" s="178" t="s">
        <v>106</v>
      </c>
      <c r="H843" s="234">
        <v>38.150461830355553</v>
      </c>
      <c r="I843" s="328"/>
      <c r="J843" s="328"/>
      <c r="K843" s="328"/>
      <c r="L843" s="234">
        <v>36.870815452617975</v>
      </c>
      <c r="M843" s="328">
        <v>1.9344208510964422</v>
      </c>
      <c r="N843" s="328">
        <v>0.875871627630604</v>
      </c>
      <c r="O843" s="328">
        <v>1.7738774288088684E-2</v>
      </c>
      <c r="P843" s="328">
        <v>0.91700698315127371</v>
      </c>
    </row>
    <row r="844" spans="2:16" ht="18" customHeight="1">
      <c r="B844" s="284"/>
      <c r="C844" s="311"/>
      <c r="D844" s="312"/>
      <c r="E844" s="289"/>
      <c r="F844" s="79">
        <v>3</v>
      </c>
      <c r="G844" s="178" t="s">
        <v>107</v>
      </c>
      <c r="H844" s="234">
        <v>18.794877231948252</v>
      </c>
      <c r="I844" s="328"/>
      <c r="J844" s="328"/>
      <c r="K844" s="328"/>
      <c r="L844" s="234">
        <v>21.293373664907165</v>
      </c>
      <c r="M844" s="328">
        <v>1.9344208510964422</v>
      </c>
      <c r="N844" s="328">
        <v>0.875871627630604</v>
      </c>
      <c r="O844" s="328">
        <v>1.7738774288088684E-2</v>
      </c>
      <c r="P844" s="328">
        <v>0.91700698315127371</v>
      </c>
    </row>
    <row r="845" spans="2:16" ht="18" customHeight="1">
      <c r="B845" s="284"/>
      <c r="C845" s="313"/>
      <c r="D845" s="314"/>
      <c r="E845" s="288"/>
      <c r="F845" s="82">
        <v>4</v>
      </c>
      <c r="G845" s="180" t="s">
        <v>108</v>
      </c>
      <c r="H845" s="235">
        <v>4.7800402876894807</v>
      </c>
      <c r="I845" s="329"/>
      <c r="J845" s="329"/>
      <c r="K845" s="329"/>
      <c r="L845" s="235">
        <v>4.6615074424043126</v>
      </c>
      <c r="M845" s="329">
        <v>1.9344208510964422</v>
      </c>
      <c r="N845" s="329">
        <v>0.875871627630604</v>
      </c>
      <c r="O845" s="329">
        <v>1.7738774288088684E-2</v>
      </c>
      <c r="P845" s="329">
        <v>0.91700698315127371</v>
      </c>
    </row>
    <row r="846" spans="2:16" ht="18" customHeight="1">
      <c r="B846" s="284"/>
      <c r="C846" s="309" t="s">
        <v>203</v>
      </c>
      <c r="D846" s="310"/>
      <c r="E846" s="287" t="str">
        <f>HYPERLINK("#LAYOUT_m1!lay중YPSY4C03","YPSY4C03")</f>
        <v>YPSY4C03</v>
      </c>
      <c r="F846" s="78">
        <v>1</v>
      </c>
      <c r="G846" s="179" t="s">
        <v>105</v>
      </c>
      <c r="H846" s="233">
        <v>45.783987037665533</v>
      </c>
      <c r="I846" s="327">
        <v>1.736903541835993</v>
      </c>
      <c r="J846" s="327">
        <v>1.5702808929268286E-2</v>
      </c>
      <c r="K846" s="327">
        <v>0.90406914091899593</v>
      </c>
      <c r="L846" s="233">
        <v>41.953747694614911</v>
      </c>
      <c r="M846" s="327">
        <v>1.7934735480743376</v>
      </c>
      <c r="N846" s="327">
        <v>0.80487937381149288</v>
      </c>
      <c r="O846" s="327">
        <v>1.6300988741699197E-2</v>
      </c>
      <c r="P846" s="327">
        <v>0.90890600305767877</v>
      </c>
    </row>
    <row r="847" spans="2:16" ht="18" customHeight="1">
      <c r="B847" s="284"/>
      <c r="C847" s="311"/>
      <c r="D847" s="312"/>
      <c r="E847" s="289"/>
      <c r="F847" s="79">
        <v>2</v>
      </c>
      <c r="G847" s="178" t="s">
        <v>106</v>
      </c>
      <c r="H847" s="234">
        <v>37.493043986963556</v>
      </c>
      <c r="I847" s="328"/>
      <c r="J847" s="328"/>
      <c r="K847" s="328"/>
      <c r="L847" s="234">
        <v>39.628637679911748</v>
      </c>
      <c r="M847" s="328">
        <v>1.7934735480743376</v>
      </c>
      <c r="N847" s="328">
        <v>0.80487937381149288</v>
      </c>
      <c r="O847" s="328">
        <v>1.6300988741699197E-2</v>
      </c>
      <c r="P847" s="328">
        <v>0.90890600305767877</v>
      </c>
    </row>
    <row r="848" spans="2:16" ht="18" customHeight="1">
      <c r="B848" s="284"/>
      <c r="C848" s="311"/>
      <c r="D848" s="312"/>
      <c r="E848" s="289"/>
      <c r="F848" s="79">
        <v>3</v>
      </c>
      <c r="G848" s="178" t="s">
        <v>107</v>
      </c>
      <c r="H848" s="234">
        <v>13.971596729477598</v>
      </c>
      <c r="I848" s="328"/>
      <c r="J848" s="328"/>
      <c r="K848" s="328"/>
      <c r="L848" s="234">
        <v>15.534126748896179</v>
      </c>
      <c r="M848" s="328">
        <v>1.7934735480743376</v>
      </c>
      <c r="N848" s="328">
        <v>0.80487937381149288</v>
      </c>
      <c r="O848" s="328">
        <v>1.6300988741699197E-2</v>
      </c>
      <c r="P848" s="328">
        <v>0.90890600305767877</v>
      </c>
    </row>
    <row r="849" spans="2:16" ht="18" customHeight="1">
      <c r="B849" s="284"/>
      <c r="C849" s="313"/>
      <c r="D849" s="314"/>
      <c r="E849" s="288"/>
      <c r="F849" s="82">
        <v>4</v>
      </c>
      <c r="G849" s="180" t="s">
        <v>108</v>
      </c>
      <c r="H849" s="235">
        <v>2.7513722458933154</v>
      </c>
      <c r="I849" s="329"/>
      <c r="J849" s="329"/>
      <c r="K849" s="329"/>
      <c r="L849" s="235">
        <v>2.8834878765771244</v>
      </c>
      <c r="M849" s="329">
        <v>1.7934735480743376</v>
      </c>
      <c r="N849" s="329">
        <v>0.80487937381149288</v>
      </c>
      <c r="O849" s="329">
        <v>1.6300988741699197E-2</v>
      </c>
      <c r="P849" s="329">
        <v>0.90890600305767877</v>
      </c>
    </row>
    <row r="850" spans="2:16" ht="18" customHeight="1">
      <c r="B850" s="284"/>
      <c r="C850" s="309" t="s">
        <v>204</v>
      </c>
      <c r="D850" s="310"/>
      <c r="E850" s="287" t="str">
        <f>HYPERLINK("#LAYOUT_m1!lay중YPSY4C04","YPSY4C04")</f>
        <v>YPSY4C04</v>
      </c>
      <c r="F850" s="78">
        <v>1</v>
      </c>
      <c r="G850" s="179" t="s">
        <v>105</v>
      </c>
      <c r="H850" s="233">
        <v>49.585629672301685</v>
      </c>
      <c r="I850" s="327">
        <v>1.651020116841194</v>
      </c>
      <c r="J850" s="327">
        <v>1.4654111173844861E-2</v>
      </c>
      <c r="K850" s="327">
        <v>0.88757920175326321</v>
      </c>
      <c r="L850" s="233">
        <v>44.84171779958973</v>
      </c>
      <c r="M850" s="327">
        <v>1.7221347389375763</v>
      </c>
      <c r="N850" s="327">
        <v>0.76027465851569087</v>
      </c>
      <c r="O850" s="327">
        <v>1.5397622367157401E-2</v>
      </c>
      <c r="P850" s="327">
        <v>0.89410090970329881</v>
      </c>
    </row>
    <row r="851" spans="2:16" ht="18" customHeight="1">
      <c r="B851" s="284"/>
      <c r="C851" s="311"/>
      <c r="D851" s="312"/>
      <c r="E851" s="289"/>
      <c r="F851" s="79">
        <v>2</v>
      </c>
      <c r="G851" s="178" t="s">
        <v>106</v>
      </c>
      <c r="H851" s="234">
        <v>37.477919421933628</v>
      </c>
      <c r="I851" s="328"/>
      <c r="J851" s="328"/>
      <c r="K851" s="328"/>
      <c r="L851" s="234">
        <v>39.904114406185002</v>
      </c>
      <c r="M851" s="328">
        <v>1.7221347389375763</v>
      </c>
      <c r="N851" s="328">
        <v>0.76027465851569087</v>
      </c>
      <c r="O851" s="328">
        <v>1.5397622367157401E-2</v>
      </c>
      <c r="P851" s="328">
        <v>0.89410090970329881</v>
      </c>
    </row>
    <row r="852" spans="2:16" ht="18" customHeight="1">
      <c r="B852" s="284"/>
      <c r="C852" s="311"/>
      <c r="D852" s="312"/>
      <c r="E852" s="289"/>
      <c r="F852" s="79">
        <v>3</v>
      </c>
      <c r="G852" s="178" t="s">
        <v>107</v>
      </c>
      <c r="H852" s="234">
        <v>11.185260455108873</v>
      </c>
      <c r="I852" s="328"/>
      <c r="J852" s="328"/>
      <c r="K852" s="328"/>
      <c r="L852" s="234">
        <v>13.453143895101974</v>
      </c>
      <c r="M852" s="328">
        <v>1.7221347389375763</v>
      </c>
      <c r="N852" s="328">
        <v>0.76027465851569087</v>
      </c>
      <c r="O852" s="328">
        <v>1.5397622367157401E-2</v>
      </c>
      <c r="P852" s="328">
        <v>0.89410090970329881</v>
      </c>
    </row>
    <row r="853" spans="2:16" ht="18" customHeight="1">
      <c r="B853" s="284"/>
      <c r="C853" s="313"/>
      <c r="D853" s="314"/>
      <c r="E853" s="288"/>
      <c r="F853" s="82">
        <v>4</v>
      </c>
      <c r="G853" s="180" t="s">
        <v>108</v>
      </c>
      <c r="H853" s="235">
        <v>1.7511904506558105</v>
      </c>
      <c r="I853" s="329"/>
      <c r="J853" s="329"/>
      <c r="K853" s="329"/>
      <c r="L853" s="235">
        <v>1.8010238991232999</v>
      </c>
      <c r="M853" s="329">
        <v>1.7221347389375763</v>
      </c>
      <c r="N853" s="329">
        <v>0.76027465851569087</v>
      </c>
      <c r="O853" s="329">
        <v>1.5397622367157401E-2</v>
      </c>
      <c r="P853" s="329">
        <v>0.89410090970329881</v>
      </c>
    </row>
    <row r="854" spans="2:16" ht="18" customHeight="1">
      <c r="B854" s="284"/>
      <c r="C854" s="309" t="s">
        <v>205</v>
      </c>
      <c r="D854" s="310"/>
      <c r="E854" s="287" t="str">
        <f>HYPERLINK("#LAYOUT_m1!lay중YPSY4C05","YPSY4C05")</f>
        <v>YPSY4C05</v>
      </c>
      <c r="F854" s="78">
        <v>1</v>
      </c>
      <c r="G854" s="179" t="s">
        <v>105</v>
      </c>
      <c r="H854" s="233">
        <v>33.120640587604058</v>
      </c>
      <c r="I854" s="327">
        <v>2.0668300031961597</v>
      </c>
      <c r="J854" s="327">
        <v>1.7715589163162297E-2</v>
      </c>
      <c r="K854" s="327">
        <v>0.85713818435801625</v>
      </c>
      <c r="L854" s="233">
        <v>32.997658108248956</v>
      </c>
      <c r="M854" s="327">
        <v>2.0329517344564603</v>
      </c>
      <c r="N854" s="327">
        <v>0.87651641888361953</v>
      </c>
      <c r="O854" s="327">
        <v>1.7751833058505893E-2</v>
      </c>
      <c r="P854" s="327">
        <v>0.87320484582247659</v>
      </c>
    </row>
    <row r="855" spans="2:16" ht="18" customHeight="1">
      <c r="B855" s="284"/>
      <c r="C855" s="311"/>
      <c r="D855" s="312"/>
      <c r="E855" s="289"/>
      <c r="F855" s="79">
        <v>2</v>
      </c>
      <c r="G855" s="178" t="s">
        <v>106</v>
      </c>
      <c r="H855" s="234">
        <v>31.463749991189573</v>
      </c>
      <c r="I855" s="328"/>
      <c r="J855" s="328"/>
      <c r="K855" s="328"/>
      <c r="L855" s="234">
        <v>34.516851596747877</v>
      </c>
      <c r="M855" s="328">
        <v>2.0329517344564603</v>
      </c>
      <c r="N855" s="328">
        <v>0.87651641888361953</v>
      </c>
      <c r="O855" s="328">
        <v>1.7751833058505893E-2</v>
      </c>
      <c r="P855" s="328">
        <v>0.87320484582247659</v>
      </c>
    </row>
    <row r="856" spans="2:16" ht="18" customHeight="1">
      <c r="B856" s="284"/>
      <c r="C856" s="311"/>
      <c r="D856" s="312"/>
      <c r="E856" s="289"/>
      <c r="F856" s="79">
        <v>3</v>
      </c>
      <c r="G856" s="178" t="s">
        <v>107</v>
      </c>
      <c r="H856" s="234">
        <v>31.027577935192724</v>
      </c>
      <c r="I856" s="328"/>
      <c r="J856" s="328"/>
      <c r="K856" s="328"/>
      <c r="L856" s="234">
        <v>28.678149036109925</v>
      </c>
      <c r="M856" s="328">
        <v>2.0329517344564603</v>
      </c>
      <c r="N856" s="328">
        <v>0.87651641888361953</v>
      </c>
      <c r="O856" s="328">
        <v>1.7751833058505893E-2</v>
      </c>
      <c r="P856" s="328">
        <v>0.87320484582247659</v>
      </c>
    </row>
    <row r="857" spans="2:16" ht="18" customHeight="1">
      <c r="B857" s="284"/>
      <c r="C857" s="313"/>
      <c r="D857" s="314"/>
      <c r="E857" s="288"/>
      <c r="F857" s="82">
        <v>4</v>
      </c>
      <c r="G857" s="180" t="s">
        <v>108</v>
      </c>
      <c r="H857" s="235">
        <v>4.3880314860136354</v>
      </c>
      <c r="I857" s="329"/>
      <c r="J857" s="329"/>
      <c r="K857" s="329"/>
      <c r="L857" s="235">
        <v>3.8073412588932274</v>
      </c>
      <c r="M857" s="329">
        <v>2.0329517344564603</v>
      </c>
      <c r="N857" s="329">
        <v>0.87651641888361953</v>
      </c>
      <c r="O857" s="329">
        <v>1.7751833058505893E-2</v>
      </c>
      <c r="P857" s="329">
        <v>0.87320484582247659</v>
      </c>
    </row>
    <row r="858" spans="2:16" ht="18" customHeight="1">
      <c r="B858" s="284"/>
      <c r="C858" s="309" t="s">
        <v>206</v>
      </c>
      <c r="D858" s="310"/>
      <c r="E858" s="287" t="str">
        <f>HYPERLINK("#LAYOUT_m1!lay중YPSY4C06","YPSY4C06")</f>
        <v>YPSY4C06</v>
      </c>
      <c r="F858" s="78">
        <v>1</v>
      </c>
      <c r="G858" s="179" t="s">
        <v>105</v>
      </c>
      <c r="H858" s="233">
        <v>24.54864474195093</v>
      </c>
      <c r="I858" s="327">
        <v>2.3238852925837201</v>
      </c>
      <c r="J858" s="327">
        <v>1.8995350722152186E-2</v>
      </c>
      <c r="K858" s="327">
        <v>0.81739622789354383</v>
      </c>
      <c r="L858" s="233">
        <v>23.798031732795152</v>
      </c>
      <c r="M858" s="327">
        <v>2.3097893576201924</v>
      </c>
      <c r="N858" s="327">
        <v>0.94387564532296253</v>
      </c>
      <c r="O858" s="327">
        <v>1.9116039954053029E-2</v>
      </c>
      <c r="P858" s="327">
        <v>0.82760966453445572</v>
      </c>
    </row>
    <row r="859" spans="2:16" ht="18" customHeight="1">
      <c r="B859" s="284"/>
      <c r="C859" s="311"/>
      <c r="D859" s="312"/>
      <c r="E859" s="289"/>
      <c r="F859" s="79">
        <v>2</v>
      </c>
      <c r="G859" s="178" t="s">
        <v>106</v>
      </c>
      <c r="H859" s="234">
        <v>29.724938559693875</v>
      </c>
      <c r="I859" s="328"/>
      <c r="J859" s="328"/>
      <c r="K859" s="328"/>
      <c r="L859" s="234">
        <v>31.462764005836632</v>
      </c>
      <c r="M859" s="328">
        <v>2.3097893576201924</v>
      </c>
      <c r="N859" s="328">
        <v>0.94387564532296253</v>
      </c>
      <c r="O859" s="328">
        <v>1.9116039954053029E-2</v>
      </c>
      <c r="P859" s="328">
        <v>0.82760966453445572</v>
      </c>
    </row>
    <row r="860" spans="2:16" ht="18" customHeight="1">
      <c r="B860" s="284"/>
      <c r="C860" s="311"/>
      <c r="D860" s="312"/>
      <c r="E860" s="289"/>
      <c r="F860" s="79">
        <v>3</v>
      </c>
      <c r="G860" s="178" t="s">
        <v>107</v>
      </c>
      <c r="H860" s="234">
        <v>34.515659396387804</v>
      </c>
      <c r="I860" s="328"/>
      <c r="J860" s="328"/>
      <c r="K860" s="328"/>
      <c r="L860" s="234">
        <v>34.701441027920922</v>
      </c>
      <c r="M860" s="328">
        <v>2.3097893576201924</v>
      </c>
      <c r="N860" s="328">
        <v>0.94387564532296253</v>
      </c>
      <c r="O860" s="328">
        <v>1.9116039954053029E-2</v>
      </c>
      <c r="P860" s="328">
        <v>0.82760966453445572</v>
      </c>
    </row>
    <row r="861" spans="2:16" ht="18" customHeight="1">
      <c r="B861" s="284"/>
      <c r="C861" s="313"/>
      <c r="D861" s="314"/>
      <c r="E861" s="288"/>
      <c r="F861" s="82">
        <v>4</v>
      </c>
      <c r="G861" s="180" t="s">
        <v>108</v>
      </c>
      <c r="H861" s="235">
        <v>11.210757301967412</v>
      </c>
      <c r="I861" s="329"/>
      <c r="J861" s="329"/>
      <c r="K861" s="329"/>
      <c r="L861" s="235">
        <v>10.037763233447302</v>
      </c>
      <c r="M861" s="329">
        <v>2.3097893576201924</v>
      </c>
      <c r="N861" s="329">
        <v>0.94387564532296253</v>
      </c>
      <c r="O861" s="329">
        <v>1.9116039954053029E-2</v>
      </c>
      <c r="P861" s="329">
        <v>0.82760966453445572</v>
      </c>
    </row>
    <row r="862" spans="2:16" ht="18" customHeight="1">
      <c r="B862" s="284"/>
      <c r="C862" s="309" t="s">
        <v>207</v>
      </c>
      <c r="D862" s="310"/>
      <c r="E862" s="287" t="str">
        <f>HYPERLINK("#LAYOUT_m1!lay중YPSY4C07","YPSY4C07")</f>
        <v>YPSY4C07</v>
      </c>
      <c r="F862" s="78">
        <v>1</v>
      </c>
      <c r="G862" s="179" t="s">
        <v>105</v>
      </c>
      <c r="H862" s="233">
        <v>50.756190161724398</v>
      </c>
      <c r="I862" s="327">
        <v>1.6386246655511296</v>
      </c>
      <c r="J862" s="327">
        <v>1.473471847909354E-2</v>
      </c>
      <c r="K862" s="327">
        <v>0.89921254017848629</v>
      </c>
      <c r="L862" s="233">
        <v>49.58400824410495</v>
      </c>
      <c r="M862" s="327">
        <v>1.6952519944053555</v>
      </c>
      <c r="N862" s="327">
        <v>0.80986235197575496</v>
      </c>
      <c r="O862" s="327">
        <v>1.6401907554627802E-2</v>
      </c>
      <c r="P862" s="327">
        <v>0.96752032197909943</v>
      </c>
    </row>
    <row r="863" spans="2:16" ht="18" customHeight="1">
      <c r="B863" s="284"/>
      <c r="C863" s="311"/>
      <c r="D863" s="312"/>
      <c r="E863" s="289"/>
      <c r="F863" s="79">
        <v>2</v>
      </c>
      <c r="G863" s="178" t="s">
        <v>106</v>
      </c>
      <c r="H863" s="234">
        <v>36.572475464355804</v>
      </c>
      <c r="I863" s="328"/>
      <c r="J863" s="328"/>
      <c r="K863" s="328"/>
      <c r="L863" s="234">
        <v>34.384143781387152</v>
      </c>
      <c r="M863" s="328">
        <v>1.6952519944053555</v>
      </c>
      <c r="N863" s="328">
        <v>0.80986235197575496</v>
      </c>
      <c r="O863" s="328">
        <v>1.6401907554627802E-2</v>
      </c>
      <c r="P863" s="328">
        <v>0.96752032197909943</v>
      </c>
    </row>
    <row r="864" spans="2:16" ht="18" customHeight="1">
      <c r="B864" s="284"/>
      <c r="C864" s="311"/>
      <c r="D864" s="312"/>
      <c r="E864" s="289"/>
      <c r="F864" s="79">
        <v>3</v>
      </c>
      <c r="G864" s="178" t="s">
        <v>107</v>
      </c>
      <c r="H864" s="234">
        <v>10.724012031002648</v>
      </c>
      <c r="I864" s="328"/>
      <c r="J864" s="328"/>
      <c r="K864" s="328"/>
      <c r="L864" s="234">
        <v>12.954488264373936</v>
      </c>
      <c r="M864" s="328">
        <v>1.6952519944053555</v>
      </c>
      <c r="N864" s="328">
        <v>0.80986235197575496</v>
      </c>
      <c r="O864" s="328">
        <v>1.6401907554627802E-2</v>
      </c>
      <c r="P864" s="328">
        <v>0.96752032197909943</v>
      </c>
    </row>
    <row r="865" spans="2:16" ht="18" customHeight="1">
      <c r="B865" s="284"/>
      <c r="C865" s="313"/>
      <c r="D865" s="314"/>
      <c r="E865" s="288"/>
      <c r="F865" s="82">
        <v>4</v>
      </c>
      <c r="G865" s="180" t="s">
        <v>108</v>
      </c>
      <c r="H865" s="235">
        <v>1.9473223429171826</v>
      </c>
      <c r="I865" s="329"/>
      <c r="J865" s="329"/>
      <c r="K865" s="329"/>
      <c r="L865" s="235">
        <v>3.0773597101339623</v>
      </c>
      <c r="M865" s="329">
        <v>1.6952519944053555</v>
      </c>
      <c r="N865" s="329">
        <v>0.80986235197575496</v>
      </c>
      <c r="O865" s="329">
        <v>1.6401907554627802E-2</v>
      </c>
      <c r="P865" s="329">
        <v>0.96752032197909943</v>
      </c>
    </row>
    <row r="866" spans="2:16" ht="18" customHeight="1">
      <c r="B866" s="284"/>
      <c r="C866" s="309" t="s">
        <v>208</v>
      </c>
      <c r="D866" s="310"/>
      <c r="E866" s="287" t="str">
        <f>HYPERLINK("#LAYOUT_m1!lay중YPSY4C08","YPSY4C08")</f>
        <v>YPSY4C08</v>
      </c>
      <c r="F866" s="78">
        <v>1</v>
      </c>
      <c r="G866" s="179" t="s">
        <v>105</v>
      </c>
      <c r="H866" s="233">
        <v>48.506733721379085</v>
      </c>
      <c r="I866" s="327">
        <v>1.7080891682367652</v>
      </c>
      <c r="J866" s="327">
        <v>1.5747527461295038E-2</v>
      </c>
      <c r="K866" s="327">
        <v>0.9219382544033683</v>
      </c>
      <c r="L866" s="233">
        <v>45.813634546916994</v>
      </c>
      <c r="M866" s="327">
        <v>1.7503806219865308</v>
      </c>
      <c r="N866" s="327">
        <v>0.8167777166701089</v>
      </c>
      <c r="O866" s="327">
        <v>1.6541962432035814E-2</v>
      </c>
      <c r="P866" s="327">
        <v>0.94504944948842673</v>
      </c>
    </row>
    <row r="867" spans="2:16" ht="18" customHeight="1">
      <c r="B867" s="284"/>
      <c r="C867" s="311"/>
      <c r="D867" s="312"/>
      <c r="E867" s="289"/>
      <c r="F867" s="79">
        <v>2</v>
      </c>
      <c r="G867" s="178" t="s">
        <v>106</v>
      </c>
      <c r="H867" s="234">
        <v>34.628629492505191</v>
      </c>
      <c r="I867" s="328"/>
      <c r="J867" s="328"/>
      <c r="K867" s="328"/>
      <c r="L867" s="234">
        <v>36.460104851644545</v>
      </c>
      <c r="M867" s="328">
        <v>1.7503806219865308</v>
      </c>
      <c r="N867" s="328">
        <v>0.8167777166701089</v>
      </c>
      <c r="O867" s="328">
        <v>1.6541962432035814E-2</v>
      </c>
      <c r="P867" s="328">
        <v>0.94504944948842673</v>
      </c>
    </row>
    <row r="868" spans="2:16" ht="18" customHeight="1">
      <c r="B868" s="284"/>
      <c r="C868" s="311"/>
      <c r="D868" s="312"/>
      <c r="E868" s="289"/>
      <c r="F868" s="79">
        <v>3</v>
      </c>
      <c r="G868" s="178" t="s">
        <v>107</v>
      </c>
      <c r="H868" s="234">
        <v>14.413623027175987</v>
      </c>
      <c r="I868" s="328"/>
      <c r="J868" s="328"/>
      <c r="K868" s="328"/>
      <c r="L868" s="234">
        <v>14.600824457305741</v>
      </c>
      <c r="M868" s="328">
        <v>1.7503806219865308</v>
      </c>
      <c r="N868" s="328">
        <v>0.8167777166701089</v>
      </c>
      <c r="O868" s="328">
        <v>1.6541962432035814E-2</v>
      </c>
      <c r="P868" s="328">
        <v>0.94504944948842673</v>
      </c>
    </row>
    <row r="869" spans="2:16" ht="18" customHeight="1">
      <c r="B869" s="284"/>
      <c r="C869" s="313"/>
      <c r="D869" s="314"/>
      <c r="E869" s="288"/>
      <c r="F869" s="82">
        <v>4</v>
      </c>
      <c r="G869" s="180" t="s">
        <v>108</v>
      </c>
      <c r="H869" s="235">
        <v>2.4510137589397307</v>
      </c>
      <c r="I869" s="329"/>
      <c r="J869" s="329"/>
      <c r="K869" s="329"/>
      <c r="L869" s="235">
        <v>3.1254361441327205</v>
      </c>
      <c r="M869" s="329">
        <v>1.7503806219865308</v>
      </c>
      <c r="N869" s="329">
        <v>0.8167777166701089</v>
      </c>
      <c r="O869" s="329">
        <v>1.6541962432035814E-2</v>
      </c>
      <c r="P869" s="329">
        <v>0.94504944948842673</v>
      </c>
    </row>
    <row r="870" spans="2:16" ht="18" customHeight="1">
      <c r="B870" s="284"/>
      <c r="C870" s="309" t="s">
        <v>209</v>
      </c>
      <c r="D870" s="310"/>
      <c r="E870" s="287" t="str">
        <f>HYPERLINK("#LAYOUT_m1!lay중YPSY4D01","YPSY4D01")</f>
        <v>YPSY4D01</v>
      </c>
      <c r="F870" s="78">
        <v>1</v>
      </c>
      <c r="G870" s="179" t="s">
        <v>105</v>
      </c>
      <c r="H870" s="233">
        <v>37.031306769027402</v>
      </c>
      <c r="I870" s="327">
        <v>2.0055182657103745</v>
      </c>
      <c r="J870" s="327">
        <v>1.8422272033541409E-2</v>
      </c>
      <c r="K870" s="327">
        <v>0.91857911984741059</v>
      </c>
      <c r="L870" s="233">
        <v>33.037790900864316</v>
      </c>
      <c r="M870" s="327">
        <v>2.0343190631324046</v>
      </c>
      <c r="N870" s="327">
        <v>0.90211313257177583</v>
      </c>
      <c r="O870" s="327">
        <v>1.8270235884110989E-2</v>
      </c>
      <c r="P870" s="327">
        <v>0.89810080509095991</v>
      </c>
    </row>
    <row r="871" spans="2:16" ht="18" customHeight="1">
      <c r="B871" s="284"/>
      <c r="C871" s="311"/>
      <c r="D871" s="312"/>
      <c r="E871" s="289"/>
      <c r="F871" s="79">
        <v>2</v>
      </c>
      <c r="G871" s="178" t="s">
        <v>106</v>
      </c>
      <c r="H871" s="234">
        <v>32.012617234514551</v>
      </c>
      <c r="I871" s="328"/>
      <c r="J871" s="328"/>
      <c r="K871" s="328"/>
      <c r="L871" s="234">
        <v>36.471372854217975</v>
      </c>
      <c r="M871" s="328">
        <v>2.0343190631324046</v>
      </c>
      <c r="N871" s="328">
        <v>0.90211313257177583</v>
      </c>
      <c r="O871" s="328">
        <v>1.8270235884110989E-2</v>
      </c>
      <c r="P871" s="328">
        <v>0.89810080509095991</v>
      </c>
    </row>
    <row r="872" spans="2:16" ht="18" customHeight="1">
      <c r="B872" s="284"/>
      <c r="C872" s="311"/>
      <c r="D872" s="312"/>
      <c r="E872" s="289"/>
      <c r="F872" s="79">
        <v>3</v>
      </c>
      <c r="G872" s="178" t="s">
        <v>107</v>
      </c>
      <c r="H872" s="234">
        <v>24.329018652850877</v>
      </c>
      <c r="I872" s="328"/>
      <c r="J872" s="328"/>
      <c r="K872" s="328"/>
      <c r="L872" s="234">
        <v>24.51197527572889</v>
      </c>
      <c r="M872" s="328">
        <v>2.0343190631324046</v>
      </c>
      <c r="N872" s="328">
        <v>0.90211313257177583</v>
      </c>
      <c r="O872" s="328">
        <v>1.8270235884110989E-2</v>
      </c>
      <c r="P872" s="328">
        <v>0.89810080509095991</v>
      </c>
    </row>
    <row r="873" spans="2:16" ht="18" customHeight="1">
      <c r="B873" s="284"/>
      <c r="C873" s="313"/>
      <c r="D873" s="314"/>
      <c r="E873" s="288"/>
      <c r="F873" s="82">
        <v>4</v>
      </c>
      <c r="G873" s="180" t="s">
        <v>108</v>
      </c>
      <c r="H873" s="235">
        <v>6.6270573436071567</v>
      </c>
      <c r="I873" s="329"/>
      <c r="J873" s="329"/>
      <c r="K873" s="329"/>
      <c r="L873" s="235">
        <v>5.9788609691888155</v>
      </c>
      <c r="M873" s="329">
        <v>2.0343190631324046</v>
      </c>
      <c r="N873" s="329">
        <v>0.90211313257177583</v>
      </c>
      <c r="O873" s="329">
        <v>1.8270235884110989E-2</v>
      </c>
      <c r="P873" s="329">
        <v>0.89810080509095991</v>
      </c>
    </row>
    <row r="874" spans="2:16" ht="18" customHeight="1">
      <c r="B874" s="284"/>
      <c r="C874" s="309" t="s">
        <v>210</v>
      </c>
      <c r="D874" s="310"/>
      <c r="E874" s="287" t="str">
        <f>HYPERLINK("#LAYOUT_m1!lay중YPSY4D02","YPSY4D02")</f>
        <v>YPSY4D02</v>
      </c>
      <c r="F874" s="78">
        <v>1</v>
      </c>
      <c r="G874" s="179" t="s">
        <v>105</v>
      </c>
      <c r="H874" s="233">
        <v>27.08258737810133</v>
      </c>
      <c r="I874" s="327">
        <v>2.2054450610528513</v>
      </c>
      <c r="J874" s="327">
        <v>1.8290128830853406E-2</v>
      </c>
      <c r="K874" s="327">
        <v>0.82931690994478613</v>
      </c>
      <c r="L874" s="233">
        <v>24.750614519529197</v>
      </c>
      <c r="M874" s="327">
        <v>2.2000319685759577</v>
      </c>
      <c r="N874" s="327">
        <v>0.90133562484557028</v>
      </c>
      <c r="O874" s="327">
        <v>1.8254489245417234E-2</v>
      </c>
      <c r="P874" s="327">
        <v>0.82973745409859012</v>
      </c>
    </row>
    <row r="875" spans="2:16" ht="18" customHeight="1">
      <c r="B875" s="284"/>
      <c r="C875" s="311"/>
      <c r="D875" s="312"/>
      <c r="E875" s="289"/>
      <c r="F875" s="79">
        <v>2</v>
      </c>
      <c r="G875" s="178" t="s">
        <v>106</v>
      </c>
      <c r="H875" s="234">
        <v>33.350617160759164</v>
      </c>
      <c r="I875" s="328"/>
      <c r="J875" s="328"/>
      <c r="K875" s="328"/>
      <c r="L875" s="234">
        <v>38.347634689543348</v>
      </c>
      <c r="M875" s="328">
        <v>2.2000319685759577</v>
      </c>
      <c r="N875" s="328">
        <v>0.90133562484557028</v>
      </c>
      <c r="O875" s="328">
        <v>1.8254489245417234E-2</v>
      </c>
      <c r="P875" s="328">
        <v>0.82973745409859012</v>
      </c>
    </row>
    <row r="876" spans="2:16" ht="18" customHeight="1">
      <c r="B876" s="284"/>
      <c r="C876" s="311"/>
      <c r="D876" s="312"/>
      <c r="E876" s="289"/>
      <c r="F876" s="79">
        <v>3</v>
      </c>
      <c r="G876" s="178" t="s">
        <v>107</v>
      </c>
      <c r="H876" s="234">
        <v>31.506497438892481</v>
      </c>
      <c r="I876" s="328"/>
      <c r="J876" s="328"/>
      <c r="K876" s="328"/>
      <c r="L876" s="234">
        <v>29.049690204729128</v>
      </c>
      <c r="M876" s="328">
        <v>2.2000319685759577</v>
      </c>
      <c r="N876" s="328">
        <v>0.90133562484557028</v>
      </c>
      <c r="O876" s="328">
        <v>1.8254489245417234E-2</v>
      </c>
      <c r="P876" s="328">
        <v>0.82973745409859012</v>
      </c>
    </row>
    <row r="877" spans="2:16" ht="18" customHeight="1">
      <c r="B877" s="284"/>
      <c r="C877" s="313"/>
      <c r="D877" s="314"/>
      <c r="E877" s="288"/>
      <c r="F877" s="82">
        <v>4</v>
      </c>
      <c r="G877" s="180" t="s">
        <v>108</v>
      </c>
      <c r="H877" s="235">
        <v>8.0602980222470482</v>
      </c>
      <c r="I877" s="329"/>
      <c r="J877" s="329"/>
      <c r="K877" s="329"/>
      <c r="L877" s="235">
        <v>7.852060586198335</v>
      </c>
      <c r="M877" s="329">
        <v>2.2000319685759577</v>
      </c>
      <c r="N877" s="329">
        <v>0.90133562484557028</v>
      </c>
      <c r="O877" s="329">
        <v>1.8254489245417234E-2</v>
      </c>
      <c r="P877" s="329">
        <v>0.82973745409859012</v>
      </c>
    </row>
    <row r="878" spans="2:16" ht="18" customHeight="1">
      <c r="B878" s="284"/>
      <c r="C878" s="309" t="s">
        <v>211</v>
      </c>
      <c r="D878" s="310"/>
      <c r="E878" s="287" t="str">
        <f>HYPERLINK("#LAYOUT_m1!lay중YPSY4D03","YPSY4D03")</f>
        <v>YPSY4D03</v>
      </c>
      <c r="F878" s="78">
        <v>1</v>
      </c>
      <c r="G878" s="179" t="s">
        <v>105</v>
      </c>
      <c r="H878" s="233">
        <v>30.347800981592474</v>
      </c>
      <c r="I878" s="327">
        <v>2.0629195101020401</v>
      </c>
      <c r="J878" s="327">
        <v>1.7467752113569188E-2</v>
      </c>
      <c r="K878" s="327">
        <v>0.84674908681750594</v>
      </c>
      <c r="L878" s="233">
        <v>29.372015063989068</v>
      </c>
      <c r="M878" s="327">
        <v>2.0285338763305876</v>
      </c>
      <c r="N878" s="327">
        <v>0.84474850608643903</v>
      </c>
      <c r="O878" s="327">
        <v>1.7108446725468372E-2</v>
      </c>
      <c r="P878" s="327">
        <v>0.84338974690508095</v>
      </c>
    </row>
    <row r="879" spans="2:16" ht="18" customHeight="1">
      <c r="B879" s="284"/>
      <c r="C879" s="311"/>
      <c r="D879" s="312"/>
      <c r="E879" s="289"/>
      <c r="F879" s="79">
        <v>2</v>
      </c>
      <c r="G879" s="178" t="s">
        <v>106</v>
      </c>
      <c r="H879" s="234">
        <v>39.214703784488705</v>
      </c>
      <c r="I879" s="328"/>
      <c r="J879" s="328"/>
      <c r="K879" s="328"/>
      <c r="L879" s="234">
        <v>43.30994944266039</v>
      </c>
      <c r="M879" s="328">
        <v>2.0285338763305876</v>
      </c>
      <c r="N879" s="328">
        <v>0.84474850608643903</v>
      </c>
      <c r="O879" s="328">
        <v>1.7108446725468372E-2</v>
      </c>
      <c r="P879" s="328">
        <v>0.84338974690508095</v>
      </c>
    </row>
    <row r="880" spans="2:16" ht="18" customHeight="1">
      <c r="B880" s="284"/>
      <c r="C880" s="311"/>
      <c r="D880" s="312"/>
      <c r="E880" s="289"/>
      <c r="F880" s="79">
        <v>3</v>
      </c>
      <c r="G880" s="178" t="s">
        <v>107</v>
      </c>
      <c r="H880" s="234">
        <v>24.235238476041246</v>
      </c>
      <c r="I880" s="328"/>
      <c r="J880" s="328"/>
      <c r="K880" s="328"/>
      <c r="L880" s="234">
        <v>22.410668289651717</v>
      </c>
      <c r="M880" s="328">
        <v>2.0285338763305876</v>
      </c>
      <c r="N880" s="328">
        <v>0.84474850608643903</v>
      </c>
      <c r="O880" s="328">
        <v>1.7108446725468372E-2</v>
      </c>
      <c r="P880" s="328">
        <v>0.84338974690508095</v>
      </c>
    </row>
    <row r="881" spans="2:16" ht="18" customHeight="1">
      <c r="B881" s="284"/>
      <c r="C881" s="313"/>
      <c r="D881" s="314"/>
      <c r="E881" s="288"/>
      <c r="F881" s="82">
        <v>4</v>
      </c>
      <c r="G881" s="180" t="s">
        <v>108</v>
      </c>
      <c r="H881" s="235">
        <v>6.2022567578775778</v>
      </c>
      <c r="I881" s="329"/>
      <c r="J881" s="329"/>
      <c r="K881" s="329"/>
      <c r="L881" s="235">
        <v>4.907367203698807</v>
      </c>
      <c r="M881" s="329">
        <v>2.0285338763305876</v>
      </c>
      <c r="N881" s="329">
        <v>0.84474850608643903</v>
      </c>
      <c r="O881" s="329">
        <v>1.7108446725468372E-2</v>
      </c>
      <c r="P881" s="329">
        <v>0.84338974690508095</v>
      </c>
    </row>
    <row r="882" spans="2:16" ht="18" customHeight="1">
      <c r="B882" s="284"/>
      <c r="C882" s="309" t="s">
        <v>212</v>
      </c>
      <c r="D882" s="310"/>
      <c r="E882" s="287" t="str">
        <f>HYPERLINK("#LAYOUT_m1!lay중YPSY4D04","YPSY4D04")</f>
        <v>YPSY4D04</v>
      </c>
      <c r="F882" s="78">
        <v>1</v>
      </c>
      <c r="G882" s="179" t="s">
        <v>105</v>
      </c>
      <c r="H882" s="233">
        <v>25.631530563997838</v>
      </c>
      <c r="I882" s="327">
        <v>2.1886795987244514</v>
      </c>
      <c r="J882" s="327">
        <v>1.7600299017536254E-2</v>
      </c>
      <c r="K882" s="327">
        <v>0.80415146318326303</v>
      </c>
      <c r="L882" s="233">
        <v>22.203295944593851</v>
      </c>
      <c r="M882" s="327">
        <v>2.1912399419331021</v>
      </c>
      <c r="N882" s="327">
        <v>0.8289692842636206</v>
      </c>
      <c r="O882" s="327">
        <v>1.6788874717965561E-2</v>
      </c>
      <c r="P882" s="327">
        <v>0.76618148458696345</v>
      </c>
    </row>
    <row r="883" spans="2:16" ht="18" customHeight="1">
      <c r="B883" s="284"/>
      <c r="C883" s="311"/>
      <c r="D883" s="312"/>
      <c r="E883" s="289"/>
      <c r="F883" s="79">
        <v>2</v>
      </c>
      <c r="G883" s="178" t="s">
        <v>106</v>
      </c>
      <c r="H883" s="234">
        <v>36.683262574920199</v>
      </c>
      <c r="I883" s="328"/>
      <c r="J883" s="328"/>
      <c r="K883" s="328"/>
      <c r="L883" s="234">
        <v>40.878167042693157</v>
      </c>
      <c r="M883" s="328">
        <v>2.1912399419331021</v>
      </c>
      <c r="N883" s="328">
        <v>0.8289692842636206</v>
      </c>
      <c r="O883" s="328">
        <v>1.6788874717965561E-2</v>
      </c>
      <c r="P883" s="328">
        <v>0.76618148458696345</v>
      </c>
    </row>
    <row r="884" spans="2:16" ht="18" customHeight="1">
      <c r="B884" s="284"/>
      <c r="C884" s="311"/>
      <c r="D884" s="312"/>
      <c r="E884" s="289"/>
      <c r="F884" s="79">
        <v>3</v>
      </c>
      <c r="G884" s="178" t="s">
        <v>107</v>
      </c>
      <c r="H884" s="234">
        <v>30.870923285721076</v>
      </c>
      <c r="I884" s="328"/>
      <c r="J884" s="328"/>
      <c r="K884" s="328"/>
      <c r="L884" s="234">
        <v>32.50978388752123</v>
      </c>
      <c r="M884" s="328">
        <v>2.1912399419331021</v>
      </c>
      <c r="N884" s="328">
        <v>0.8289692842636206</v>
      </c>
      <c r="O884" s="328">
        <v>1.6788874717965561E-2</v>
      </c>
      <c r="P884" s="328">
        <v>0.76618148458696345</v>
      </c>
    </row>
    <row r="885" spans="2:16" ht="18" customHeight="1">
      <c r="B885" s="284"/>
      <c r="C885" s="313"/>
      <c r="D885" s="314"/>
      <c r="E885" s="288"/>
      <c r="F885" s="82">
        <v>4</v>
      </c>
      <c r="G885" s="180" t="s">
        <v>108</v>
      </c>
      <c r="H885" s="235">
        <v>6.8142835753608777</v>
      </c>
      <c r="I885" s="329"/>
      <c r="J885" s="329"/>
      <c r="K885" s="329"/>
      <c r="L885" s="235">
        <v>4.4087531251917431</v>
      </c>
      <c r="M885" s="329">
        <v>2.1912399419331021</v>
      </c>
      <c r="N885" s="329">
        <v>0.8289692842636206</v>
      </c>
      <c r="O885" s="329">
        <v>1.6788874717965561E-2</v>
      </c>
      <c r="P885" s="329">
        <v>0.76618148458696345</v>
      </c>
    </row>
    <row r="886" spans="2:16" ht="18" customHeight="1">
      <c r="B886" s="284"/>
      <c r="C886" s="309" t="s">
        <v>213</v>
      </c>
      <c r="D886" s="310"/>
      <c r="E886" s="287" t="str">
        <f>HYPERLINK("#LAYOUT_m1!lay중YPSY4D05","YPSY4D05")</f>
        <v>YPSY4D05</v>
      </c>
      <c r="F886" s="78">
        <v>1</v>
      </c>
      <c r="G886" s="179" t="s">
        <v>105</v>
      </c>
      <c r="H886" s="233">
        <v>24.981152299799557</v>
      </c>
      <c r="I886" s="327">
        <v>2.2547249278398818</v>
      </c>
      <c r="J886" s="327">
        <v>1.8446395782042924E-2</v>
      </c>
      <c r="K886" s="327">
        <v>0.81812178302899741</v>
      </c>
      <c r="L886" s="233">
        <v>22.824865345726579</v>
      </c>
      <c r="M886" s="327">
        <v>2.2328943423469445</v>
      </c>
      <c r="N886" s="327">
        <v>0.87188718623612305</v>
      </c>
      <c r="O886" s="327">
        <v>1.7658078551029577E-2</v>
      </c>
      <c r="P886" s="327">
        <v>0.79081567883187742</v>
      </c>
    </row>
    <row r="887" spans="2:16" ht="18" customHeight="1">
      <c r="B887" s="284"/>
      <c r="C887" s="311"/>
      <c r="D887" s="312"/>
      <c r="E887" s="289"/>
      <c r="F887" s="79">
        <v>2</v>
      </c>
      <c r="G887" s="178" t="s">
        <v>106</v>
      </c>
      <c r="H887" s="234">
        <v>34.139932388439462</v>
      </c>
      <c r="I887" s="328"/>
      <c r="J887" s="328"/>
      <c r="K887" s="328"/>
      <c r="L887" s="234">
        <v>37.297014234870076</v>
      </c>
      <c r="M887" s="328">
        <v>2.2328943423469445</v>
      </c>
      <c r="N887" s="328">
        <v>0.87188718623612305</v>
      </c>
      <c r="O887" s="328">
        <v>1.7658078551029577E-2</v>
      </c>
      <c r="P887" s="328">
        <v>0.79081567883187742</v>
      </c>
    </row>
    <row r="888" spans="2:16" ht="18" customHeight="1">
      <c r="B888" s="284"/>
      <c r="C888" s="311"/>
      <c r="D888" s="312"/>
      <c r="E888" s="289"/>
      <c r="F888" s="79">
        <v>3</v>
      </c>
      <c r="G888" s="178" t="s">
        <v>107</v>
      </c>
      <c r="H888" s="234">
        <v>31.30418553973437</v>
      </c>
      <c r="I888" s="328"/>
      <c r="J888" s="328"/>
      <c r="K888" s="328"/>
      <c r="L888" s="234">
        <v>33.641941258385124</v>
      </c>
      <c r="M888" s="328">
        <v>2.2328943423469445</v>
      </c>
      <c r="N888" s="328">
        <v>0.87188718623612305</v>
      </c>
      <c r="O888" s="328">
        <v>1.7658078551029577E-2</v>
      </c>
      <c r="P888" s="328">
        <v>0.79081567883187742</v>
      </c>
    </row>
    <row r="889" spans="2:16" ht="18" customHeight="1">
      <c r="B889" s="284"/>
      <c r="C889" s="313"/>
      <c r="D889" s="314"/>
      <c r="E889" s="288"/>
      <c r="F889" s="82">
        <v>4</v>
      </c>
      <c r="G889" s="180" t="s">
        <v>108</v>
      </c>
      <c r="H889" s="235">
        <v>9.5747297720266111</v>
      </c>
      <c r="I889" s="329"/>
      <c r="J889" s="329"/>
      <c r="K889" s="329"/>
      <c r="L889" s="235">
        <v>6.2361791610182475</v>
      </c>
      <c r="M889" s="329">
        <v>2.2328943423469445</v>
      </c>
      <c r="N889" s="329">
        <v>0.87188718623612305</v>
      </c>
      <c r="O889" s="329">
        <v>1.7658078551029577E-2</v>
      </c>
      <c r="P889" s="329">
        <v>0.79081567883187742</v>
      </c>
    </row>
    <row r="890" spans="2:16" ht="18" customHeight="1">
      <c r="B890" s="284"/>
      <c r="C890" s="309" t="s">
        <v>214</v>
      </c>
      <c r="D890" s="310"/>
      <c r="E890" s="287" t="str">
        <f>HYPERLINK("#LAYOUT_m1!lay중YPSY4E01","YPSY4E01")</f>
        <v>YPSY4E01</v>
      </c>
      <c r="F890" s="78">
        <v>1</v>
      </c>
      <c r="G890" s="179" t="s">
        <v>105</v>
      </c>
      <c r="H890" s="233">
        <v>38.168565765582926</v>
      </c>
      <c r="I890" s="327">
        <v>1.848127810097888</v>
      </c>
      <c r="J890" s="327">
        <v>1.5939072064577738E-2</v>
      </c>
      <c r="K890" s="327">
        <v>0.86244425182550066</v>
      </c>
      <c r="L890" s="233">
        <v>36.252747570308451</v>
      </c>
      <c r="M890" s="327">
        <v>1.8540702362618862</v>
      </c>
      <c r="N890" s="327">
        <v>0.77806026365009695</v>
      </c>
      <c r="O890" s="327">
        <v>1.5757829074514472E-2</v>
      </c>
      <c r="P890" s="327">
        <v>0.84990464580699443</v>
      </c>
    </row>
    <row r="891" spans="2:16" ht="18" customHeight="1">
      <c r="B891" s="284"/>
      <c r="C891" s="311"/>
      <c r="D891" s="312"/>
      <c r="E891" s="289"/>
      <c r="F891" s="79">
        <v>2</v>
      </c>
      <c r="G891" s="178" t="s">
        <v>106</v>
      </c>
      <c r="H891" s="234">
        <v>42.315681958172171</v>
      </c>
      <c r="I891" s="328"/>
      <c r="J891" s="328"/>
      <c r="K891" s="328"/>
      <c r="L891" s="234">
        <v>44.452469881727907</v>
      </c>
      <c r="M891" s="328">
        <v>1.8540702362618862</v>
      </c>
      <c r="N891" s="328">
        <v>0.77806026365009695</v>
      </c>
      <c r="O891" s="328">
        <v>1.5757829074514472E-2</v>
      </c>
      <c r="P891" s="328">
        <v>0.84990464580699443</v>
      </c>
    </row>
    <row r="892" spans="2:16" ht="18" customHeight="1">
      <c r="B892" s="284"/>
      <c r="C892" s="311"/>
      <c r="D892" s="312"/>
      <c r="E892" s="289"/>
      <c r="F892" s="79">
        <v>3</v>
      </c>
      <c r="G892" s="178" t="s">
        <v>107</v>
      </c>
      <c r="H892" s="234">
        <v>16.050157777118542</v>
      </c>
      <c r="I892" s="328"/>
      <c r="J892" s="328"/>
      <c r="K892" s="328"/>
      <c r="L892" s="234">
        <v>16.929793899428663</v>
      </c>
      <c r="M892" s="328">
        <v>1.8540702362618862</v>
      </c>
      <c r="N892" s="328">
        <v>0.77806026365009695</v>
      </c>
      <c r="O892" s="328">
        <v>1.5757829074514472E-2</v>
      </c>
      <c r="P892" s="328">
        <v>0.84990464580699443</v>
      </c>
    </row>
    <row r="893" spans="2:16" ht="18" customHeight="1">
      <c r="B893" s="284"/>
      <c r="C893" s="313"/>
      <c r="D893" s="314"/>
      <c r="E893" s="288"/>
      <c r="F893" s="82">
        <v>4</v>
      </c>
      <c r="G893" s="180" t="s">
        <v>108</v>
      </c>
      <c r="H893" s="235">
        <v>3.4655944991263512</v>
      </c>
      <c r="I893" s="329"/>
      <c r="J893" s="329"/>
      <c r="K893" s="329"/>
      <c r="L893" s="235">
        <v>2.364988648534998</v>
      </c>
      <c r="M893" s="329">
        <v>1.8540702362618862</v>
      </c>
      <c r="N893" s="329">
        <v>0.77806026365009695</v>
      </c>
      <c r="O893" s="329">
        <v>1.5757829074514472E-2</v>
      </c>
      <c r="P893" s="329">
        <v>0.84990464580699443</v>
      </c>
    </row>
    <row r="894" spans="2:16" ht="18" customHeight="1">
      <c r="B894" s="284"/>
      <c r="C894" s="309" t="s">
        <v>215</v>
      </c>
      <c r="D894" s="310"/>
      <c r="E894" s="287" t="str">
        <f>HYPERLINK("#LAYOUT_m1!lay중YPSY4E02","YPSY4E02")</f>
        <v>YPSY4E02</v>
      </c>
      <c r="F894" s="78">
        <v>1</v>
      </c>
      <c r="G894" s="179" t="s">
        <v>105</v>
      </c>
      <c r="H894" s="233">
        <v>43.127770607059965</v>
      </c>
      <c r="I894" s="327">
        <v>1.7744528193825171</v>
      </c>
      <c r="J894" s="327">
        <v>1.5922226476603438E-2</v>
      </c>
      <c r="K894" s="327">
        <v>0.89730345618003737</v>
      </c>
      <c r="L894" s="233">
        <v>44.914236901086198</v>
      </c>
      <c r="M894" s="327">
        <v>1.7450737616515184</v>
      </c>
      <c r="N894" s="327">
        <v>0.79352783936972748</v>
      </c>
      <c r="O894" s="327">
        <v>1.6071089403789755E-2</v>
      </c>
      <c r="P894" s="327">
        <v>0.92094040704504476</v>
      </c>
    </row>
    <row r="895" spans="2:16" ht="18" customHeight="1">
      <c r="B895" s="284"/>
      <c r="C895" s="311"/>
      <c r="D895" s="312"/>
      <c r="E895" s="289"/>
      <c r="F895" s="79">
        <v>2</v>
      </c>
      <c r="G895" s="178" t="s">
        <v>106</v>
      </c>
      <c r="H895" s="234">
        <v>39.810155769275049</v>
      </c>
      <c r="I895" s="328"/>
      <c r="J895" s="328"/>
      <c r="K895" s="328"/>
      <c r="L895" s="234">
        <v>38.217001995944315</v>
      </c>
      <c r="M895" s="328">
        <v>1.7450737616515184</v>
      </c>
      <c r="N895" s="328">
        <v>0.79352783936972748</v>
      </c>
      <c r="O895" s="328">
        <v>1.6071089403789755E-2</v>
      </c>
      <c r="P895" s="328">
        <v>0.92094040704504476</v>
      </c>
    </row>
    <row r="896" spans="2:16" ht="18" customHeight="1">
      <c r="B896" s="284"/>
      <c r="C896" s="311"/>
      <c r="D896" s="312"/>
      <c r="E896" s="289"/>
      <c r="F896" s="79">
        <v>3</v>
      </c>
      <c r="G896" s="178" t="s">
        <v>107</v>
      </c>
      <c r="H896" s="234">
        <v>13.551094702018258</v>
      </c>
      <c r="I896" s="328"/>
      <c r="J896" s="328"/>
      <c r="K896" s="328"/>
      <c r="L896" s="234">
        <v>14.315909139700015</v>
      </c>
      <c r="M896" s="328">
        <v>1.7450737616515184</v>
      </c>
      <c r="N896" s="328">
        <v>0.79352783936972748</v>
      </c>
      <c r="O896" s="328">
        <v>1.6071089403789755E-2</v>
      </c>
      <c r="P896" s="328">
        <v>0.92094040704504476</v>
      </c>
    </row>
    <row r="897" spans="2:16" ht="18" customHeight="1">
      <c r="B897" s="284"/>
      <c r="C897" s="313"/>
      <c r="D897" s="314"/>
      <c r="E897" s="288"/>
      <c r="F897" s="82">
        <v>4</v>
      </c>
      <c r="G897" s="180" t="s">
        <v>108</v>
      </c>
      <c r="H897" s="235">
        <v>3.5109789216467071</v>
      </c>
      <c r="I897" s="329"/>
      <c r="J897" s="329"/>
      <c r="K897" s="329"/>
      <c r="L897" s="235">
        <v>2.5528519632694691</v>
      </c>
      <c r="M897" s="329">
        <v>1.7450737616515184</v>
      </c>
      <c r="N897" s="329">
        <v>0.79352783936972748</v>
      </c>
      <c r="O897" s="329">
        <v>1.6071089403789755E-2</v>
      </c>
      <c r="P897" s="329">
        <v>0.92094040704504476</v>
      </c>
    </row>
    <row r="898" spans="2:16" ht="18" customHeight="1">
      <c r="B898" s="284"/>
      <c r="C898" s="309" t="s">
        <v>216</v>
      </c>
      <c r="D898" s="310"/>
      <c r="E898" s="287" t="str">
        <f>HYPERLINK("#LAYOUT_m1!lay중YPSY4E03","YPSY4E03")</f>
        <v>YPSY4E03</v>
      </c>
      <c r="F898" s="78">
        <v>1</v>
      </c>
      <c r="G898" s="179" t="s">
        <v>105</v>
      </c>
      <c r="H898" s="233">
        <v>30.580064344781224</v>
      </c>
      <c r="I898" s="327">
        <v>2.1658421391892286</v>
      </c>
      <c r="J898" s="327">
        <v>1.9075159156495471E-2</v>
      </c>
      <c r="K898" s="327">
        <v>0.88072712278264886</v>
      </c>
      <c r="L898" s="233">
        <v>30.215387158798553</v>
      </c>
      <c r="M898" s="327">
        <v>2.1132580857628049</v>
      </c>
      <c r="N898" s="327">
        <v>0.91458399124430489</v>
      </c>
      <c r="O898" s="327">
        <v>1.8522804571338695E-2</v>
      </c>
      <c r="P898" s="327">
        <v>0.87650461134531388</v>
      </c>
    </row>
    <row r="899" spans="2:16" ht="18" customHeight="1">
      <c r="B899" s="284"/>
      <c r="C899" s="311"/>
      <c r="D899" s="312"/>
      <c r="E899" s="289"/>
      <c r="F899" s="79">
        <v>2</v>
      </c>
      <c r="G899" s="178" t="s">
        <v>106</v>
      </c>
      <c r="H899" s="234">
        <v>31.860563500482279</v>
      </c>
      <c r="I899" s="328"/>
      <c r="J899" s="328"/>
      <c r="K899" s="328"/>
      <c r="L899" s="234">
        <v>34.812534496273315</v>
      </c>
      <c r="M899" s="328">
        <v>2.1132580857628049</v>
      </c>
      <c r="N899" s="328">
        <v>0.91458399124430489</v>
      </c>
      <c r="O899" s="328">
        <v>1.8522804571338695E-2</v>
      </c>
      <c r="P899" s="328">
        <v>0.87650461134531388</v>
      </c>
    </row>
    <row r="900" spans="2:16" ht="18" customHeight="1">
      <c r="B900" s="284"/>
      <c r="C900" s="311"/>
      <c r="D900" s="312"/>
      <c r="E900" s="289"/>
      <c r="F900" s="79">
        <v>3</v>
      </c>
      <c r="G900" s="178" t="s">
        <v>107</v>
      </c>
      <c r="H900" s="234">
        <v>27.954466045769216</v>
      </c>
      <c r="I900" s="328"/>
      <c r="J900" s="328"/>
      <c r="K900" s="328"/>
      <c r="L900" s="234">
        <v>28.402960954775878</v>
      </c>
      <c r="M900" s="328">
        <v>2.1132580857628049</v>
      </c>
      <c r="N900" s="328">
        <v>0.91458399124430489</v>
      </c>
      <c r="O900" s="328">
        <v>1.8522804571338695E-2</v>
      </c>
      <c r="P900" s="328">
        <v>0.87650461134531388</v>
      </c>
    </row>
    <row r="901" spans="2:16" ht="18" customHeight="1">
      <c r="B901" s="284"/>
      <c r="C901" s="313"/>
      <c r="D901" s="314"/>
      <c r="E901" s="288"/>
      <c r="F901" s="82">
        <v>4</v>
      </c>
      <c r="G901" s="180" t="s">
        <v>108</v>
      </c>
      <c r="H901" s="235">
        <v>9.6049061089672971</v>
      </c>
      <c r="I901" s="329"/>
      <c r="J901" s="329"/>
      <c r="K901" s="329"/>
      <c r="L901" s="235">
        <v>6.5691173901522228</v>
      </c>
      <c r="M901" s="329">
        <v>2.1132580857628049</v>
      </c>
      <c r="N901" s="329">
        <v>0.91458399124430489</v>
      </c>
      <c r="O901" s="329">
        <v>1.8522804571338695E-2</v>
      </c>
      <c r="P901" s="329">
        <v>0.87650461134531388</v>
      </c>
    </row>
    <row r="902" spans="2:16" ht="18" customHeight="1">
      <c r="B902" s="284"/>
      <c r="C902" s="309" t="s">
        <v>217</v>
      </c>
      <c r="D902" s="310"/>
      <c r="E902" s="287" t="str">
        <f>HYPERLINK("#LAYOUT_m1!lay중YPSY4E04","YPSY4E04")</f>
        <v>YPSY4E04</v>
      </c>
      <c r="F902" s="78">
        <v>1</v>
      </c>
      <c r="G902" s="179" t="s">
        <v>105</v>
      </c>
      <c r="H902" s="233">
        <v>57.463397808592013</v>
      </c>
      <c r="I902" s="327">
        <v>1.5631792956644666</v>
      </c>
      <c r="J902" s="327">
        <v>1.4888015581997836E-2</v>
      </c>
      <c r="K902" s="327">
        <v>0.95241893385424625</v>
      </c>
      <c r="L902" s="233">
        <v>58.166136162647987</v>
      </c>
      <c r="M902" s="327">
        <v>1.5370116722719862</v>
      </c>
      <c r="N902" s="327">
        <v>0.72057511135406105</v>
      </c>
      <c r="O902" s="327">
        <v>1.459359894155046E-2</v>
      </c>
      <c r="P902" s="327">
        <v>0.94947873232338098</v>
      </c>
    </row>
    <row r="903" spans="2:16" ht="18" customHeight="1">
      <c r="B903" s="284"/>
      <c r="C903" s="311"/>
      <c r="D903" s="312"/>
      <c r="E903" s="289"/>
      <c r="F903" s="79">
        <v>2</v>
      </c>
      <c r="G903" s="178" t="s">
        <v>106</v>
      </c>
      <c r="H903" s="234">
        <v>31.366510493055923</v>
      </c>
      <c r="I903" s="328"/>
      <c r="J903" s="328"/>
      <c r="K903" s="328"/>
      <c r="L903" s="234">
        <v>31.618526150518168</v>
      </c>
      <c r="M903" s="328">
        <v>1.5370116722719862</v>
      </c>
      <c r="N903" s="328">
        <v>0.72057511135406105</v>
      </c>
      <c r="O903" s="328">
        <v>1.459359894155046E-2</v>
      </c>
      <c r="P903" s="328">
        <v>0.94947873232338098</v>
      </c>
    </row>
    <row r="904" spans="2:16" ht="18" customHeight="1">
      <c r="B904" s="284"/>
      <c r="C904" s="311"/>
      <c r="D904" s="312"/>
      <c r="E904" s="289"/>
      <c r="F904" s="79">
        <v>3</v>
      </c>
      <c r="G904" s="178" t="s">
        <v>107</v>
      </c>
      <c r="H904" s="234">
        <v>8.5588560216658021</v>
      </c>
      <c r="I904" s="328"/>
      <c r="J904" s="328"/>
      <c r="K904" s="328"/>
      <c r="L904" s="234">
        <v>8.5633719838203515</v>
      </c>
      <c r="M904" s="328">
        <v>1.5370116722719862</v>
      </c>
      <c r="N904" s="328">
        <v>0.72057511135406105</v>
      </c>
      <c r="O904" s="328">
        <v>1.459359894155046E-2</v>
      </c>
      <c r="P904" s="328">
        <v>0.94947873232338098</v>
      </c>
    </row>
    <row r="905" spans="2:16" ht="18" customHeight="1">
      <c r="B905" s="284"/>
      <c r="C905" s="313"/>
      <c r="D905" s="314"/>
      <c r="E905" s="288"/>
      <c r="F905" s="82">
        <v>4</v>
      </c>
      <c r="G905" s="180" t="s">
        <v>108</v>
      </c>
      <c r="H905" s="235">
        <v>2.6112356766862495</v>
      </c>
      <c r="I905" s="329"/>
      <c r="J905" s="329"/>
      <c r="K905" s="329"/>
      <c r="L905" s="235">
        <v>1.6519657030134922</v>
      </c>
      <c r="M905" s="329">
        <v>1.5370116722719862</v>
      </c>
      <c r="N905" s="329">
        <v>0.72057511135406105</v>
      </c>
      <c r="O905" s="329">
        <v>1.459359894155046E-2</v>
      </c>
      <c r="P905" s="329">
        <v>0.94947873232338098</v>
      </c>
    </row>
    <row r="906" spans="2:16" ht="18" customHeight="1">
      <c r="B906" s="284"/>
      <c r="C906" s="309" t="s">
        <v>218</v>
      </c>
      <c r="D906" s="310"/>
      <c r="E906" s="287" t="str">
        <f>HYPERLINK("#LAYOUT_m1!lay중YPSY4E05","YPSY4E05")</f>
        <v>YPSY4E05</v>
      </c>
      <c r="F906" s="78">
        <v>1</v>
      </c>
      <c r="G906" s="179" t="s">
        <v>105</v>
      </c>
      <c r="H906" s="233">
        <v>44.150631680734335</v>
      </c>
      <c r="I906" s="327">
        <v>1.8443592741414234</v>
      </c>
      <c r="J906" s="327">
        <v>1.775758845152229E-2</v>
      </c>
      <c r="K906" s="327">
        <v>0.96280527880278155</v>
      </c>
      <c r="L906" s="233">
        <v>45.822536502042254</v>
      </c>
      <c r="M906" s="327">
        <v>1.7881789202945984</v>
      </c>
      <c r="N906" s="327">
        <v>0.85549608452762549</v>
      </c>
      <c r="O906" s="327">
        <v>1.7326114317496064E-2</v>
      </c>
      <c r="P906" s="327">
        <v>0.96892509585347442</v>
      </c>
    </row>
    <row r="907" spans="2:16" ht="18" customHeight="1">
      <c r="B907" s="284"/>
      <c r="C907" s="311"/>
      <c r="D907" s="312"/>
      <c r="E907" s="289"/>
      <c r="F907" s="79">
        <v>2</v>
      </c>
      <c r="G907" s="178" t="s">
        <v>106</v>
      </c>
      <c r="H907" s="234">
        <v>32.925136232458499</v>
      </c>
      <c r="I907" s="328"/>
      <c r="J907" s="328"/>
      <c r="K907" s="328"/>
      <c r="L907" s="234">
        <v>33.127628760295998</v>
      </c>
      <c r="M907" s="328">
        <v>1.7881789202945984</v>
      </c>
      <c r="N907" s="328">
        <v>0.85549608452762549</v>
      </c>
      <c r="O907" s="328">
        <v>1.7326114317496064E-2</v>
      </c>
      <c r="P907" s="328">
        <v>0.96892509585347442</v>
      </c>
    </row>
    <row r="908" spans="2:16" ht="18" customHeight="1">
      <c r="B908" s="284"/>
      <c r="C908" s="311"/>
      <c r="D908" s="312"/>
      <c r="E908" s="289"/>
      <c r="F908" s="79">
        <v>3</v>
      </c>
      <c r="G908" s="178" t="s">
        <v>107</v>
      </c>
      <c r="H908" s="234">
        <v>17.26190507873816</v>
      </c>
      <c r="I908" s="328"/>
      <c r="J908" s="328"/>
      <c r="K908" s="328"/>
      <c r="L908" s="234">
        <v>17.459240943819982</v>
      </c>
      <c r="M908" s="328">
        <v>1.7881789202945984</v>
      </c>
      <c r="N908" s="328">
        <v>0.85549608452762549</v>
      </c>
      <c r="O908" s="328">
        <v>1.7326114317496064E-2</v>
      </c>
      <c r="P908" s="328">
        <v>0.96892509585347442</v>
      </c>
    </row>
    <row r="909" spans="2:16" ht="18" customHeight="1">
      <c r="B909" s="284"/>
      <c r="C909" s="313"/>
      <c r="D909" s="314"/>
      <c r="E909" s="288"/>
      <c r="F909" s="82">
        <v>4</v>
      </c>
      <c r="G909" s="180" t="s">
        <v>108</v>
      </c>
      <c r="H909" s="235">
        <v>5.6623270080690089</v>
      </c>
      <c r="I909" s="329"/>
      <c r="J909" s="329"/>
      <c r="K909" s="329"/>
      <c r="L909" s="235">
        <v>3.5905937938417649</v>
      </c>
      <c r="M909" s="329">
        <v>1.7881789202945984</v>
      </c>
      <c r="N909" s="329">
        <v>0.85549608452762549</v>
      </c>
      <c r="O909" s="329">
        <v>1.7326114317496064E-2</v>
      </c>
      <c r="P909" s="329">
        <v>0.96892509585347442</v>
      </c>
    </row>
    <row r="910" spans="2:16" ht="18" customHeight="1">
      <c r="B910" s="284"/>
      <c r="C910" s="309" t="s">
        <v>219</v>
      </c>
      <c r="D910" s="310"/>
      <c r="E910" s="287" t="str">
        <f>HYPERLINK("#LAYOUT_m1!lay중YPSY4E06","YPSY4E06")</f>
        <v>YPSY4E06</v>
      </c>
      <c r="F910" s="78">
        <v>1</v>
      </c>
      <c r="G910" s="179" t="s">
        <v>105</v>
      </c>
      <c r="H910" s="233">
        <v>37.668541654298529</v>
      </c>
      <c r="I910" s="327">
        <v>1.9256536904931494</v>
      </c>
      <c r="J910" s="327">
        <v>1.7146453759719411E-2</v>
      </c>
      <c r="K910" s="327">
        <v>0.89042250142746571</v>
      </c>
      <c r="L910" s="233">
        <v>38.021920699052174</v>
      </c>
      <c r="M910" s="327">
        <v>1.8989417644264421</v>
      </c>
      <c r="N910" s="327">
        <v>0.85380300178068147</v>
      </c>
      <c r="O910" s="327">
        <v>1.729182480319779E-2</v>
      </c>
      <c r="P910" s="327">
        <v>0.91060321738832384</v>
      </c>
    </row>
    <row r="911" spans="2:16" ht="18" customHeight="1">
      <c r="B911" s="284"/>
      <c r="C911" s="311"/>
      <c r="D911" s="312"/>
      <c r="E911" s="289"/>
      <c r="F911" s="79">
        <v>2</v>
      </c>
      <c r="G911" s="178" t="s">
        <v>106</v>
      </c>
      <c r="H911" s="234">
        <v>36.481103617349056</v>
      </c>
      <c r="I911" s="328"/>
      <c r="J911" s="328"/>
      <c r="K911" s="328"/>
      <c r="L911" s="234">
        <v>38.037639519970696</v>
      </c>
      <c r="M911" s="328">
        <v>1.8989417644264421</v>
      </c>
      <c r="N911" s="328">
        <v>0.85380300178068147</v>
      </c>
      <c r="O911" s="328">
        <v>1.729182480319779E-2</v>
      </c>
      <c r="P911" s="328">
        <v>0.91060321738832384</v>
      </c>
    </row>
    <row r="912" spans="2:16" ht="18" customHeight="1">
      <c r="B912" s="284"/>
      <c r="C912" s="311"/>
      <c r="D912" s="312"/>
      <c r="E912" s="289"/>
      <c r="F912" s="79">
        <v>3</v>
      </c>
      <c r="G912" s="178" t="s">
        <v>107</v>
      </c>
      <c r="H912" s="234">
        <v>21.466798753092224</v>
      </c>
      <c r="I912" s="328"/>
      <c r="J912" s="328"/>
      <c r="K912" s="328"/>
      <c r="L912" s="234">
        <v>19.96478242025648</v>
      </c>
      <c r="M912" s="328">
        <v>1.8989417644264421</v>
      </c>
      <c r="N912" s="328">
        <v>0.85380300178068147</v>
      </c>
      <c r="O912" s="328">
        <v>1.729182480319779E-2</v>
      </c>
      <c r="P912" s="328">
        <v>0.91060321738832384</v>
      </c>
    </row>
    <row r="913" spans="2:16" ht="18" customHeight="1">
      <c r="B913" s="284"/>
      <c r="C913" s="313"/>
      <c r="D913" s="314"/>
      <c r="E913" s="288"/>
      <c r="F913" s="82">
        <v>4</v>
      </c>
      <c r="G913" s="180" t="s">
        <v>108</v>
      </c>
      <c r="H913" s="235">
        <v>4.3835559752602071</v>
      </c>
      <c r="I913" s="329"/>
      <c r="J913" s="329"/>
      <c r="K913" s="329"/>
      <c r="L913" s="235">
        <v>3.9756573607206556</v>
      </c>
      <c r="M913" s="329">
        <v>1.8989417644264421</v>
      </c>
      <c r="N913" s="329">
        <v>0.85380300178068147</v>
      </c>
      <c r="O913" s="329">
        <v>1.729182480319779E-2</v>
      </c>
      <c r="P913" s="329">
        <v>0.91060321738832384</v>
      </c>
    </row>
    <row r="914" spans="2:16" ht="18" customHeight="1">
      <c r="B914" s="284"/>
      <c r="C914" s="309" t="s">
        <v>220</v>
      </c>
      <c r="D914" s="310"/>
      <c r="E914" s="287" t="str">
        <f>HYPERLINK("#LAYOUT_m1!lay중YPSY4E07","YPSY4E07")</f>
        <v>YPSY4E07</v>
      </c>
      <c r="F914" s="78">
        <v>1</v>
      </c>
      <c r="G914" s="179" t="s">
        <v>105</v>
      </c>
      <c r="H914" s="233">
        <v>46.198271939628633</v>
      </c>
      <c r="I914" s="327">
        <v>1.7716579543115047</v>
      </c>
      <c r="J914" s="327">
        <v>1.6935075903697205E-2</v>
      </c>
      <c r="K914" s="327">
        <v>0.95588857106892555</v>
      </c>
      <c r="L914" s="233">
        <v>44.878432603884249</v>
      </c>
      <c r="M914" s="327">
        <v>1.7784040754072921</v>
      </c>
      <c r="N914" s="327">
        <v>0.83588929058435901</v>
      </c>
      <c r="O914" s="327">
        <v>1.692902360088781E-2</v>
      </c>
      <c r="P914" s="327">
        <v>0.95192222256973413</v>
      </c>
    </row>
    <row r="915" spans="2:16" ht="18" customHeight="1">
      <c r="B915" s="284"/>
      <c r="C915" s="311"/>
      <c r="D915" s="312"/>
      <c r="E915" s="289"/>
      <c r="F915" s="79">
        <v>2</v>
      </c>
      <c r="G915" s="178" t="s">
        <v>106</v>
      </c>
      <c r="H915" s="234">
        <v>35.389340750441576</v>
      </c>
      <c r="I915" s="328"/>
      <c r="J915" s="328"/>
      <c r="K915" s="328"/>
      <c r="L915" s="234">
        <v>35.980544280732339</v>
      </c>
      <c r="M915" s="328">
        <v>1.7784040754072921</v>
      </c>
      <c r="N915" s="328">
        <v>0.83588929058435901</v>
      </c>
      <c r="O915" s="328">
        <v>1.692902360088781E-2</v>
      </c>
      <c r="P915" s="328">
        <v>0.95192222256973413</v>
      </c>
    </row>
    <row r="916" spans="2:16" ht="18" customHeight="1">
      <c r="B916" s="284"/>
      <c r="C916" s="311"/>
      <c r="D916" s="312"/>
      <c r="E916" s="289"/>
      <c r="F916" s="79">
        <v>3</v>
      </c>
      <c r="G916" s="178" t="s">
        <v>107</v>
      </c>
      <c r="H916" s="234">
        <v>13.460707249080622</v>
      </c>
      <c r="I916" s="328"/>
      <c r="J916" s="328"/>
      <c r="K916" s="328"/>
      <c r="L916" s="234">
        <v>15.563206086152249</v>
      </c>
      <c r="M916" s="328">
        <v>1.7784040754072921</v>
      </c>
      <c r="N916" s="328">
        <v>0.83588929058435901</v>
      </c>
      <c r="O916" s="328">
        <v>1.692902360088781E-2</v>
      </c>
      <c r="P916" s="328">
        <v>0.95192222256973413</v>
      </c>
    </row>
    <row r="917" spans="2:16" ht="18" customHeight="1">
      <c r="B917" s="284"/>
      <c r="C917" s="313"/>
      <c r="D917" s="314"/>
      <c r="E917" s="288"/>
      <c r="F917" s="82">
        <v>4</v>
      </c>
      <c r="G917" s="180" t="s">
        <v>108</v>
      </c>
      <c r="H917" s="235">
        <v>4.951680060849184</v>
      </c>
      <c r="I917" s="329"/>
      <c r="J917" s="329"/>
      <c r="K917" s="329"/>
      <c r="L917" s="235">
        <v>3.5778170292311904</v>
      </c>
      <c r="M917" s="329">
        <v>1.7784040754072921</v>
      </c>
      <c r="N917" s="329">
        <v>0.83588929058435901</v>
      </c>
      <c r="O917" s="329">
        <v>1.692902360088781E-2</v>
      </c>
      <c r="P917" s="329">
        <v>0.95192222256973413</v>
      </c>
    </row>
    <row r="918" spans="2:16" ht="18" customHeight="1">
      <c r="B918" s="284"/>
      <c r="C918" s="309" t="s">
        <v>221</v>
      </c>
      <c r="D918" s="310"/>
      <c r="E918" s="287" t="str">
        <f>HYPERLINK("#LAYOUT_m1!lay중YPSY4E08","YPSY4E08")</f>
        <v>YPSY4E08</v>
      </c>
      <c r="F918" s="78">
        <v>1</v>
      </c>
      <c r="G918" s="179" t="s">
        <v>105</v>
      </c>
      <c r="H918" s="233">
        <v>48.204260507506262</v>
      </c>
      <c r="I918" s="327">
        <v>1.6335363103937091</v>
      </c>
      <c r="J918" s="327">
        <v>1.3820160532407574E-2</v>
      </c>
      <c r="K918" s="327">
        <v>0.84602714028907522</v>
      </c>
      <c r="L918" s="233">
        <v>45.96158504995725</v>
      </c>
      <c r="M918" s="327">
        <v>1.6786706669913716</v>
      </c>
      <c r="N918" s="327">
        <v>0.72358802936001687</v>
      </c>
      <c r="O918" s="327">
        <v>1.4654618696923459E-2</v>
      </c>
      <c r="P918" s="327">
        <v>0.8729895020557229</v>
      </c>
    </row>
    <row r="919" spans="2:16" ht="18" customHeight="1">
      <c r="B919" s="284"/>
      <c r="C919" s="311"/>
      <c r="D919" s="312"/>
      <c r="E919" s="289"/>
      <c r="F919" s="79">
        <v>2</v>
      </c>
      <c r="G919" s="178" t="s">
        <v>106</v>
      </c>
      <c r="H919" s="234">
        <v>41.796094276387699</v>
      </c>
      <c r="I919" s="328"/>
      <c r="J919" s="328"/>
      <c r="K919" s="328"/>
      <c r="L919" s="234">
        <v>41.645515733206551</v>
      </c>
      <c r="M919" s="328">
        <v>1.6786706669913716</v>
      </c>
      <c r="N919" s="328">
        <v>0.72358802936001687</v>
      </c>
      <c r="O919" s="328">
        <v>1.4654618696923459E-2</v>
      </c>
      <c r="P919" s="328">
        <v>0.8729895020557229</v>
      </c>
    </row>
    <row r="920" spans="2:16" ht="18" customHeight="1">
      <c r="B920" s="284"/>
      <c r="C920" s="311"/>
      <c r="D920" s="312"/>
      <c r="E920" s="289"/>
      <c r="F920" s="79">
        <v>3</v>
      </c>
      <c r="G920" s="178" t="s">
        <v>107</v>
      </c>
      <c r="H920" s="234">
        <v>8.4413988853354596</v>
      </c>
      <c r="I920" s="328"/>
      <c r="J920" s="328"/>
      <c r="K920" s="328"/>
      <c r="L920" s="234">
        <v>10.957146684576669</v>
      </c>
      <c r="M920" s="328">
        <v>1.6786706669913716</v>
      </c>
      <c r="N920" s="328">
        <v>0.72358802936001687</v>
      </c>
      <c r="O920" s="328">
        <v>1.4654618696923459E-2</v>
      </c>
      <c r="P920" s="328">
        <v>0.8729895020557229</v>
      </c>
    </row>
    <row r="921" spans="2:16" ht="18" customHeight="1">
      <c r="B921" s="284"/>
      <c r="C921" s="313"/>
      <c r="D921" s="314"/>
      <c r="E921" s="288"/>
      <c r="F921" s="82">
        <v>4</v>
      </c>
      <c r="G921" s="180" t="s">
        <v>108</v>
      </c>
      <c r="H921" s="235">
        <v>1.5582463307705858</v>
      </c>
      <c r="I921" s="329"/>
      <c r="J921" s="329"/>
      <c r="K921" s="329"/>
      <c r="L921" s="235">
        <v>1.4357525322595097</v>
      </c>
      <c r="M921" s="329">
        <v>1.6786706669913716</v>
      </c>
      <c r="N921" s="329">
        <v>0.72358802936001687</v>
      </c>
      <c r="O921" s="329">
        <v>1.4654618696923459E-2</v>
      </c>
      <c r="P921" s="329">
        <v>0.8729895020557229</v>
      </c>
    </row>
    <row r="922" spans="2:16" ht="18" customHeight="1">
      <c r="B922" s="284"/>
      <c r="C922" s="309" t="s">
        <v>222</v>
      </c>
      <c r="D922" s="310"/>
      <c r="E922" s="287" t="str">
        <f>HYPERLINK("#LAYOUT_m1!lay중YPSY4E09","YPSY4E09")</f>
        <v>YPSY4E09</v>
      </c>
      <c r="F922" s="78">
        <v>1</v>
      </c>
      <c r="G922" s="179" t="s">
        <v>105</v>
      </c>
      <c r="H922" s="233">
        <v>47.186906520903044</v>
      </c>
      <c r="I922" s="327">
        <v>1.6874609476923437</v>
      </c>
      <c r="J922" s="327">
        <v>1.5045042056089145E-2</v>
      </c>
      <c r="K922" s="327">
        <v>0.89157868077858149</v>
      </c>
      <c r="L922" s="233">
        <v>43.395192259124968</v>
      </c>
      <c r="M922" s="327">
        <v>1.7626560984659378</v>
      </c>
      <c r="N922" s="327">
        <v>0.78984828265895657</v>
      </c>
      <c r="O922" s="327">
        <v>1.5996568407888621E-2</v>
      </c>
      <c r="P922" s="327">
        <v>0.90752634174134295</v>
      </c>
    </row>
    <row r="923" spans="2:16" ht="18" customHeight="1">
      <c r="B923" s="284"/>
      <c r="C923" s="311"/>
      <c r="D923" s="312"/>
      <c r="E923" s="289"/>
      <c r="F923" s="79">
        <v>2</v>
      </c>
      <c r="G923" s="178" t="s">
        <v>106</v>
      </c>
      <c r="H923" s="234">
        <v>39.505604695583742</v>
      </c>
      <c r="I923" s="328"/>
      <c r="J923" s="328"/>
      <c r="K923" s="328"/>
      <c r="L923" s="234">
        <v>39.412835803425928</v>
      </c>
      <c r="M923" s="328">
        <v>1.7626560984659378</v>
      </c>
      <c r="N923" s="328">
        <v>0.78984828265895657</v>
      </c>
      <c r="O923" s="328">
        <v>1.5996568407888621E-2</v>
      </c>
      <c r="P923" s="328">
        <v>0.90752634174134295</v>
      </c>
    </row>
    <row r="924" spans="2:16" ht="18" customHeight="1">
      <c r="B924" s="284"/>
      <c r="C924" s="311"/>
      <c r="D924" s="312"/>
      <c r="E924" s="289"/>
      <c r="F924" s="79">
        <v>3</v>
      </c>
      <c r="G924" s="178" t="s">
        <v>107</v>
      </c>
      <c r="H924" s="234">
        <v>10.681976276889344</v>
      </c>
      <c r="I924" s="328"/>
      <c r="J924" s="328"/>
      <c r="K924" s="328"/>
      <c r="L924" s="234">
        <v>14.723141769178286</v>
      </c>
      <c r="M924" s="328">
        <v>1.7626560984659378</v>
      </c>
      <c r="N924" s="328">
        <v>0.78984828265895657</v>
      </c>
      <c r="O924" s="328">
        <v>1.5996568407888621E-2</v>
      </c>
      <c r="P924" s="328">
        <v>0.90752634174134295</v>
      </c>
    </row>
    <row r="925" spans="2:16" ht="18" customHeight="1">
      <c r="B925" s="284"/>
      <c r="C925" s="313"/>
      <c r="D925" s="314"/>
      <c r="E925" s="288"/>
      <c r="F925" s="82">
        <v>4</v>
      </c>
      <c r="G925" s="180" t="s">
        <v>108</v>
      </c>
      <c r="H925" s="235">
        <v>2.6255125066238558</v>
      </c>
      <c r="I925" s="329"/>
      <c r="J925" s="329"/>
      <c r="K925" s="329"/>
      <c r="L925" s="235">
        <v>2.4688301682707912</v>
      </c>
      <c r="M925" s="329">
        <v>1.7626560984659378</v>
      </c>
      <c r="N925" s="329">
        <v>0.78984828265895657</v>
      </c>
      <c r="O925" s="329">
        <v>1.5996568407888621E-2</v>
      </c>
      <c r="P925" s="329">
        <v>0.90752634174134295</v>
      </c>
    </row>
    <row r="926" spans="2:16" ht="18" customHeight="1">
      <c r="B926" s="284"/>
      <c r="C926" s="309" t="s">
        <v>223</v>
      </c>
      <c r="D926" s="310"/>
      <c r="E926" s="287" t="str">
        <f>HYPERLINK("#LAYOUT_m1!lay중YPSY4E10","YPSY4E10")</f>
        <v>YPSY4E10</v>
      </c>
      <c r="F926" s="78">
        <v>1</v>
      </c>
      <c r="G926" s="179" t="s">
        <v>105</v>
      </c>
      <c r="H926" s="233">
        <v>45.974319997241203</v>
      </c>
      <c r="I926" s="327">
        <v>1.7206829984955103</v>
      </c>
      <c r="J926" s="327">
        <v>1.5479287633956921E-2</v>
      </c>
      <c r="K926" s="327">
        <v>0.89960135873320801</v>
      </c>
      <c r="L926" s="233">
        <v>44.376449893254694</v>
      </c>
      <c r="M926" s="327">
        <v>1.7550784953118355</v>
      </c>
      <c r="N926" s="327">
        <v>0.79891584917808001</v>
      </c>
      <c r="O926" s="327">
        <v>1.6180211205247041E-2</v>
      </c>
      <c r="P926" s="327">
        <v>0.92190812254082177</v>
      </c>
    </row>
    <row r="927" spans="2:16" ht="18" customHeight="1">
      <c r="B927" s="284"/>
      <c r="C927" s="311"/>
      <c r="D927" s="312"/>
      <c r="E927" s="289"/>
      <c r="F927" s="79">
        <v>2</v>
      </c>
      <c r="G927" s="178" t="s">
        <v>106</v>
      </c>
      <c r="H927" s="234">
        <v>38.892789945432952</v>
      </c>
      <c r="I927" s="328"/>
      <c r="J927" s="328"/>
      <c r="K927" s="328"/>
      <c r="L927" s="234">
        <v>38.508439938057727</v>
      </c>
      <c r="M927" s="328">
        <v>1.7550784953118355</v>
      </c>
      <c r="N927" s="328">
        <v>0.79891584917808001</v>
      </c>
      <c r="O927" s="328">
        <v>1.6180211205247041E-2</v>
      </c>
      <c r="P927" s="328">
        <v>0.92190812254082177</v>
      </c>
    </row>
    <row r="928" spans="2:16" ht="18" customHeight="1">
      <c r="B928" s="284"/>
      <c r="C928" s="311"/>
      <c r="D928" s="312"/>
      <c r="E928" s="289"/>
      <c r="F928" s="79">
        <v>3</v>
      </c>
      <c r="G928" s="178" t="s">
        <v>107</v>
      </c>
      <c r="H928" s="234">
        <v>12.223160267859555</v>
      </c>
      <c r="I928" s="328"/>
      <c r="J928" s="328"/>
      <c r="K928" s="328"/>
      <c r="L928" s="234">
        <v>14.345920912935915</v>
      </c>
      <c r="M928" s="328">
        <v>1.7550784953118355</v>
      </c>
      <c r="N928" s="328">
        <v>0.79891584917808001</v>
      </c>
      <c r="O928" s="328">
        <v>1.6180211205247041E-2</v>
      </c>
      <c r="P928" s="328">
        <v>0.92190812254082177</v>
      </c>
    </row>
    <row r="929" spans="2:16" ht="18" customHeight="1">
      <c r="B929" s="286"/>
      <c r="C929" s="313"/>
      <c r="D929" s="314"/>
      <c r="E929" s="288"/>
      <c r="F929" s="82">
        <v>4</v>
      </c>
      <c r="G929" s="180" t="s">
        <v>108</v>
      </c>
      <c r="H929" s="235">
        <v>2.909729789466279</v>
      </c>
      <c r="I929" s="329"/>
      <c r="J929" s="329"/>
      <c r="K929" s="329"/>
      <c r="L929" s="235">
        <v>2.7691892557516526</v>
      </c>
      <c r="M929" s="329">
        <v>1.7550784953118355</v>
      </c>
      <c r="N929" s="329">
        <v>0.79891584917808001</v>
      </c>
      <c r="O929" s="329">
        <v>1.6180211205247041E-2</v>
      </c>
      <c r="P929" s="329">
        <v>0.92190812254082177</v>
      </c>
    </row>
    <row r="930" spans="2:16" ht="18" customHeight="1">
      <c r="B930" s="282" t="s">
        <v>224</v>
      </c>
      <c r="C930" s="309" t="s">
        <v>225</v>
      </c>
      <c r="D930" s="310"/>
      <c r="E930" s="287" t="str">
        <f>HYPERLINK("#LAYOUT_m1!lay중YPSY5A01","YPSY5A01")</f>
        <v>YPSY5A01</v>
      </c>
      <c r="F930" s="78">
        <v>1</v>
      </c>
      <c r="G930" s="179" t="s">
        <v>105</v>
      </c>
      <c r="H930" s="233">
        <v>2.7538015268847675</v>
      </c>
      <c r="I930" s="327">
        <v>2.8834675562380623</v>
      </c>
      <c r="J930" s="327">
        <v>1.3653395680589158E-2</v>
      </c>
      <c r="K930" s="327">
        <v>0.47350613156896959</v>
      </c>
      <c r="L930" s="233">
        <v>3.5066095444616328</v>
      </c>
      <c r="M930" s="327">
        <v>2.8010742630362797</v>
      </c>
      <c r="N930" s="327">
        <v>0.67613973071148148</v>
      </c>
      <c r="O930" s="327">
        <v>1.3693662052675172E-2</v>
      </c>
      <c r="P930" s="327">
        <v>0.48887179584562879</v>
      </c>
    </row>
    <row r="931" spans="2:16" ht="18" customHeight="1">
      <c r="B931" s="284"/>
      <c r="C931" s="311"/>
      <c r="D931" s="312"/>
      <c r="E931" s="289"/>
      <c r="F931" s="79">
        <v>2</v>
      </c>
      <c r="G931" s="178" t="s">
        <v>106</v>
      </c>
      <c r="H931" s="234">
        <v>22.375657531809122</v>
      </c>
      <c r="I931" s="328"/>
      <c r="J931" s="328"/>
      <c r="K931" s="328"/>
      <c r="L931" s="234">
        <v>24.253901609436628</v>
      </c>
      <c r="M931" s="328">
        <v>2.8010742630362797</v>
      </c>
      <c r="N931" s="328">
        <v>0.67613973071148148</v>
      </c>
      <c r="O931" s="328">
        <v>1.3693662052675172E-2</v>
      </c>
      <c r="P931" s="328">
        <v>0.48887179584562879</v>
      </c>
    </row>
    <row r="932" spans="2:16" ht="18" customHeight="1">
      <c r="B932" s="284"/>
      <c r="C932" s="311"/>
      <c r="D932" s="312"/>
      <c r="E932" s="289"/>
      <c r="F932" s="79">
        <v>3</v>
      </c>
      <c r="G932" s="178" t="s">
        <v>107</v>
      </c>
      <c r="H932" s="234">
        <v>58.640524731922063</v>
      </c>
      <c r="I932" s="328"/>
      <c r="J932" s="328"/>
      <c r="K932" s="328"/>
      <c r="L932" s="234">
        <v>60.864941844112153</v>
      </c>
      <c r="M932" s="328">
        <v>2.8010742630362797</v>
      </c>
      <c r="N932" s="328">
        <v>0.67613973071148148</v>
      </c>
      <c r="O932" s="328">
        <v>1.3693662052675172E-2</v>
      </c>
      <c r="P932" s="328">
        <v>0.48887179584562879</v>
      </c>
    </row>
    <row r="933" spans="2:16" ht="18" customHeight="1">
      <c r="B933" s="284"/>
      <c r="C933" s="313"/>
      <c r="D933" s="314"/>
      <c r="E933" s="288"/>
      <c r="F933" s="82">
        <v>4</v>
      </c>
      <c r="G933" s="180" t="s">
        <v>108</v>
      </c>
      <c r="H933" s="235">
        <v>16.230016209384061</v>
      </c>
      <c r="I933" s="329"/>
      <c r="J933" s="329"/>
      <c r="K933" s="329"/>
      <c r="L933" s="235">
        <v>11.374547001989578</v>
      </c>
      <c r="M933" s="329">
        <v>2.8010742630362797</v>
      </c>
      <c r="N933" s="329">
        <v>0.67613973071148148</v>
      </c>
      <c r="O933" s="329">
        <v>1.3693662052675172E-2</v>
      </c>
      <c r="P933" s="329">
        <v>0.48887179584562879</v>
      </c>
    </row>
    <row r="934" spans="2:16" ht="18" customHeight="1">
      <c r="B934" s="284"/>
      <c r="C934" s="309" t="s">
        <v>226</v>
      </c>
      <c r="D934" s="310"/>
      <c r="E934" s="287" t="str">
        <f>HYPERLINK("#LAYOUT_m1!lay중YPSY5A02","YPSY5A02")</f>
        <v>YPSY5A02</v>
      </c>
      <c r="F934" s="78">
        <v>1</v>
      </c>
      <c r="G934" s="179" t="s">
        <v>105</v>
      </c>
      <c r="H934" s="233">
        <v>1.5112370608114722</v>
      </c>
      <c r="I934" s="327">
        <v>3.093808722955337</v>
      </c>
      <c r="J934" s="327">
        <v>1.2297105199819438E-2</v>
      </c>
      <c r="K934" s="327">
        <v>0.39747464374826391</v>
      </c>
      <c r="L934" s="233">
        <v>2.4928406821633118</v>
      </c>
      <c r="M934" s="327">
        <v>2.9977703453143905</v>
      </c>
      <c r="N934" s="327">
        <v>0.65963311879261721</v>
      </c>
      <c r="O934" s="327">
        <v>1.3359358424320509E-2</v>
      </c>
      <c r="P934" s="327">
        <v>0.445643157595498</v>
      </c>
    </row>
    <row r="935" spans="2:16" ht="18" customHeight="1">
      <c r="B935" s="284"/>
      <c r="C935" s="311"/>
      <c r="D935" s="312"/>
      <c r="E935" s="289"/>
      <c r="F935" s="79">
        <v>2</v>
      </c>
      <c r="G935" s="178" t="s">
        <v>106</v>
      </c>
      <c r="H935" s="234">
        <v>10.791129675367689</v>
      </c>
      <c r="I935" s="328"/>
      <c r="J935" s="328"/>
      <c r="K935" s="328"/>
      <c r="L935" s="234">
        <v>14.380078203319224</v>
      </c>
      <c r="M935" s="328">
        <v>2.9977703453143905</v>
      </c>
      <c r="N935" s="328">
        <v>0.65963311879261721</v>
      </c>
      <c r="O935" s="328">
        <v>1.3359358424320509E-2</v>
      </c>
      <c r="P935" s="328">
        <v>0.445643157595498</v>
      </c>
    </row>
    <row r="936" spans="2:16" ht="18" customHeight="1">
      <c r="B936" s="284"/>
      <c r="C936" s="311"/>
      <c r="D936" s="312"/>
      <c r="E936" s="289"/>
      <c r="F936" s="79">
        <v>3</v>
      </c>
      <c r="G936" s="178" t="s">
        <v>107</v>
      </c>
      <c r="H936" s="234">
        <v>64.503157171298156</v>
      </c>
      <c r="I936" s="328"/>
      <c r="J936" s="328"/>
      <c r="K936" s="328"/>
      <c r="L936" s="234">
        <v>63.984287015431029</v>
      </c>
      <c r="M936" s="328">
        <v>2.9977703453143905</v>
      </c>
      <c r="N936" s="328">
        <v>0.65963311879261721</v>
      </c>
      <c r="O936" s="328">
        <v>1.3359358424320509E-2</v>
      </c>
      <c r="P936" s="328">
        <v>0.445643157595498</v>
      </c>
    </row>
    <row r="937" spans="2:16" ht="18" customHeight="1">
      <c r="B937" s="284"/>
      <c r="C937" s="313"/>
      <c r="D937" s="314"/>
      <c r="E937" s="288"/>
      <c r="F937" s="82">
        <v>4</v>
      </c>
      <c r="G937" s="180" t="s">
        <v>108</v>
      </c>
      <c r="H937" s="235">
        <v>23.194476092522706</v>
      </c>
      <c r="I937" s="329"/>
      <c r="J937" s="329"/>
      <c r="K937" s="329"/>
      <c r="L937" s="235">
        <v>19.142794099086426</v>
      </c>
      <c r="M937" s="329">
        <v>2.9977703453143905</v>
      </c>
      <c r="N937" s="329">
        <v>0.65963311879261721</v>
      </c>
      <c r="O937" s="329">
        <v>1.3359358424320509E-2</v>
      </c>
      <c r="P937" s="329">
        <v>0.445643157595498</v>
      </c>
    </row>
    <row r="938" spans="2:16" ht="18" customHeight="1">
      <c r="B938" s="284"/>
      <c r="C938" s="309" t="s">
        <v>227</v>
      </c>
      <c r="D938" s="310"/>
      <c r="E938" s="287" t="str">
        <f>HYPERLINK("#LAYOUT_m1!lay중YPSY5A03","YPSY5A03")</f>
        <v>YPSY5A03</v>
      </c>
      <c r="F938" s="78">
        <v>1</v>
      </c>
      <c r="G938" s="179" t="s">
        <v>105</v>
      </c>
      <c r="H938" s="233">
        <v>2.4519872342644899</v>
      </c>
      <c r="I938" s="327">
        <v>2.9708812997595659</v>
      </c>
      <c r="J938" s="327">
        <v>1.3931860198470442E-2</v>
      </c>
      <c r="K938" s="327">
        <v>0.46894704946972959</v>
      </c>
      <c r="L938" s="233">
        <v>3.8216131448798789</v>
      </c>
      <c r="M938" s="327">
        <v>2.9015230453641339</v>
      </c>
      <c r="N938" s="327">
        <v>0.7325819954031827</v>
      </c>
      <c r="O938" s="327">
        <v>1.4836770885168262E-2</v>
      </c>
      <c r="P938" s="327">
        <v>0.51134423725751565</v>
      </c>
    </row>
    <row r="939" spans="2:16" ht="18" customHeight="1">
      <c r="B939" s="284"/>
      <c r="C939" s="311"/>
      <c r="D939" s="312"/>
      <c r="E939" s="289"/>
      <c r="F939" s="79">
        <v>2</v>
      </c>
      <c r="G939" s="178" t="s">
        <v>106</v>
      </c>
      <c r="H939" s="234">
        <v>19.268189760353089</v>
      </c>
      <c r="I939" s="328"/>
      <c r="J939" s="328"/>
      <c r="K939" s="328"/>
      <c r="L939" s="234">
        <v>20.766706337801093</v>
      </c>
      <c r="M939" s="328">
        <v>2.9015230453641339</v>
      </c>
      <c r="N939" s="328">
        <v>0.7325819954031827</v>
      </c>
      <c r="O939" s="328">
        <v>1.4836770885168262E-2</v>
      </c>
      <c r="P939" s="328">
        <v>0.51134423725751565</v>
      </c>
    </row>
    <row r="940" spans="2:16" ht="18" customHeight="1">
      <c r="B940" s="284"/>
      <c r="C940" s="311"/>
      <c r="D940" s="312"/>
      <c r="E940" s="289"/>
      <c r="F940" s="79">
        <v>3</v>
      </c>
      <c r="G940" s="178" t="s">
        <v>107</v>
      </c>
      <c r="H940" s="234">
        <v>57.019528800544798</v>
      </c>
      <c r="I940" s="328"/>
      <c r="J940" s="328"/>
      <c r="K940" s="328"/>
      <c r="L940" s="234">
        <v>56.849443353343744</v>
      </c>
      <c r="M940" s="328">
        <v>2.9015230453641339</v>
      </c>
      <c r="N940" s="328">
        <v>0.7325819954031827</v>
      </c>
      <c r="O940" s="328">
        <v>1.4836770885168262E-2</v>
      </c>
      <c r="P940" s="328">
        <v>0.51134423725751565</v>
      </c>
    </row>
    <row r="941" spans="2:16" ht="18" customHeight="1">
      <c r="B941" s="284"/>
      <c r="C941" s="313"/>
      <c r="D941" s="314"/>
      <c r="E941" s="288"/>
      <c r="F941" s="82">
        <v>4</v>
      </c>
      <c r="G941" s="180" t="s">
        <v>108</v>
      </c>
      <c r="H941" s="235">
        <v>21.260294204837624</v>
      </c>
      <c r="I941" s="329"/>
      <c r="J941" s="329"/>
      <c r="K941" s="329"/>
      <c r="L941" s="235">
        <v>18.562237163975329</v>
      </c>
      <c r="M941" s="329">
        <v>2.9015230453641339</v>
      </c>
      <c r="N941" s="329">
        <v>0.7325819954031827</v>
      </c>
      <c r="O941" s="329">
        <v>1.4836770885168262E-2</v>
      </c>
      <c r="P941" s="329">
        <v>0.51134423725751565</v>
      </c>
    </row>
    <row r="942" spans="2:16" ht="18" customHeight="1">
      <c r="B942" s="284"/>
      <c r="C942" s="309" t="s">
        <v>228</v>
      </c>
      <c r="D942" s="310"/>
      <c r="E942" s="287" t="str">
        <f>HYPERLINK("#LAYOUT_m1!lay중YPSY5A04","YPSY5A04")</f>
        <v>YPSY5A04</v>
      </c>
      <c r="F942" s="78">
        <v>1</v>
      </c>
      <c r="G942" s="179" t="s">
        <v>105</v>
      </c>
      <c r="H942" s="233">
        <v>3.1061434844799205</v>
      </c>
      <c r="I942" s="327">
        <v>2.9135145087242194</v>
      </c>
      <c r="J942" s="327">
        <v>1.421674808743659E-2</v>
      </c>
      <c r="K942" s="327">
        <v>0.48795871943887686</v>
      </c>
      <c r="L942" s="233">
        <v>3.8518076299726607</v>
      </c>
      <c r="M942" s="327">
        <v>2.8420712320002344</v>
      </c>
      <c r="N942" s="327">
        <v>0.73717963028243771</v>
      </c>
      <c r="O942" s="327">
        <v>1.4929885452199939E-2</v>
      </c>
      <c r="P942" s="327">
        <v>0.52531707453695198</v>
      </c>
    </row>
    <row r="943" spans="2:16" ht="18" customHeight="1">
      <c r="B943" s="284"/>
      <c r="C943" s="311"/>
      <c r="D943" s="312"/>
      <c r="E943" s="289"/>
      <c r="F943" s="79">
        <v>2</v>
      </c>
      <c r="G943" s="178" t="s">
        <v>106</v>
      </c>
      <c r="H943" s="234">
        <v>21.54373776462263</v>
      </c>
      <c r="I943" s="328"/>
      <c r="J943" s="328"/>
      <c r="K943" s="328"/>
      <c r="L943" s="234">
        <v>24.748635589351878</v>
      </c>
      <c r="M943" s="328">
        <v>2.8420712320002344</v>
      </c>
      <c r="N943" s="328">
        <v>0.73717963028243771</v>
      </c>
      <c r="O943" s="328">
        <v>1.4929885452199939E-2</v>
      </c>
      <c r="P943" s="328">
        <v>0.52531707453695198</v>
      </c>
    </row>
    <row r="944" spans="2:16" ht="18" customHeight="1">
      <c r="B944" s="284"/>
      <c r="C944" s="311"/>
      <c r="D944" s="312"/>
      <c r="E944" s="289"/>
      <c r="F944" s="79">
        <v>3</v>
      </c>
      <c r="G944" s="178" t="s">
        <v>107</v>
      </c>
      <c r="H944" s="234">
        <v>56.242643144894174</v>
      </c>
      <c r="I944" s="328"/>
      <c r="J944" s="328"/>
      <c r="K944" s="328"/>
      <c r="L944" s="234">
        <v>54.740182731353087</v>
      </c>
      <c r="M944" s="328">
        <v>2.8420712320002344</v>
      </c>
      <c r="N944" s="328">
        <v>0.73717963028243771</v>
      </c>
      <c r="O944" s="328">
        <v>1.4929885452199939E-2</v>
      </c>
      <c r="P944" s="328">
        <v>0.52531707453695198</v>
      </c>
    </row>
    <row r="945" spans="2:16" ht="18" customHeight="1">
      <c r="B945" s="284"/>
      <c r="C945" s="313"/>
      <c r="D945" s="314"/>
      <c r="E945" s="288"/>
      <c r="F945" s="82">
        <v>4</v>
      </c>
      <c r="G945" s="180" t="s">
        <v>108</v>
      </c>
      <c r="H945" s="235">
        <v>19.107475606003259</v>
      </c>
      <c r="I945" s="329"/>
      <c r="J945" s="329"/>
      <c r="K945" s="329"/>
      <c r="L945" s="235">
        <v>16.659374049322363</v>
      </c>
      <c r="M945" s="329">
        <v>2.8420712320002344</v>
      </c>
      <c r="N945" s="329">
        <v>0.73717963028243771</v>
      </c>
      <c r="O945" s="329">
        <v>1.4929885452199939E-2</v>
      </c>
      <c r="P945" s="329">
        <v>0.52531707453695198</v>
      </c>
    </row>
    <row r="946" spans="2:16" ht="18" customHeight="1">
      <c r="B946" s="284"/>
      <c r="C946" s="309" t="s">
        <v>229</v>
      </c>
      <c r="D946" s="310"/>
      <c r="E946" s="287" t="str">
        <f>HYPERLINK("#LAYOUT_m1!lay중YPSY5A05","YPSY5A05")</f>
        <v>YPSY5A05</v>
      </c>
      <c r="F946" s="78">
        <v>1</v>
      </c>
      <c r="G946" s="179" t="s">
        <v>105</v>
      </c>
      <c r="H946" s="233">
        <v>5.7071929328441584</v>
      </c>
      <c r="I946" s="327">
        <v>2.7134647818395674</v>
      </c>
      <c r="J946" s="327">
        <v>1.5514058888053331E-2</v>
      </c>
      <c r="K946" s="327">
        <v>0.57174351374981647</v>
      </c>
      <c r="L946" s="233">
        <v>6.6361731457232285</v>
      </c>
      <c r="M946" s="327">
        <v>2.6865080469379472</v>
      </c>
      <c r="N946" s="327">
        <v>0.78239392185896184</v>
      </c>
      <c r="O946" s="327">
        <v>1.584559739852873E-2</v>
      </c>
      <c r="P946" s="327">
        <v>0.58982132648325303</v>
      </c>
    </row>
    <row r="947" spans="2:16" ht="18" customHeight="1">
      <c r="B947" s="284"/>
      <c r="C947" s="311"/>
      <c r="D947" s="312"/>
      <c r="E947" s="289"/>
      <c r="F947" s="79">
        <v>2</v>
      </c>
      <c r="G947" s="178" t="s">
        <v>106</v>
      </c>
      <c r="H947" s="234">
        <v>32.467109372710077</v>
      </c>
      <c r="I947" s="328"/>
      <c r="J947" s="328"/>
      <c r="K947" s="328"/>
      <c r="L947" s="234">
        <v>31.274396747910242</v>
      </c>
      <c r="M947" s="328">
        <v>2.6865080469379472</v>
      </c>
      <c r="N947" s="328">
        <v>0.78239392185896184</v>
      </c>
      <c r="O947" s="328">
        <v>1.584559739852873E-2</v>
      </c>
      <c r="P947" s="328">
        <v>0.58982132648325303</v>
      </c>
    </row>
    <row r="948" spans="2:16" ht="18" customHeight="1">
      <c r="B948" s="284"/>
      <c r="C948" s="311"/>
      <c r="D948" s="312"/>
      <c r="E948" s="289"/>
      <c r="F948" s="79">
        <v>3</v>
      </c>
      <c r="G948" s="178" t="s">
        <v>107</v>
      </c>
      <c r="H948" s="234">
        <v>46.597724272090879</v>
      </c>
      <c r="I948" s="328"/>
      <c r="J948" s="328"/>
      <c r="K948" s="328"/>
      <c r="L948" s="234">
        <v>48.891882373213882</v>
      </c>
      <c r="M948" s="328">
        <v>2.6865080469379472</v>
      </c>
      <c r="N948" s="328">
        <v>0.78239392185896184</v>
      </c>
      <c r="O948" s="328">
        <v>1.584559739852873E-2</v>
      </c>
      <c r="P948" s="328">
        <v>0.58982132648325303</v>
      </c>
    </row>
    <row r="949" spans="2:16" ht="18" customHeight="1">
      <c r="B949" s="284"/>
      <c r="C949" s="313"/>
      <c r="D949" s="314"/>
      <c r="E949" s="288"/>
      <c r="F949" s="82">
        <v>4</v>
      </c>
      <c r="G949" s="180" t="s">
        <v>108</v>
      </c>
      <c r="H949" s="235">
        <v>15.227973422354886</v>
      </c>
      <c r="I949" s="329"/>
      <c r="J949" s="329"/>
      <c r="K949" s="329"/>
      <c r="L949" s="235">
        <v>13.197547733152671</v>
      </c>
      <c r="M949" s="329">
        <v>2.6865080469379472</v>
      </c>
      <c r="N949" s="329">
        <v>0.78239392185896184</v>
      </c>
      <c r="O949" s="329">
        <v>1.584559739852873E-2</v>
      </c>
      <c r="P949" s="329">
        <v>0.58982132648325303</v>
      </c>
    </row>
    <row r="950" spans="2:16" ht="18" customHeight="1">
      <c r="B950" s="284"/>
      <c r="C950" s="309" t="s">
        <v>230</v>
      </c>
      <c r="D950" s="310"/>
      <c r="E950" s="287" t="str">
        <f>HYPERLINK("#LAYOUT_m1!lay중YPSY5A06","YPSY5A06")</f>
        <v>YPSY5A06</v>
      </c>
      <c r="F950" s="78">
        <v>1</v>
      </c>
      <c r="G950" s="179" t="s">
        <v>105</v>
      </c>
      <c r="H950" s="233">
        <v>3.2086165239069029</v>
      </c>
      <c r="I950" s="327">
        <v>2.8227291902979097</v>
      </c>
      <c r="J950" s="327">
        <v>1.4323977493871723E-2</v>
      </c>
      <c r="K950" s="327">
        <v>0.50745135392743723</v>
      </c>
      <c r="L950" s="233">
        <v>4.8604528430424585</v>
      </c>
      <c r="M950" s="327">
        <v>2.7798937711308294</v>
      </c>
      <c r="N950" s="327">
        <v>0.75303404811250185</v>
      </c>
      <c r="O950" s="327">
        <v>1.5250980382649229E-2</v>
      </c>
      <c r="P950" s="327">
        <v>0.54861738031253238</v>
      </c>
    </row>
    <row r="951" spans="2:16" ht="18" customHeight="1">
      <c r="B951" s="284"/>
      <c r="C951" s="311"/>
      <c r="D951" s="312"/>
      <c r="E951" s="289"/>
      <c r="F951" s="79">
        <v>2</v>
      </c>
      <c r="G951" s="178" t="s">
        <v>106</v>
      </c>
      <c r="H951" s="234">
        <v>27.369013991664506</v>
      </c>
      <c r="I951" s="328"/>
      <c r="J951" s="328"/>
      <c r="K951" s="328"/>
      <c r="L951" s="234">
        <v>27.187674774382888</v>
      </c>
      <c r="M951" s="328">
        <v>2.7798937711308294</v>
      </c>
      <c r="N951" s="328">
        <v>0.75303404811250185</v>
      </c>
      <c r="O951" s="328">
        <v>1.5250980382649229E-2</v>
      </c>
      <c r="P951" s="328">
        <v>0.54861738031253238</v>
      </c>
    </row>
    <row r="952" spans="2:16" ht="18" customHeight="1">
      <c r="B952" s="284"/>
      <c r="C952" s="311"/>
      <c r="D952" s="312"/>
      <c r="E952" s="289"/>
      <c r="F952" s="79">
        <v>3</v>
      </c>
      <c r="G952" s="178" t="s">
        <v>107</v>
      </c>
      <c r="H952" s="234">
        <v>53.363203415160029</v>
      </c>
      <c r="I952" s="328"/>
      <c r="J952" s="328"/>
      <c r="K952" s="328"/>
      <c r="L952" s="234">
        <v>53.053914809022032</v>
      </c>
      <c r="M952" s="328">
        <v>2.7798937711308294</v>
      </c>
      <c r="N952" s="328">
        <v>0.75303404811250185</v>
      </c>
      <c r="O952" s="328">
        <v>1.5250980382649229E-2</v>
      </c>
      <c r="P952" s="328">
        <v>0.54861738031253238</v>
      </c>
    </row>
    <row r="953" spans="2:16" ht="18" customHeight="1">
      <c r="B953" s="284"/>
      <c r="C953" s="313"/>
      <c r="D953" s="314"/>
      <c r="E953" s="288"/>
      <c r="F953" s="82">
        <v>4</v>
      </c>
      <c r="G953" s="180" t="s">
        <v>108</v>
      </c>
      <c r="H953" s="235">
        <v>16.059166069268556</v>
      </c>
      <c r="I953" s="329"/>
      <c r="J953" s="329"/>
      <c r="K953" s="329"/>
      <c r="L953" s="235">
        <v>14.897957573552612</v>
      </c>
      <c r="M953" s="329">
        <v>2.7798937711308294</v>
      </c>
      <c r="N953" s="329">
        <v>0.75303404811250185</v>
      </c>
      <c r="O953" s="329">
        <v>1.5250980382649229E-2</v>
      </c>
      <c r="P953" s="329">
        <v>0.54861738031253238</v>
      </c>
    </row>
    <row r="954" spans="2:16" ht="18" customHeight="1">
      <c r="B954" s="284"/>
      <c r="C954" s="309" t="s">
        <v>231</v>
      </c>
      <c r="D954" s="310"/>
      <c r="E954" s="287" t="str">
        <f>HYPERLINK("#LAYOUT_m1!lay중YPSY5A07","YPSY5A07")</f>
        <v>YPSY5A07</v>
      </c>
      <c r="F954" s="78">
        <v>1</v>
      </c>
      <c r="G954" s="179" t="s">
        <v>105</v>
      </c>
      <c r="H954" s="233">
        <v>1.0915205344939674</v>
      </c>
      <c r="I954" s="327">
        <v>3.2389421666073805</v>
      </c>
      <c r="J954" s="327">
        <v>1.2123883463023491E-2</v>
      </c>
      <c r="K954" s="327">
        <v>0.374316145191398</v>
      </c>
      <c r="L954" s="233">
        <v>2.5920850374605022</v>
      </c>
      <c r="M954" s="327">
        <v>3.1520051467169359</v>
      </c>
      <c r="N954" s="327">
        <v>0.69270474117008451</v>
      </c>
      <c r="O954" s="327">
        <v>1.4029148409734012E-2</v>
      </c>
      <c r="P954" s="327">
        <v>0.44508646898456</v>
      </c>
    </row>
    <row r="955" spans="2:16" ht="18" customHeight="1">
      <c r="B955" s="284"/>
      <c r="C955" s="311"/>
      <c r="D955" s="312"/>
      <c r="E955" s="289"/>
      <c r="F955" s="79">
        <v>2</v>
      </c>
      <c r="G955" s="178" t="s">
        <v>106</v>
      </c>
      <c r="H955" s="234">
        <v>6.6606658419239615</v>
      </c>
      <c r="I955" s="328"/>
      <c r="J955" s="328"/>
      <c r="K955" s="328"/>
      <c r="L955" s="234">
        <v>9.7609178549134263</v>
      </c>
      <c r="M955" s="328">
        <v>3.1520051467169359</v>
      </c>
      <c r="N955" s="328">
        <v>0.69270474117008451</v>
      </c>
      <c r="O955" s="328">
        <v>1.4029148409734012E-2</v>
      </c>
      <c r="P955" s="328">
        <v>0.44508646898456</v>
      </c>
    </row>
    <row r="956" spans="2:16" ht="18" customHeight="1">
      <c r="B956" s="284"/>
      <c r="C956" s="311"/>
      <c r="D956" s="312"/>
      <c r="E956" s="289"/>
      <c r="F956" s="79">
        <v>3</v>
      </c>
      <c r="G956" s="178" t="s">
        <v>107</v>
      </c>
      <c r="H956" s="234">
        <v>59.509890051934413</v>
      </c>
      <c r="I956" s="328"/>
      <c r="J956" s="328"/>
      <c r="K956" s="328"/>
      <c r="L956" s="234">
        <v>57.501394506096418</v>
      </c>
      <c r="M956" s="328">
        <v>3.1520051467169359</v>
      </c>
      <c r="N956" s="328">
        <v>0.69270474117008451</v>
      </c>
      <c r="O956" s="328">
        <v>1.4029148409734012E-2</v>
      </c>
      <c r="P956" s="328">
        <v>0.44508646898456</v>
      </c>
    </row>
    <row r="957" spans="2:16" ht="18" customHeight="1">
      <c r="B957" s="284"/>
      <c r="C957" s="313"/>
      <c r="D957" s="314"/>
      <c r="E957" s="288"/>
      <c r="F957" s="82">
        <v>4</v>
      </c>
      <c r="G957" s="180" t="s">
        <v>108</v>
      </c>
      <c r="H957" s="235">
        <v>32.737923571647677</v>
      </c>
      <c r="I957" s="329"/>
      <c r="J957" s="329"/>
      <c r="K957" s="329"/>
      <c r="L957" s="235">
        <v>30.145602601529639</v>
      </c>
      <c r="M957" s="329">
        <v>3.1520051467169359</v>
      </c>
      <c r="N957" s="329">
        <v>0.69270474117008451</v>
      </c>
      <c r="O957" s="329">
        <v>1.4029148409734012E-2</v>
      </c>
      <c r="P957" s="329">
        <v>0.44508646898456</v>
      </c>
    </row>
    <row r="958" spans="2:16" ht="18" customHeight="1">
      <c r="B958" s="284"/>
      <c r="C958" s="309" t="s">
        <v>232</v>
      </c>
      <c r="D958" s="310"/>
      <c r="E958" s="287" t="str">
        <f>HYPERLINK("#LAYOUT_m1!lay중YPSY5A08","YPSY5A08")</f>
        <v>YPSY5A08</v>
      </c>
      <c r="F958" s="78">
        <v>1</v>
      </c>
      <c r="G958" s="179" t="s">
        <v>105</v>
      </c>
      <c r="H958" s="233">
        <v>2.3921478350303711</v>
      </c>
      <c r="I958" s="327">
        <v>3.0639645112285199</v>
      </c>
      <c r="J958" s="327">
        <v>1.3745121610162078E-2</v>
      </c>
      <c r="K958" s="327">
        <v>0.44860577071928526</v>
      </c>
      <c r="L958" s="233">
        <v>2.1925772551516034</v>
      </c>
      <c r="M958" s="327">
        <v>2.980735218546998</v>
      </c>
      <c r="N958" s="327">
        <v>0.68868515367388061</v>
      </c>
      <c r="O958" s="327">
        <v>1.394774086886039E-2</v>
      </c>
      <c r="P958" s="327">
        <v>0.46792954912846679</v>
      </c>
    </row>
    <row r="959" spans="2:16" ht="18" customHeight="1">
      <c r="B959" s="284"/>
      <c r="C959" s="311"/>
      <c r="D959" s="312"/>
      <c r="E959" s="289"/>
      <c r="F959" s="79">
        <v>2</v>
      </c>
      <c r="G959" s="178" t="s">
        <v>106</v>
      </c>
      <c r="H959" s="234">
        <v>14.286681116034361</v>
      </c>
      <c r="I959" s="328"/>
      <c r="J959" s="328"/>
      <c r="K959" s="328"/>
      <c r="L959" s="234">
        <v>18.108698968189625</v>
      </c>
      <c r="M959" s="328">
        <v>2.980735218546998</v>
      </c>
      <c r="N959" s="328">
        <v>0.68868515367388061</v>
      </c>
      <c r="O959" s="328">
        <v>1.394774086886039E-2</v>
      </c>
      <c r="P959" s="328">
        <v>0.46792954912846679</v>
      </c>
    </row>
    <row r="960" spans="2:16" ht="18" customHeight="1">
      <c r="B960" s="284"/>
      <c r="C960" s="311"/>
      <c r="D960" s="312"/>
      <c r="E960" s="289"/>
      <c r="F960" s="79">
        <v>3</v>
      </c>
      <c r="G960" s="178" t="s">
        <v>107</v>
      </c>
      <c r="H960" s="234">
        <v>57.853743139989746</v>
      </c>
      <c r="I960" s="328"/>
      <c r="J960" s="328"/>
      <c r="K960" s="328"/>
      <c r="L960" s="234">
        <v>59.131348443464205</v>
      </c>
      <c r="M960" s="328">
        <v>2.980735218546998</v>
      </c>
      <c r="N960" s="328">
        <v>0.68868515367388061</v>
      </c>
      <c r="O960" s="328">
        <v>1.394774086886039E-2</v>
      </c>
      <c r="P960" s="328">
        <v>0.46792954912846679</v>
      </c>
    </row>
    <row r="961" spans="2:16" ht="18" customHeight="1">
      <c r="B961" s="284"/>
      <c r="C961" s="313"/>
      <c r="D961" s="314"/>
      <c r="E961" s="288"/>
      <c r="F961" s="82">
        <v>4</v>
      </c>
      <c r="G961" s="180" t="s">
        <v>108</v>
      </c>
      <c r="H961" s="235">
        <v>25.467427908945531</v>
      </c>
      <c r="I961" s="329"/>
      <c r="J961" s="329"/>
      <c r="K961" s="329"/>
      <c r="L961" s="235">
        <v>20.567375333194555</v>
      </c>
      <c r="M961" s="329">
        <v>2.980735218546998</v>
      </c>
      <c r="N961" s="329">
        <v>0.68868515367388061</v>
      </c>
      <c r="O961" s="329">
        <v>1.394774086886039E-2</v>
      </c>
      <c r="P961" s="329">
        <v>0.46792954912846679</v>
      </c>
    </row>
    <row r="962" spans="2:16" ht="18" customHeight="1">
      <c r="B962" s="284"/>
      <c r="C962" s="309" t="s">
        <v>233</v>
      </c>
      <c r="D962" s="310"/>
      <c r="E962" s="287" t="str">
        <f>HYPERLINK("#LAYOUT_m1!lay중YPSY5A09","YPSY5A09")</f>
        <v>YPSY5A09</v>
      </c>
      <c r="F962" s="78">
        <v>1</v>
      </c>
      <c r="G962" s="179" t="s">
        <v>105</v>
      </c>
      <c r="H962" s="233">
        <v>2.0045147534853625</v>
      </c>
      <c r="I962" s="327">
        <v>3.0896516668732743</v>
      </c>
      <c r="J962" s="327">
        <v>1.3527232079717936E-2</v>
      </c>
      <c r="K962" s="327">
        <v>0.43782385648047778</v>
      </c>
      <c r="L962" s="233">
        <v>1.8969287916391231</v>
      </c>
      <c r="M962" s="327">
        <v>3.0219791149447244</v>
      </c>
      <c r="N962" s="327">
        <v>0.68622875442966935</v>
      </c>
      <c r="O962" s="327">
        <v>1.3897992126716096E-2</v>
      </c>
      <c r="P962" s="327">
        <v>0.45989702767917068</v>
      </c>
    </row>
    <row r="963" spans="2:16" ht="18" customHeight="1">
      <c r="B963" s="284"/>
      <c r="C963" s="311"/>
      <c r="D963" s="312"/>
      <c r="E963" s="289"/>
      <c r="F963" s="79">
        <v>2</v>
      </c>
      <c r="G963" s="178" t="s">
        <v>106</v>
      </c>
      <c r="H963" s="234">
        <v>13.593282166293601</v>
      </c>
      <c r="I963" s="328"/>
      <c r="J963" s="328"/>
      <c r="K963" s="328"/>
      <c r="L963" s="234">
        <v>16.770249413580473</v>
      </c>
      <c r="M963" s="328">
        <v>3.0219791149447244</v>
      </c>
      <c r="N963" s="328">
        <v>0.68622875442966935</v>
      </c>
      <c r="O963" s="328">
        <v>1.3897992126716096E-2</v>
      </c>
      <c r="P963" s="328">
        <v>0.45989702767917068</v>
      </c>
    </row>
    <row r="964" spans="2:16" ht="18" customHeight="1">
      <c r="B964" s="284"/>
      <c r="C964" s="311"/>
      <c r="D964" s="312"/>
      <c r="E964" s="289"/>
      <c r="F964" s="79">
        <v>3</v>
      </c>
      <c r="G964" s="178" t="s">
        <v>107</v>
      </c>
      <c r="H964" s="234">
        <v>57.834724719630579</v>
      </c>
      <c r="I964" s="328"/>
      <c r="J964" s="328"/>
      <c r="K964" s="328"/>
      <c r="L964" s="234">
        <v>58.570803303447576</v>
      </c>
      <c r="M964" s="328">
        <v>3.0219791149447244</v>
      </c>
      <c r="N964" s="328">
        <v>0.68622875442966935</v>
      </c>
      <c r="O964" s="328">
        <v>1.3897992126716096E-2</v>
      </c>
      <c r="P964" s="328">
        <v>0.45989702767917068</v>
      </c>
    </row>
    <row r="965" spans="2:16" ht="18" customHeight="1">
      <c r="B965" s="284"/>
      <c r="C965" s="313"/>
      <c r="D965" s="314"/>
      <c r="E965" s="288"/>
      <c r="F965" s="82">
        <v>4</v>
      </c>
      <c r="G965" s="180" t="s">
        <v>108</v>
      </c>
      <c r="H965" s="235">
        <v>26.567478360590457</v>
      </c>
      <c r="I965" s="329"/>
      <c r="J965" s="329"/>
      <c r="K965" s="329"/>
      <c r="L965" s="235">
        <v>22.762018491332821</v>
      </c>
      <c r="M965" s="329">
        <v>3.0219791149447244</v>
      </c>
      <c r="N965" s="329">
        <v>0.68622875442966935</v>
      </c>
      <c r="O965" s="329">
        <v>1.3897992126716096E-2</v>
      </c>
      <c r="P965" s="329">
        <v>0.45989702767917068</v>
      </c>
    </row>
    <row r="966" spans="2:16" ht="18" customHeight="1">
      <c r="B966" s="284"/>
      <c r="C966" s="309" t="s">
        <v>234</v>
      </c>
      <c r="D966" s="310"/>
      <c r="E966" s="287" t="str">
        <f>HYPERLINK("#LAYOUT_m1!lay중YPSY5A10","YPSY5A10")</f>
        <v>YPSY5A10</v>
      </c>
      <c r="F966" s="78">
        <v>1</v>
      </c>
      <c r="G966" s="179" t="s">
        <v>105</v>
      </c>
      <c r="H966" s="233">
        <v>2.0855444942755046</v>
      </c>
      <c r="I966" s="327">
        <v>3.0533684236954803</v>
      </c>
      <c r="J966" s="327">
        <v>1.3513762560499161E-2</v>
      </c>
      <c r="K966" s="327">
        <v>0.44258539046996193</v>
      </c>
      <c r="L966" s="233">
        <v>2.6884708136201096</v>
      </c>
      <c r="M966" s="327">
        <v>2.9991728750182238</v>
      </c>
      <c r="N966" s="327">
        <v>0.68902437046414711</v>
      </c>
      <c r="O966" s="327">
        <v>1.3954610928224609E-2</v>
      </c>
      <c r="P966" s="327">
        <v>0.46528197972382018</v>
      </c>
    </row>
    <row r="967" spans="2:16" ht="18" customHeight="1">
      <c r="B967" s="284"/>
      <c r="C967" s="311"/>
      <c r="D967" s="312"/>
      <c r="E967" s="289"/>
      <c r="F967" s="79">
        <v>2</v>
      </c>
      <c r="G967" s="178" t="s">
        <v>106</v>
      </c>
      <c r="H967" s="234">
        <v>14.857743996990669</v>
      </c>
      <c r="I967" s="328"/>
      <c r="J967" s="328"/>
      <c r="K967" s="328"/>
      <c r="L967" s="234">
        <v>15.703970611382481</v>
      </c>
      <c r="M967" s="328">
        <v>2.9991728750182238</v>
      </c>
      <c r="N967" s="328">
        <v>0.68902437046414711</v>
      </c>
      <c r="O967" s="328">
        <v>1.3954610928224609E-2</v>
      </c>
      <c r="P967" s="328">
        <v>0.46528197972382018</v>
      </c>
    </row>
    <row r="968" spans="2:16" ht="18" customHeight="1">
      <c r="B968" s="284"/>
      <c r="C968" s="311"/>
      <c r="D968" s="312"/>
      <c r="E968" s="289"/>
      <c r="F968" s="79">
        <v>3</v>
      </c>
      <c r="G968" s="178" t="s">
        <v>107</v>
      </c>
      <c r="H968" s="234">
        <v>58.691036153646145</v>
      </c>
      <c r="I968" s="328"/>
      <c r="J968" s="328"/>
      <c r="K968" s="328"/>
      <c r="L968" s="234">
        <v>60.609358834550555</v>
      </c>
      <c r="M968" s="328">
        <v>2.9991728750182238</v>
      </c>
      <c r="N968" s="328">
        <v>0.68902437046414711</v>
      </c>
      <c r="O968" s="328">
        <v>1.3954610928224609E-2</v>
      </c>
      <c r="P968" s="328">
        <v>0.46528197972382018</v>
      </c>
    </row>
    <row r="969" spans="2:16" ht="18" customHeight="1">
      <c r="B969" s="284"/>
      <c r="C969" s="313"/>
      <c r="D969" s="314"/>
      <c r="E969" s="288"/>
      <c r="F969" s="82">
        <v>4</v>
      </c>
      <c r="G969" s="180" t="s">
        <v>108</v>
      </c>
      <c r="H969" s="235">
        <v>24.365675355087678</v>
      </c>
      <c r="I969" s="329"/>
      <c r="J969" s="329"/>
      <c r="K969" s="329"/>
      <c r="L969" s="235">
        <v>20.998199740446843</v>
      </c>
      <c r="M969" s="329">
        <v>2.9991728750182238</v>
      </c>
      <c r="N969" s="329">
        <v>0.68902437046414711</v>
      </c>
      <c r="O969" s="329">
        <v>1.3954610928224609E-2</v>
      </c>
      <c r="P969" s="329">
        <v>0.46528197972382018</v>
      </c>
    </row>
    <row r="970" spans="2:16" ht="18" customHeight="1">
      <c r="B970" s="284"/>
      <c r="C970" s="309" t="s">
        <v>235</v>
      </c>
      <c r="D970" s="310"/>
      <c r="E970" s="287" t="str">
        <f>HYPERLINK("#LAYOUT_m1!lay중YPSY5A11","YPSY5A11")</f>
        <v>YPSY5A11</v>
      </c>
      <c r="F970" s="78">
        <v>1</v>
      </c>
      <c r="G970" s="179" t="s">
        <v>105</v>
      </c>
      <c r="H970" s="233">
        <v>2.1704756477470415</v>
      </c>
      <c r="I970" s="327">
        <v>2.9883027347873461</v>
      </c>
      <c r="J970" s="327">
        <v>1.3604161909914599E-2</v>
      </c>
      <c r="K970" s="327">
        <v>0.45524711240083593</v>
      </c>
      <c r="L970" s="233">
        <v>2.4725283028073002</v>
      </c>
      <c r="M970" s="327">
        <v>2.9515599503159322</v>
      </c>
      <c r="N970" s="327">
        <v>0.68305604954565624</v>
      </c>
      <c r="O970" s="327">
        <v>1.3833736254000509E-2</v>
      </c>
      <c r="P970" s="327">
        <v>0.46869236901387573</v>
      </c>
    </row>
    <row r="971" spans="2:16" ht="18" customHeight="1">
      <c r="B971" s="284"/>
      <c r="C971" s="311"/>
      <c r="D971" s="312"/>
      <c r="E971" s="289"/>
      <c r="F971" s="79">
        <v>2</v>
      </c>
      <c r="G971" s="178" t="s">
        <v>106</v>
      </c>
      <c r="H971" s="234">
        <v>18.038006111617925</v>
      </c>
      <c r="I971" s="328"/>
      <c r="J971" s="328"/>
      <c r="K971" s="328"/>
      <c r="L971" s="234">
        <v>18.440449224559359</v>
      </c>
      <c r="M971" s="328">
        <v>2.9515599503159322</v>
      </c>
      <c r="N971" s="328">
        <v>0.68305604954565624</v>
      </c>
      <c r="O971" s="328">
        <v>1.3833736254000509E-2</v>
      </c>
      <c r="P971" s="328">
        <v>0.46869236901387573</v>
      </c>
    </row>
    <row r="972" spans="2:16" ht="18" customHeight="1">
      <c r="B972" s="284"/>
      <c r="C972" s="311"/>
      <c r="D972" s="312"/>
      <c r="E972" s="289"/>
      <c r="F972" s="79">
        <v>3</v>
      </c>
      <c r="G972" s="178" t="s">
        <v>107</v>
      </c>
      <c r="H972" s="234">
        <v>58.582287354789798</v>
      </c>
      <c r="I972" s="328"/>
      <c r="J972" s="328"/>
      <c r="K972" s="328"/>
      <c r="L972" s="234">
        <v>60.545521610864689</v>
      </c>
      <c r="M972" s="328">
        <v>2.9515599503159322</v>
      </c>
      <c r="N972" s="328">
        <v>0.68305604954565624</v>
      </c>
      <c r="O972" s="328">
        <v>1.3833736254000509E-2</v>
      </c>
      <c r="P972" s="328">
        <v>0.46869236901387573</v>
      </c>
    </row>
    <row r="973" spans="2:16" ht="18" customHeight="1">
      <c r="B973" s="284"/>
      <c r="C973" s="313"/>
      <c r="D973" s="314"/>
      <c r="E973" s="288"/>
      <c r="F973" s="82">
        <v>4</v>
      </c>
      <c r="G973" s="180" t="s">
        <v>108</v>
      </c>
      <c r="H973" s="235">
        <v>21.209230885845233</v>
      </c>
      <c r="I973" s="329"/>
      <c r="J973" s="329"/>
      <c r="K973" s="329"/>
      <c r="L973" s="235">
        <v>18.541500861768647</v>
      </c>
      <c r="M973" s="329">
        <v>2.9515599503159322</v>
      </c>
      <c r="N973" s="329">
        <v>0.68305604954565624</v>
      </c>
      <c r="O973" s="329">
        <v>1.3833736254000509E-2</v>
      </c>
      <c r="P973" s="329">
        <v>0.46869236901387573</v>
      </c>
    </row>
    <row r="974" spans="2:16" ht="18" customHeight="1">
      <c r="B974" s="284"/>
      <c r="C974" s="309" t="s">
        <v>236</v>
      </c>
      <c r="D974" s="310"/>
      <c r="E974" s="287" t="str">
        <f>HYPERLINK("#LAYOUT_m1!lay중YPSY5A12","YPSY5A12")</f>
        <v>YPSY5A12</v>
      </c>
      <c r="F974" s="78">
        <v>1</v>
      </c>
      <c r="G974" s="179" t="s">
        <v>105</v>
      </c>
      <c r="H974" s="233">
        <v>2.5422128436795268</v>
      </c>
      <c r="I974" s="327">
        <v>2.9388431293513477</v>
      </c>
      <c r="J974" s="327">
        <v>1.4355975467635472E-2</v>
      </c>
      <c r="K974" s="327">
        <v>0.48849070317013032</v>
      </c>
      <c r="L974" s="233">
        <v>2.8994902566604366</v>
      </c>
      <c r="M974" s="327">
        <v>2.8831654988060658</v>
      </c>
      <c r="N974" s="327">
        <v>0.71391943750602249</v>
      </c>
      <c r="O974" s="327">
        <v>1.4458803507606711E-2</v>
      </c>
      <c r="P974" s="327">
        <v>0.50149058434537186</v>
      </c>
    </row>
    <row r="975" spans="2:16" ht="18" customHeight="1">
      <c r="B975" s="284"/>
      <c r="C975" s="311"/>
      <c r="D975" s="312"/>
      <c r="E975" s="289"/>
      <c r="F975" s="79">
        <v>2</v>
      </c>
      <c r="G975" s="178" t="s">
        <v>106</v>
      </c>
      <c r="H975" s="234">
        <v>22.297085536931696</v>
      </c>
      <c r="I975" s="328"/>
      <c r="J975" s="328"/>
      <c r="K975" s="328"/>
      <c r="L975" s="234">
        <v>23.299364635678046</v>
      </c>
      <c r="M975" s="328">
        <v>2.8831654988060658</v>
      </c>
      <c r="N975" s="328">
        <v>0.71391943750602249</v>
      </c>
      <c r="O975" s="328">
        <v>1.4458803507606711E-2</v>
      </c>
      <c r="P975" s="328">
        <v>0.50149058434537186</v>
      </c>
    </row>
    <row r="976" spans="2:16" ht="18" customHeight="1">
      <c r="B976" s="284"/>
      <c r="C976" s="311"/>
      <c r="D976" s="312"/>
      <c r="E976" s="289"/>
      <c r="F976" s="79">
        <v>3</v>
      </c>
      <c r="G976" s="178" t="s">
        <v>107</v>
      </c>
      <c r="H976" s="234">
        <v>53.894877459964071</v>
      </c>
      <c r="I976" s="328"/>
      <c r="J976" s="328"/>
      <c r="K976" s="328"/>
      <c r="L976" s="234">
        <v>56.386250078053891</v>
      </c>
      <c r="M976" s="328">
        <v>2.8831654988060658</v>
      </c>
      <c r="N976" s="328">
        <v>0.71391943750602249</v>
      </c>
      <c r="O976" s="328">
        <v>1.4458803507606711E-2</v>
      </c>
      <c r="P976" s="328">
        <v>0.50149058434537186</v>
      </c>
    </row>
    <row r="977" spans="2:16" ht="18" customHeight="1">
      <c r="B977" s="284"/>
      <c r="C977" s="313"/>
      <c r="D977" s="314"/>
      <c r="E977" s="288"/>
      <c r="F977" s="82">
        <v>4</v>
      </c>
      <c r="G977" s="180" t="s">
        <v>108</v>
      </c>
      <c r="H977" s="235">
        <v>21.265824159424753</v>
      </c>
      <c r="I977" s="329"/>
      <c r="J977" s="329"/>
      <c r="K977" s="329"/>
      <c r="L977" s="235">
        <v>17.414895029607621</v>
      </c>
      <c r="M977" s="329">
        <v>2.8831654988060658</v>
      </c>
      <c r="N977" s="329">
        <v>0.71391943750602249</v>
      </c>
      <c r="O977" s="329">
        <v>1.4458803507606711E-2</v>
      </c>
      <c r="P977" s="329">
        <v>0.50149058434537186</v>
      </c>
    </row>
    <row r="978" spans="2:16" ht="18" customHeight="1">
      <c r="B978" s="284"/>
      <c r="C978" s="309" t="s">
        <v>237</v>
      </c>
      <c r="D978" s="310"/>
      <c r="E978" s="287" t="str">
        <f>HYPERLINK("#LAYOUT_m1!lay중YPSY5A13","YPSY5A13")</f>
        <v>YPSY5A13</v>
      </c>
      <c r="F978" s="78">
        <v>1</v>
      </c>
      <c r="G978" s="179" t="s">
        <v>105</v>
      </c>
      <c r="H978" s="233">
        <v>2.1515318570459172</v>
      </c>
      <c r="I978" s="327">
        <v>3.0680999538598321</v>
      </c>
      <c r="J978" s="327">
        <v>1.3171642555694855E-2</v>
      </c>
      <c r="K978" s="327">
        <v>0.42930943430067314</v>
      </c>
      <c r="L978" s="233">
        <v>2.2318715503429321</v>
      </c>
      <c r="M978" s="327">
        <v>3.0118740927140264</v>
      </c>
      <c r="N978" s="327">
        <v>0.65577235490065799</v>
      </c>
      <c r="O978" s="327">
        <v>1.3281167491884063E-2</v>
      </c>
      <c r="P978" s="327">
        <v>0.44096024877043527</v>
      </c>
    </row>
    <row r="979" spans="2:16" ht="18" customHeight="1">
      <c r="B979" s="284"/>
      <c r="C979" s="311"/>
      <c r="D979" s="312"/>
      <c r="E979" s="289"/>
      <c r="F979" s="79">
        <v>2</v>
      </c>
      <c r="G979" s="178" t="s">
        <v>106</v>
      </c>
      <c r="H979" s="234">
        <v>12.830848019417145</v>
      </c>
      <c r="I979" s="328"/>
      <c r="J979" s="328"/>
      <c r="K979" s="328"/>
      <c r="L979" s="234">
        <v>14.210780019258621</v>
      </c>
      <c r="M979" s="328">
        <v>3.0118740927140264</v>
      </c>
      <c r="N979" s="328">
        <v>0.65577235490065799</v>
      </c>
      <c r="O979" s="328">
        <v>1.3281167491884063E-2</v>
      </c>
      <c r="P979" s="328">
        <v>0.44096024877043527</v>
      </c>
    </row>
    <row r="980" spans="2:16" ht="18" customHeight="1">
      <c r="B980" s="284"/>
      <c r="C980" s="311"/>
      <c r="D980" s="312"/>
      <c r="E980" s="289"/>
      <c r="F980" s="79">
        <v>3</v>
      </c>
      <c r="G980" s="178" t="s">
        <v>107</v>
      </c>
      <c r="H980" s="234">
        <v>61.07371300404585</v>
      </c>
      <c r="I980" s="328"/>
      <c r="J980" s="328"/>
      <c r="K980" s="328"/>
      <c r="L980" s="234">
        <v>63.695416039049547</v>
      </c>
      <c r="M980" s="328">
        <v>3.0118740927140264</v>
      </c>
      <c r="N980" s="328">
        <v>0.65577235490065799</v>
      </c>
      <c r="O980" s="328">
        <v>1.3281167491884063E-2</v>
      </c>
      <c r="P980" s="328">
        <v>0.44096024877043527</v>
      </c>
    </row>
    <row r="981" spans="2:16" ht="18" customHeight="1">
      <c r="B981" s="284"/>
      <c r="C981" s="313"/>
      <c r="D981" s="314"/>
      <c r="E981" s="288"/>
      <c r="F981" s="82">
        <v>4</v>
      </c>
      <c r="G981" s="180" t="s">
        <v>108</v>
      </c>
      <c r="H981" s="235">
        <v>23.943907119491115</v>
      </c>
      <c r="I981" s="329"/>
      <c r="J981" s="329"/>
      <c r="K981" s="329"/>
      <c r="L981" s="235">
        <v>19.86193239134888</v>
      </c>
      <c r="M981" s="329">
        <v>3.0118740927140264</v>
      </c>
      <c r="N981" s="329">
        <v>0.65577235490065799</v>
      </c>
      <c r="O981" s="329">
        <v>1.3281167491884063E-2</v>
      </c>
      <c r="P981" s="329">
        <v>0.44096024877043527</v>
      </c>
    </row>
    <row r="982" spans="2:16" ht="18" customHeight="1">
      <c r="B982" s="284"/>
      <c r="C982" s="309" t="s">
        <v>238</v>
      </c>
      <c r="D982" s="310"/>
      <c r="E982" s="287" t="str">
        <f>HYPERLINK("#LAYOUT_m1!lay중YPSY5A14","YPSY5A14")</f>
        <v>YPSY5A14</v>
      </c>
      <c r="F982" s="78">
        <v>1</v>
      </c>
      <c r="G982" s="179" t="s">
        <v>105</v>
      </c>
      <c r="H982" s="233">
        <v>1.6452503517503456</v>
      </c>
      <c r="I982" s="327">
        <v>3.0420426744916442</v>
      </c>
      <c r="J982" s="327">
        <v>1.288981543587517E-2</v>
      </c>
      <c r="K982" s="327">
        <v>0.42372237391538847</v>
      </c>
      <c r="L982" s="233">
        <v>2.9058770639919564</v>
      </c>
      <c r="M982" s="327">
        <v>2.9564004423533761</v>
      </c>
      <c r="N982" s="327">
        <v>0.67343624872376784</v>
      </c>
      <c r="O982" s="327">
        <v>1.363890921531965E-2</v>
      </c>
      <c r="P982" s="327">
        <v>0.46133497411002655</v>
      </c>
    </row>
    <row r="983" spans="2:16" ht="18" customHeight="1">
      <c r="B983" s="284"/>
      <c r="C983" s="311"/>
      <c r="D983" s="312"/>
      <c r="E983" s="289"/>
      <c r="F983" s="79">
        <v>2</v>
      </c>
      <c r="G983" s="178" t="s">
        <v>106</v>
      </c>
      <c r="H983" s="234">
        <v>14.558267962224065</v>
      </c>
      <c r="I983" s="328"/>
      <c r="J983" s="328"/>
      <c r="K983" s="328"/>
      <c r="L983" s="234">
        <v>16.223910824231663</v>
      </c>
      <c r="M983" s="328">
        <v>2.9564004423533761</v>
      </c>
      <c r="N983" s="328">
        <v>0.67343624872376784</v>
      </c>
      <c r="O983" s="328">
        <v>1.363890921531965E-2</v>
      </c>
      <c r="P983" s="328">
        <v>0.46133497411002655</v>
      </c>
    </row>
    <row r="984" spans="2:16" ht="18" customHeight="1">
      <c r="B984" s="284"/>
      <c r="C984" s="311"/>
      <c r="D984" s="312"/>
      <c r="E984" s="289"/>
      <c r="F984" s="79">
        <v>3</v>
      </c>
      <c r="G984" s="178" t="s">
        <v>107</v>
      </c>
      <c r="H984" s="234">
        <v>61.743445571137805</v>
      </c>
      <c r="I984" s="328"/>
      <c r="J984" s="328"/>
      <c r="K984" s="328"/>
      <c r="L984" s="234">
        <v>63.194502924221801</v>
      </c>
      <c r="M984" s="328">
        <v>2.9564004423533761</v>
      </c>
      <c r="N984" s="328">
        <v>0.67343624872376784</v>
      </c>
      <c r="O984" s="328">
        <v>1.363890921531965E-2</v>
      </c>
      <c r="P984" s="328">
        <v>0.46133497411002655</v>
      </c>
    </row>
    <row r="985" spans="2:16" ht="18" customHeight="1">
      <c r="B985" s="286"/>
      <c r="C985" s="313"/>
      <c r="D985" s="314"/>
      <c r="E985" s="288"/>
      <c r="F985" s="82">
        <v>4</v>
      </c>
      <c r="G985" s="180" t="s">
        <v>108</v>
      </c>
      <c r="H985" s="235">
        <v>22.053036114887806</v>
      </c>
      <c r="I985" s="329"/>
      <c r="J985" s="329"/>
      <c r="K985" s="329"/>
      <c r="L985" s="235">
        <v>17.67570918755461</v>
      </c>
      <c r="M985" s="329">
        <v>2.9564004423533761</v>
      </c>
      <c r="N985" s="329">
        <v>0.67343624872376784</v>
      </c>
      <c r="O985" s="329">
        <v>1.363890921531965E-2</v>
      </c>
      <c r="P985" s="329">
        <v>0.46133497411002655</v>
      </c>
    </row>
    <row r="986" spans="2:16" ht="18" customHeight="1">
      <c r="B986" s="282" t="s">
        <v>383</v>
      </c>
      <c r="C986" s="309" t="s">
        <v>384</v>
      </c>
      <c r="D986" s="310"/>
      <c r="E986" s="287" t="str">
        <f>HYPERLINK("#LAYOUT_m1!lay중YPSY6A01","YPSY6A01")</f>
        <v>YPSY6A01</v>
      </c>
      <c r="F986" s="78">
        <v>0</v>
      </c>
      <c r="G986" s="179" t="s">
        <v>385</v>
      </c>
      <c r="H986" s="233">
        <v>71.901950248495993</v>
      </c>
      <c r="I986" s="327"/>
      <c r="J986" s="327"/>
      <c r="K986" s="327"/>
      <c r="L986" s="233">
        <v>77.03716122883263</v>
      </c>
      <c r="M986" s="327"/>
      <c r="N986" s="327"/>
      <c r="O986" s="327"/>
      <c r="P986" s="327"/>
    </row>
    <row r="987" spans="2:16" ht="18" customHeight="1">
      <c r="B987" s="284"/>
      <c r="C987" s="313"/>
      <c r="D987" s="314"/>
      <c r="E987" s="288"/>
      <c r="F987" s="82">
        <v>1</v>
      </c>
      <c r="G987" s="180" t="s">
        <v>386</v>
      </c>
      <c r="H987" s="235">
        <v>28.098049751504018</v>
      </c>
      <c r="I987" s="329"/>
      <c r="J987" s="329"/>
      <c r="K987" s="329"/>
      <c r="L987" s="235">
        <v>22.96283877116738</v>
      </c>
      <c r="M987" s="329"/>
      <c r="N987" s="329"/>
      <c r="O987" s="329"/>
      <c r="P987" s="329"/>
    </row>
    <row r="988" spans="2:16" ht="18" customHeight="1">
      <c r="B988" s="284"/>
      <c r="C988" s="309" t="s">
        <v>387</v>
      </c>
      <c r="D988" s="310"/>
      <c r="E988" s="287" t="str">
        <f>HYPERLINK("#LAYOUT_m1!lay중YPSY6A02","YPSY6A02")</f>
        <v>YPSY6A02</v>
      </c>
      <c r="F988" s="78">
        <v>0</v>
      </c>
      <c r="G988" s="179" t="s">
        <v>385</v>
      </c>
      <c r="H988" s="233">
        <v>65.406916330762542</v>
      </c>
      <c r="I988" s="327"/>
      <c r="J988" s="327"/>
      <c r="K988" s="327"/>
      <c r="L988" s="233">
        <v>72.175623125260614</v>
      </c>
      <c r="M988" s="327"/>
      <c r="N988" s="327"/>
      <c r="O988" s="327"/>
      <c r="P988" s="327"/>
    </row>
    <row r="989" spans="2:16" ht="18" customHeight="1">
      <c r="B989" s="284"/>
      <c r="C989" s="313"/>
      <c r="D989" s="314"/>
      <c r="E989" s="288"/>
      <c r="F989" s="82">
        <v>1</v>
      </c>
      <c r="G989" s="180" t="s">
        <v>386</v>
      </c>
      <c r="H989" s="235">
        <v>34.593083669237458</v>
      </c>
      <c r="I989" s="329"/>
      <c r="J989" s="329"/>
      <c r="K989" s="329"/>
      <c r="L989" s="235">
        <v>27.824376874739361</v>
      </c>
      <c r="M989" s="329"/>
      <c r="N989" s="329"/>
      <c r="O989" s="329"/>
      <c r="P989" s="329"/>
    </row>
    <row r="990" spans="2:16" ht="18" customHeight="1">
      <c r="B990" s="284"/>
      <c r="C990" s="309" t="s">
        <v>388</v>
      </c>
      <c r="D990" s="310"/>
      <c r="E990" s="287" t="str">
        <f>HYPERLINK("#LAYOUT_m1!lay중YPSY6A03","YPSY6A03")</f>
        <v>YPSY6A03</v>
      </c>
      <c r="F990" s="78">
        <v>0</v>
      </c>
      <c r="G990" s="179" t="s">
        <v>385</v>
      </c>
      <c r="H990" s="233">
        <v>69.46207009269574</v>
      </c>
      <c r="I990" s="327"/>
      <c r="J990" s="327"/>
      <c r="K990" s="327"/>
      <c r="L990" s="233">
        <v>72.752229895281175</v>
      </c>
      <c r="M990" s="327"/>
      <c r="N990" s="327"/>
      <c r="O990" s="327"/>
      <c r="P990" s="327"/>
    </row>
    <row r="991" spans="2:16" ht="18" customHeight="1">
      <c r="B991" s="284"/>
      <c r="C991" s="313"/>
      <c r="D991" s="314"/>
      <c r="E991" s="288"/>
      <c r="F991" s="82">
        <v>1</v>
      </c>
      <c r="G991" s="180" t="s">
        <v>386</v>
      </c>
      <c r="H991" s="235">
        <v>30.537929907304274</v>
      </c>
      <c r="I991" s="329"/>
      <c r="J991" s="329"/>
      <c r="K991" s="329"/>
      <c r="L991" s="235">
        <v>27.247770104718807</v>
      </c>
      <c r="M991" s="329"/>
      <c r="N991" s="329"/>
      <c r="O991" s="329"/>
      <c r="P991" s="329"/>
    </row>
    <row r="992" spans="2:16" ht="18" customHeight="1">
      <c r="B992" s="284"/>
      <c r="C992" s="309" t="s">
        <v>389</v>
      </c>
      <c r="D992" s="310"/>
      <c r="E992" s="287" t="str">
        <f>HYPERLINK("#LAYOUT_m1!lay중YPSY6A04","YPSY6A04")</f>
        <v>YPSY6A04</v>
      </c>
      <c r="F992" s="78">
        <v>0</v>
      </c>
      <c r="G992" s="179" t="s">
        <v>385</v>
      </c>
      <c r="H992" s="233">
        <v>96.836274800159927</v>
      </c>
      <c r="I992" s="327"/>
      <c r="J992" s="327"/>
      <c r="K992" s="327"/>
      <c r="L992" s="233">
        <v>96.835400404936422</v>
      </c>
      <c r="M992" s="327"/>
      <c r="N992" s="327"/>
      <c r="O992" s="327"/>
      <c r="P992" s="327"/>
    </row>
    <row r="993" spans="2:16" ht="18" customHeight="1">
      <c r="B993" s="284"/>
      <c r="C993" s="313"/>
      <c r="D993" s="314"/>
      <c r="E993" s="288"/>
      <c r="F993" s="82">
        <v>1</v>
      </c>
      <c r="G993" s="180" t="s">
        <v>386</v>
      </c>
      <c r="H993" s="235">
        <v>3.1637251998400928</v>
      </c>
      <c r="I993" s="329"/>
      <c r="J993" s="329"/>
      <c r="K993" s="329"/>
      <c r="L993" s="235">
        <v>3.1645995950635646</v>
      </c>
      <c r="M993" s="329"/>
      <c r="N993" s="329"/>
      <c r="O993" s="329"/>
      <c r="P993" s="329"/>
    </row>
    <row r="994" spans="2:16" ht="18" customHeight="1">
      <c r="B994" s="284"/>
      <c r="C994" s="309" t="s">
        <v>390</v>
      </c>
      <c r="D994" s="310"/>
      <c r="E994" s="287" t="str">
        <f>HYPERLINK("#LAYOUT_m1!lay중YPSY6A05","YPSY6A05")</f>
        <v>YPSY6A05</v>
      </c>
      <c r="F994" s="78">
        <v>0</v>
      </c>
      <c r="G994" s="179" t="s">
        <v>385</v>
      </c>
      <c r="H994" s="233">
        <v>76.078384329370365</v>
      </c>
      <c r="I994" s="327"/>
      <c r="J994" s="327"/>
      <c r="K994" s="327"/>
      <c r="L994" s="233">
        <v>78.178119900225383</v>
      </c>
      <c r="M994" s="327"/>
      <c r="N994" s="327"/>
      <c r="O994" s="327"/>
      <c r="P994" s="327"/>
    </row>
    <row r="995" spans="2:16" ht="18" customHeight="1">
      <c r="B995" s="284"/>
      <c r="C995" s="313"/>
      <c r="D995" s="314"/>
      <c r="E995" s="288"/>
      <c r="F995" s="82">
        <v>1</v>
      </c>
      <c r="G995" s="180" t="s">
        <v>386</v>
      </c>
      <c r="H995" s="235">
        <v>23.921615670629624</v>
      </c>
      <c r="I995" s="329"/>
      <c r="J995" s="329"/>
      <c r="K995" s="329"/>
      <c r="L995" s="235">
        <v>21.821880099774656</v>
      </c>
      <c r="M995" s="329"/>
      <c r="N995" s="329"/>
      <c r="O995" s="329"/>
      <c r="P995" s="329"/>
    </row>
    <row r="996" spans="2:16" ht="18" customHeight="1">
      <c r="B996" s="284"/>
      <c r="C996" s="309" t="s">
        <v>391</v>
      </c>
      <c r="D996" s="310"/>
      <c r="E996" s="287" t="str">
        <f>HYPERLINK("#LAYOUT_m1!lay중YPSY6A06","YPSY6A06")</f>
        <v>YPSY6A06</v>
      </c>
      <c r="F996" s="78">
        <v>0</v>
      </c>
      <c r="G996" s="179" t="s">
        <v>385</v>
      </c>
      <c r="H996" s="233">
        <v>92.376279244694146</v>
      </c>
      <c r="I996" s="327"/>
      <c r="J996" s="327"/>
      <c r="K996" s="327"/>
      <c r="L996" s="233">
        <v>91.179203748351</v>
      </c>
      <c r="M996" s="327"/>
      <c r="N996" s="327"/>
      <c r="O996" s="327"/>
      <c r="P996" s="327"/>
    </row>
    <row r="997" spans="2:16" ht="18" customHeight="1">
      <c r="B997" s="284"/>
      <c r="C997" s="313"/>
      <c r="D997" s="314"/>
      <c r="E997" s="288"/>
      <c r="F997" s="82">
        <v>1</v>
      </c>
      <c r="G997" s="180" t="s">
        <v>386</v>
      </c>
      <c r="H997" s="235">
        <v>7.6237207553058228</v>
      </c>
      <c r="I997" s="329"/>
      <c r="J997" s="329"/>
      <c r="K997" s="329"/>
      <c r="L997" s="235">
        <v>8.8207962516489804</v>
      </c>
      <c r="M997" s="329"/>
      <c r="N997" s="329"/>
      <c r="O997" s="329"/>
      <c r="P997" s="329"/>
    </row>
    <row r="998" spans="2:16" ht="18" customHeight="1">
      <c r="B998" s="284"/>
      <c r="C998" s="309" t="s">
        <v>392</v>
      </c>
      <c r="D998" s="310"/>
      <c r="E998" s="287" t="str">
        <f>HYPERLINK("#LAYOUT_m1!lay중YPSY6A07","YPSY6A07")</f>
        <v>YPSY6A07</v>
      </c>
      <c r="F998" s="78">
        <v>0</v>
      </c>
      <c r="G998" s="179" t="s">
        <v>385</v>
      </c>
      <c r="H998" s="233">
        <v>81.457988848634898</v>
      </c>
      <c r="I998" s="327"/>
      <c r="J998" s="327"/>
      <c r="K998" s="327"/>
      <c r="L998" s="233">
        <v>83.592708115885159</v>
      </c>
      <c r="M998" s="327"/>
      <c r="N998" s="327"/>
      <c r="O998" s="327"/>
      <c r="P998" s="327"/>
    </row>
    <row r="999" spans="2:16" ht="18" customHeight="1">
      <c r="B999" s="284"/>
      <c r="C999" s="313"/>
      <c r="D999" s="314"/>
      <c r="E999" s="288"/>
      <c r="F999" s="82">
        <v>1</v>
      </c>
      <c r="G999" s="180" t="s">
        <v>386</v>
      </c>
      <c r="H999" s="235">
        <v>18.542011151365113</v>
      </c>
      <c r="I999" s="329"/>
      <c r="J999" s="329"/>
      <c r="K999" s="329"/>
      <c r="L999" s="235">
        <v>16.407291884114823</v>
      </c>
      <c r="M999" s="329"/>
      <c r="N999" s="329"/>
      <c r="O999" s="329"/>
      <c r="P999" s="329"/>
    </row>
    <row r="1000" spans="2:16" ht="18" customHeight="1">
      <c r="B1000" s="284"/>
      <c r="C1000" s="309" t="s">
        <v>393</v>
      </c>
      <c r="D1000" s="310"/>
      <c r="E1000" s="287" t="str">
        <f>HYPERLINK("#LAYOUT_m1!lay중YPSY6A08","YPSY6A08")</f>
        <v>YPSY6A08</v>
      </c>
      <c r="F1000" s="78">
        <v>0</v>
      </c>
      <c r="G1000" s="179" t="s">
        <v>385</v>
      </c>
      <c r="H1000" s="233">
        <v>94.401426700687054</v>
      </c>
      <c r="I1000" s="327"/>
      <c r="J1000" s="327"/>
      <c r="K1000" s="327"/>
      <c r="L1000" s="233">
        <v>93.714155396200624</v>
      </c>
      <c r="M1000" s="327"/>
      <c r="N1000" s="327"/>
      <c r="O1000" s="327"/>
      <c r="P1000" s="327"/>
    </row>
    <row r="1001" spans="2:16" ht="18" customHeight="1">
      <c r="B1001" s="284"/>
      <c r="C1001" s="313"/>
      <c r="D1001" s="314"/>
      <c r="E1001" s="288"/>
      <c r="F1001" s="82">
        <v>1</v>
      </c>
      <c r="G1001" s="180" t="s">
        <v>386</v>
      </c>
      <c r="H1001" s="235">
        <v>5.5985732993129185</v>
      </c>
      <c r="I1001" s="329"/>
      <c r="J1001" s="329"/>
      <c r="K1001" s="329"/>
      <c r="L1001" s="235">
        <v>6.2858446037994051</v>
      </c>
      <c r="M1001" s="329"/>
      <c r="N1001" s="329"/>
      <c r="O1001" s="329"/>
      <c r="P1001" s="329"/>
    </row>
    <row r="1002" spans="2:16" ht="18" customHeight="1">
      <c r="B1002" s="284"/>
      <c r="C1002" s="309" t="s">
        <v>394</v>
      </c>
      <c r="D1002" s="310"/>
      <c r="E1002" s="287" t="str">
        <f>HYPERLINK("#LAYOUT_m1!lay중YPSY6A09","YPSY6A09")</f>
        <v>YPSY6A09</v>
      </c>
      <c r="F1002" s="78">
        <v>0</v>
      </c>
      <c r="G1002" s="179" t="s">
        <v>385</v>
      </c>
      <c r="H1002" s="233">
        <v>53.828198799264804</v>
      </c>
      <c r="I1002" s="327"/>
      <c r="J1002" s="327"/>
      <c r="K1002" s="327"/>
      <c r="L1002" s="233">
        <v>61.947594133548158</v>
      </c>
      <c r="M1002" s="327"/>
      <c r="N1002" s="327"/>
      <c r="O1002" s="327"/>
      <c r="P1002" s="327"/>
    </row>
    <row r="1003" spans="2:16" ht="18" customHeight="1">
      <c r="B1003" s="284"/>
      <c r="C1003" s="313"/>
      <c r="D1003" s="314"/>
      <c r="E1003" s="288"/>
      <c r="F1003" s="82">
        <v>1</v>
      </c>
      <c r="G1003" s="180" t="s">
        <v>386</v>
      </c>
      <c r="H1003" s="235">
        <v>46.171801200735203</v>
      </c>
      <c r="I1003" s="329"/>
      <c r="J1003" s="329"/>
      <c r="K1003" s="329"/>
      <c r="L1003" s="235">
        <v>38.052405866451807</v>
      </c>
      <c r="M1003" s="329"/>
      <c r="N1003" s="329"/>
      <c r="O1003" s="329"/>
      <c r="P1003" s="329"/>
    </row>
    <row r="1004" spans="2:16" ht="18" customHeight="1">
      <c r="B1004" s="284"/>
      <c r="C1004" s="309" t="s">
        <v>395</v>
      </c>
      <c r="D1004" s="310"/>
      <c r="E1004" s="287" t="str">
        <f>HYPERLINK("#LAYOUT_m1!lay중YPSY6A10","YPSY6A10")</f>
        <v>YPSY6A10</v>
      </c>
      <c r="F1004" s="78">
        <v>0</v>
      </c>
      <c r="G1004" s="179" t="s">
        <v>385</v>
      </c>
      <c r="H1004" s="233">
        <v>79.615732012748055</v>
      </c>
      <c r="I1004" s="327"/>
      <c r="J1004" s="327"/>
      <c r="K1004" s="327"/>
      <c r="L1004" s="233">
        <v>80.726100537115883</v>
      </c>
      <c r="M1004" s="327"/>
      <c r="N1004" s="327"/>
      <c r="O1004" s="327"/>
      <c r="P1004" s="327"/>
    </row>
    <row r="1005" spans="2:16" ht="18" customHeight="1">
      <c r="B1005" s="284"/>
      <c r="C1005" s="313"/>
      <c r="D1005" s="314"/>
      <c r="E1005" s="288"/>
      <c r="F1005" s="82">
        <v>1</v>
      </c>
      <c r="G1005" s="180" t="s">
        <v>386</v>
      </c>
      <c r="H1005" s="235">
        <v>20.384267987251931</v>
      </c>
      <c r="I1005" s="329"/>
      <c r="J1005" s="329"/>
      <c r="K1005" s="329"/>
      <c r="L1005" s="235">
        <v>19.273899462884113</v>
      </c>
      <c r="M1005" s="329"/>
      <c r="N1005" s="329"/>
      <c r="O1005" s="329"/>
      <c r="P1005" s="329"/>
    </row>
    <row r="1006" spans="2:16" ht="18" customHeight="1">
      <c r="B1006" s="284"/>
      <c r="C1006" s="309" t="s">
        <v>396</v>
      </c>
      <c r="D1006" s="310"/>
      <c r="E1006" s="287" t="str">
        <f>HYPERLINK("#LAYOUT_m1!lay중YPSY6A11","YPSY6A11")</f>
        <v>YPSY6A11</v>
      </c>
      <c r="F1006" s="78">
        <v>0</v>
      </c>
      <c r="G1006" s="179" t="s">
        <v>385</v>
      </c>
      <c r="H1006" s="233">
        <v>84.438570917915655</v>
      </c>
      <c r="I1006" s="327"/>
      <c r="J1006" s="327"/>
      <c r="K1006" s="327"/>
      <c r="L1006" s="233">
        <v>84.2395565015416</v>
      </c>
      <c r="M1006" s="327"/>
      <c r="N1006" s="327"/>
      <c r="O1006" s="327"/>
      <c r="P1006" s="327"/>
    </row>
    <row r="1007" spans="2:16" ht="18" customHeight="1">
      <c r="B1007" s="284"/>
      <c r="C1007" s="313"/>
      <c r="D1007" s="314"/>
      <c r="E1007" s="288"/>
      <c r="F1007" s="82">
        <v>1</v>
      </c>
      <c r="G1007" s="180" t="s">
        <v>386</v>
      </c>
      <c r="H1007" s="235">
        <v>15.561429082084397</v>
      </c>
      <c r="I1007" s="329"/>
      <c r="J1007" s="329"/>
      <c r="K1007" s="329"/>
      <c r="L1007" s="235">
        <v>15.760443498458438</v>
      </c>
      <c r="M1007" s="329"/>
      <c r="N1007" s="329"/>
      <c r="O1007" s="329"/>
      <c r="P1007" s="329"/>
    </row>
    <row r="1008" spans="2:16" ht="18" customHeight="1">
      <c r="B1008" s="284"/>
      <c r="C1008" s="309" t="s">
        <v>397</v>
      </c>
      <c r="D1008" s="310"/>
      <c r="E1008" s="287" t="str">
        <f>HYPERLINK("#LAYOUT_m1!lay중YPSY6A12","YPSY6A12")</f>
        <v>YPSY6A12</v>
      </c>
      <c r="F1008" s="78">
        <v>0</v>
      </c>
      <c r="G1008" s="179" t="s">
        <v>385</v>
      </c>
      <c r="H1008" s="233">
        <v>40.577143089357762</v>
      </c>
      <c r="I1008" s="327"/>
      <c r="J1008" s="327"/>
      <c r="K1008" s="327"/>
      <c r="L1008" s="233">
        <v>46.826939581853111</v>
      </c>
      <c r="M1008" s="327"/>
      <c r="N1008" s="327"/>
      <c r="O1008" s="327"/>
      <c r="P1008" s="327"/>
    </row>
    <row r="1009" spans="2:16" ht="18" customHeight="1">
      <c r="B1009" s="284"/>
      <c r="C1009" s="313"/>
      <c r="D1009" s="314"/>
      <c r="E1009" s="288"/>
      <c r="F1009" s="82">
        <v>1</v>
      </c>
      <c r="G1009" s="180" t="s">
        <v>386</v>
      </c>
      <c r="H1009" s="235">
        <v>59.422856910642238</v>
      </c>
      <c r="I1009" s="329"/>
      <c r="J1009" s="329"/>
      <c r="K1009" s="329"/>
      <c r="L1009" s="235">
        <v>53.173060418146882</v>
      </c>
      <c r="M1009" s="329"/>
      <c r="N1009" s="329"/>
      <c r="O1009" s="329"/>
      <c r="P1009" s="329"/>
    </row>
    <row r="1010" spans="2:16" ht="18" customHeight="1">
      <c r="B1010" s="284"/>
      <c r="C1010" s="309" t="s">
        <v>398</v>
      </c>
      <c r="D1010" s="310"/>
      <c r="E1010" s="287" t="str">
        <f>HYPERLINK("#LAYOUT_m1!lay중YPSY6A13","YPSY6A13")</f>
        <v>YPSY6A13</v>
      </c>
      <c r="F1010" s="78">
        <v>0</v>
      </c>
      <c r="G1010" s="179" t="s">
        <v>385</v>
      </c>
      <c r="H1010" s="233">
        <v>91.97407193870329</v>
      </c>
      <c r="I1010" s="327"/>
      <c r="J1010" s="327"/>
      <c r="K1010" s="327"/>
      <c r="L1010" s="233">
        <v>89.188499454301052</v>
      </c>
      <c r="M1010" s="327"/>
      <c r="N1010" s="327"/>
      <c r="O1010" s="327"/>
      <c r="P1010" s="327"/>
    </row>
    <row r="1011" spans="2:16" ht="18" customHeight="1">
      <c r="B1011" s="284"/>
      <c r="C1011" s="313"/>
      <c r="D1011" s="314"/>
      <c r="E1011" s="288"/>
      <c r="F1011" s="82">
        <v>1</v>
      </c>
      <c r="G1011" s="180" t="s">
        <v>386</v>
      </c>
      <c r="H1011" s="235">
        <v>8.025928061296705</v>
      </c>
      <c r="I1011" s="329"/>
      <c r="J1011" s="329"/>
      <c r="K1011" s="329"/>
      <c r="L1011" s="235">
        <v>10.811500545698944</v>
      </c>
      <c r="M1011" s="329"/>
      <c r="N1011" s="329"/>
      <c r="O1011" s="329"/>
      <c r="P1011" s="329"/>
    </row>
    <row r="1012" spans="2:16" ht="18" customHeight="1">
      <c r="B1012" s="284"/>
      <c r="C1012" s="309" t="s">
        <v>399</v>
      </c>
      <c r="D1012" s="310"/>
      <c r="E1012" s="287" t="str">
        <f>HYPERLINK("#LAYOUT_m1!lay중YPSY6A14","YPSY6A14")</f>
        <v>YPSY6A14</v>
      </c>
      <c r="F1012" s="78">
        <v>0</v>
      </c>
      <c r="G1012" s="179" t="s">
        <v>385</v>
      </c>
      <c r="H1012" s="233">
        <v>88.182131785918727</v>
      </c>
      <c r="I1012" s="327"/>
      <c r="J1012" s="327"/>
      <c r="K1012" s="327"/>
      <c r="L1012" s="233">
        <v>87.659939911474623</v>
      </c>
      <c r="M1012" s="327"/>
      <c r="N1012" s="327"/>
      <c r="O1012" s="327"/>
      <c r="P1012" s="327"/>
    </row>
    <row r="1013" spans="2:16" ht="18" customHeight="1">
      <c r="B1013" s="284"/>
      <c r="C1013" s="313"/>
      <c r="D1013" s="314"/>
      <c r="E1013" s="288"/>
      <c r="F1013" s="82">
        <v>1</v>
      </c>
      <c r="G1013" s="180" t="s">
        <v>386</v>
      </c>
      <c r="H1013" s="235">
        <v>11.817868214081258</v>
      </c>
      <c r="I1013" s="329"/>
      <c r="J1013" s="329"/>
      <c r="K1013" s="329"/>
      <c r="L1013" s="235">
        <v>12.340060088525361</v>
      </c>
      <c r="M1013" s="329"/>
      <c r="N1013" s="329"/>
      <c r="O1013" s="329"/>
      <c r="P1013" s="329"/>
    </row>
    <row r="1014" spans="2:16" ht="18" customHeight="1">
      <c r="B1014" s="284"/>
      <c r="C1014" s="309" t="s">
        <v>400</v>
      </c>
      <c r="D1014" s="310"/>
      <c r="E1014" s="287" t="str">
        <f>HYPERLINK("#LAYOUT_m1!lay중YPSY6A15","YPSY6A15")</f>
        <v>YPSY6A15</v>
      </c>
      <c r="F1014" s="78">
        <v>0</v>
      </c>
      <c r="G1014" s="179" t="s">
        <v>385</v>
      </c>
      <c r="H1014" s="233">
        <v>73.41568957837255</v>
      </c>
      <c r="I1014" s="327"/>
      <c r="J1014" s="327"/>
      <c r="K1014" s="327"/>
      <c r="L1014" s="233">
        <v>74.509560752724809</v>
      </c>
      <c r="M1014" s="327"/>
      <c r="N1014" s="327"/>
      <c r="O1014" s="327"/>
      <c r="P1014" s="327"/>
    </row>
    <row r="1015" spans="2:16" ht="18" customHeight="1">
      <c r="B1015" s="284"/>
      <c r="C1015" s="313"/>
      <c r="D1015" s="314"/>
      <c r="E1015" s="288"/>
      <c r="F1015" s="82">
        <v>1</v>
      </c>
      <c r="G1015" s="180" t="s">
        <v>386</v>
      </c>
      <c r="H1015" s="235">
        <v>26.584310421627432</v>
      </c>
      <c r="I1015" s="329"/>
      <c r="J1015" s="329"/>
      <c r="K1015" s="329"/>
      <c r="L1015" s="235">
        <v>25.490439247275194</v>
      </c>
      <c r="M1015" s="329"/>
      <c r="N1015" s="329"/>
      <c r="O1015" s="329"/>
      <c r="P1015" s="329"/>
    </row>
    <row r="1016" spans="2:16" ht="18" customHeight="1">
      <c r="B1016" s="284"/>
      <c r="C1016" s="309" t="s">
        <v>401</v>
      </c>
      <c r="D1016" s="310"/>
      <c r="E1016" s="287" t="str">
        <f>HYPERLINK("#LAYOUT_m1!lay중YPSY6A16","YPSY6A16")</f>
        <v>YPSY6A16</v>
      </c>
      <c r="F1016" s="78">
        <v>0</v>
      </c>
      <c r="G1016" s="179" t="s">
        <v>385</v>
      </c>
      <c r="H1016" s="233">
        <v>94.682799722372323</v>
      </c>
      <c r="I1016" s="327"/>
      <c r="J1016" s="327"/>
      <c r="K1016" s="327"/>
      <c r="L1016" s="233">
        <v>93.305404735321019</v>
      </c>
      <c r="M1016" s="327"/>
      <c r="N1016" s="327"/>
      <c r="O1016" s="327"/>
      <c r="P1016" s="327"/>
    </row>
    <row r="1017" spans="2:16" ht="18" customHeight="1">
      <c r="B1017" s="284"/>
      <c r="C1017" s="313"/>
      <c r="D1017" s="314"/>
      <c r="E1017" s="288"/>
      <c r="F1017" s="82">
        <v>1</v>
      </c>
      <c r="G1017" s="180" t="s">
        <v>386</v>
      </c>
      <c r="H1017" s="235">
        <v>5.3172002776276992</v>
      </c>
      <c r="I1017" s="329"/>
      <c r="J1017" s="329"/>
      <c r="K1017" s="329"/>
      <c r="L1017" s="235">
        <v>6.694595264678985</v>
      </c>
      <c r="M1017" s="329"/>
      <c r="N1017" s="329"/>
      <c r="O1017" s="329"/>
      <c r="P1017" s="329"/>
    </row>
    <row r="1018" spans="2:16" ht="18" customHeight="1">
      <c r="B1018" s="284"/>
      <c r="C1018" s="309" t="s">
        <v>402</v>
      </c>
      <c r="D1018" s="310"/>
      <c r="E1018" s="287" t="str">
        <f>HYPERLINK("#LAYOUT_m1!lay중YPSY6A17","YPSY6A17")</f>
        <v>YPSY6A17</v>
      </c>
      <c r="F1018" s="78">
        <v>0</v>
      </c>
      <c r="G1018" s="179" t="s">
        <v>385</v>
      </c>
      <c r="H1018" s="233">
        <v>81.001418599966584</v>
      </c>
      <c r="I1018" s="327"/>
      <c r="J1018" s="327"/>
      <c r="K1018" s="327"/>
      <c r="L1018" s="233">
        <v>81.681904091121737</v>
      </c>
      <c r="M1018" s="327"/>
      <c r="N1018" s="327"/>
      <c r="O1018" s="327"/>
      <c r="P1018" s="327"/>
    </row>
    <row r="1019" spans="2:16" ht="18" customHeight="1">
      <c r="B1019" s="284"/>
      <c r="C1019" s="313"/>
      <c r="D1019" s="314"/>
      <c r="E1019" s="288"/>
      <c r="F1019" s="82">
        <v>1</v>
      </c>
      <c r="G1019" s="180" t="s">
        <v>386</v>
      </c>
      <c r="H1019" s="235">
        <v>18.998581400033405</v>
      </c>
      <c r="I1019" s="329"/>
      <c r="J1019" s="329"/>
      <c r="K1019" s="329"/>
      <c r="L1019" s="235">
        <v>18.318095908878256</v>
      </c>
      <c r="M1019" s="329"/>
      <c r="N1019" s="329"/>
      <c r="O1019" s="329"/>
      <c r="P1019" s="329"/>
    </row>
    <row r="1020" spans="2:16" ht="18" customHeight="1">
      <c r="B1020" s="284"/>
      <c r="C1020" s="309" t="s">
        <v>403</v>
      </c>
      <c r="D1020" s="310"/>
      <c r="E1020" s="287" t="str">
        <f>HYPERLINK("#LAYOUT_m1!lay중YPSY6A18","YPSY6A18")</f>
        <v>YPSY6A18</v>
      </c>
      <c r="F1020" s="78">
        <v>0</v>
      </c>
      <c r="G1020" s="179" t="s">
        <v>385</v>
      </c>
      <c r="H1020" s="233">
        <v>90.717977067187391</v>
      </c>
      <c r="I1020" s="327"/>
      <c r="J1020" s="327"/>
      <c r="K1020" s="327"/>
      <c r="L1020" s="233">
        <v>91.389967385737322</v>
      </c>
      <c r="M1020" s="327"/>
      <c r="N1020" s="327"/>
      <c r="O1020" s="327"/>
      <c r="P1020" s="327"/>
    </row>
    <row r="1021" spans="2:16" ht="18" customHeight="1">
      <c r="B1021" s="284"/>
      <c r="C1021" s="313"/>
      <c r="D1021" s="314"/>
      <c r="E1021" s="288"/>
      <c r="F1021" s="82">
        <v>1</v>
      </c>
      <c r="G1021" s="180" t="s">
        <v>386</v>
      </c>
      <c r="H1021" s="235">
        <v>9.2820229328126285</v>
      </c>
      <c r="I1021" s="329"/>
      <c r="J1021" s="329"/>
      <c r="K1021" s="329"/>
      <c r="L1021" s="235">
        <v>8.6100326142626944</v>
      </c>
      <c r="M1021" s="329"/>
      <c r="N1021" s="329"/>
      <c r="O1021" s="329"/>
      <c r="P1021" s="329"/>
    </row>
    <row r="1022" spans="2:16" ht="18" customHeight="1">
      <c r="B1022" s="284"/>
      <c r="C1022" s="309" t="s">
        <v>404</v>
      </c>
      <c r="D1022" s="310"/>
      <c r="E1022" s="287" t="str">
        <f>HYPERLINK("#LAYOUT_m1!lay중YPSY6A19","YPSY6A19")</f>
        <v>YPSY6A19</v>
      </c>
      <c r="F1022" s="78">
        <v>0</v>
      </c>
      <c r="G1022" s="179" t="s">
        <v>385</v>
      </c>
      <c r="H1022" s="233">
        <v>45.322495991294488</v>
      </c>
      <c r="I1022" s="327"/>
      <c r="J1022" s="327"/>
      <c r="K1022" s="327"/>
      <c r="L1022" s="233">
        <v>50.180762620127325</v>
      </c>
      <c r="M1022" s="327"/>
      <c r="N1022" s="327"/>
      <c r="O1022" s="327"/>
      <c r="P1022" s="327"/>
    </row>
    <row r="1023" spans="2:16" ht="18" customHeight="1">
      <c r="B1023" s="284"/>
      <c r="C1023" s="313"/>
      <c r="D1023" s="314"/>
      <c r="E1023" s="288"/>
      <c r="F1023" s="82">
        <v>1</v>
      </c>
      <c r="G1023" s="180" t="s">
        <v>386</v>
      </c>
      <c r="H1023" s="235">
        <v>54.677504008705519</v>
      </c>
      <c r="I1023" s="329"/>
      <c r="J1023" s="329"/>
      <c r="K1023" s="329"/>
      <c r="L1023" s="235">
        <v>49.819237379872717</v>
      </c>
      <c r="M1023" s="329"/>
      <c r="N1023" s="329"/>
      <c r="O1023" s="329"/>
      <c r="P1023" s="329"/>
    </row>
    <row r="1024" spans="2:16" ht="18" customHeight="1">
      <c r="B1024" s="284"/>
      <c r="C1024" s="309" t="s">
        <v>405</v>
      </c>
      <c r="D1024" s="310"/>
      <c r="E1024" s="287" t="str">
        <f>HYPERLINK("#LAYOUT_m1!lay중YPSY6A20","YPSY6A20")</f>
        <v>YPSY6A20</v>
      </c>
      <c r="F1024" s="78">
        <v>0</v>
      </c>
      <c r="G1024" s="179" t="s">
        <v>385</v>
      </c>
      <c r="H1024" s="233">
        <v>56.661907344415397</v>
      </c>
      <c r="I1024" s="327"/>
      <c r="J1024" s="327"/>
      <c r="K1024" s="327"/>
      <c r="L1024" s="233">
        <v>59.5493569172123</v>
      </c>
      <c r="M1024" s="327"/>
      <c r="N1024" s="327"/>
      <c r="O1024" s="327"/>
      <c r="P1024" s="327"/>
    </row>
    <row r="1025" spans="2:16" ht="18" customHeight="1">
      <c r="B1025" s="284"/>
      <c r="C1025" s="313"/>
      <c r="D1025" s="314"/>
      <c r="E1025" s="288"/>
      <c r="F1025" s="82">
        <v>1</v>
      </c>
      <c r="G1025" s="180" t="s">
        <v>386</v>
      </c>
      <c r="H1025" s="235">
        <v>43.338092655584603</v>
      </c>
      <c r="I1025" s="329"/>
      <c r="J1025" s="329"/>
      <c r="K1025" s="329"/>
      <c r="L1025" s="235">
        <v>40.450643082787686</v>
      </c>
      <c r="M1025" s="329"/>
      <c r="N1025" s="329"/>
      <c r="O1025" s="329"/>
      <c r="P1025" s="329"/>
    </row>
    <row r="1026" spans="2:16" ht="18" customHeight="1">
      <c r="B1026" s="284"/>
      <c r="C1026" s="309" t="s">
        <v>406</v>
      </c>
      <c r="D1026" s="310"/>
      <c r="E1026" s="287" t="str">
        <f>HYPERLINK("#LAYOUT_m1!lay중YPSY6A21","YPSY6A21")</f>
        <v>YPSY6A21</v>
      </c>
      <c r="F1026" s="78">
        <v>0</v>
      </c>
      <c r="G1026" s="179" t="s">
        <v>385</v>
      </c>
      <c r="H1026" s="233">
        <v>80.892640649349602</v>
      </c>
      <c r="I1026" s="327"/>
      <c r="J1026" s="327"/>
      <c r="K1026" s="327"/>
      <c r="L1026" s="233">
        <v>85.397261838461617</v>
      </c>
      <c r="M1026" s="327"/>
      <c r="N1026" s="327"/>
      <c r="O1026" s="327"/>
      <c r="P1026" s="327"/>
    </row>
    <row r="1027" spans="2:16" ht="18" customHeight="1">
      <c r="B1027" s="284"/>
      <c r="C1027" s="313"/>
      <c r="D1027" s="314"/>
      <c r="E1027" s="288"/>
      <c r="F1027" s="82">
        <v>1</v>
      </c>
      <c r="G1027" s="180" t="s">
        <v>386</v>
      </c>
      <c r="H1027" s="235">
        <v>19.107359350650405</v>
      </c>
      <c r="I1027" s="329"/>
      <c r="J1027" s="329"/>
      <c r="K1027" s="329"/>
      <c r="L1027" s="235">
        <v>14.602738161538339</v>
      </c>
      <c r="M1027" s="329"/>
      <c r="N1027" s="329"/>
      <c r="O1027" s="329"/>
      <c r="P1027" s="329"/>
    </row>
    <row r="1028" spans="2:16" ht="18" customHeight="1">
      <c r="B1028" s="284"/>
      <c r="C1028" s="309" t="s">
        <v>407</v>
      </c>
      <c r="D1028" s="310"/>
      <c r="E1028" s="287" t="str">
        <f>HYPERLINK("#LAYOUT_m1!lay중YPSY6A22","YPSY6A22")</f>
        <v>YPSY6A22</v>
      </c>
      <c r="F1028" s="78">
        <v>0</v>
      </c>
      <c r="G1028" s="179" t="s">
        <v>385</v>
      </c>
      <c r="H1028" s="233">
        <v>92.713559138207046</v>
      </c>
      <c r="I1028" s="327"/>
      <c r="J1028" s="327"/>
      <c r="K1028" s="327"/>
      <c r="L1028" s="233">
        <v>91.634185043030243</v>
      </c>
      <c r="M1028" s="327"/>
      <c r="N1028" s="327"/>
      <c r="O1028" s="327"/>
      <c r="P1028" s="327"/>
    </row>
    <row r="1029" spans="2:16" ht="18" customHeight="1">
      <c r="B1029" s="284"/>
      <c r="C1029" s="313"/>
      <c r="D1029" s="314"/>
      <c r="E1029" s="288"/>
      <c r="F1029" s="82">
        <v>1</v>
      </c>
      <c r="G1029" s="180" t="s">
        <v>386</v>
      </c>
      <c r="H1029" s="235">
        <v>7.2864408617929097</v>
      </c>
      <c r="I1029" s="329"/>
      <c r="J1029" s="329"/>
      <c r="K1029" s="329"/>
      <c r="L1029" s="235">
        <v>8.3658149569697553</v>
      </c>
      <c r="M1029" s="329"/>
      <c r="N1029" s="329"/>
      <c r="O1029" s="329"/>
      <c r="P1029" s="329"/>
    </row>
    <row r="1030" spans="2:16" ht="18" customHeight="1">
      <c r="B1030" s="284"/>
      <c r="C1030" s="309" t="s">
        <v>408</v>
      </c>
      <c r="D1030" s="310"/>
      <c r="E1030" s="287" t="str">
        <f>HYPERLINK("#LAYOUT_m1!lay중YPSY6A23","YPSY6A23")</f>
        <v>YPSY6A23</v>
      </c>
      <c r="F1030" s="78">
        <v>0</v>
      </c>
      <c r="G1030" s="179" t="s">
        <v>385</v>
      </c>
      <c r="H1030" s="233">
        <v>71.68550712497472</v>
      </c>
      <c r="I1030" s="327"/>
      <c r="J1030" s="327"/>
      <c r="K1030" s="327"/>
      <c r="L1030" s="233">
        <v>77.184234175698194</v>
      </c>
      <c r="M1030" s="327"/>
      <c r="N1030" s="327"/>
      <c r="O1030" s="327"/>
      <c r="P1030" s="327"/>
    </row>
    <row r="1031" spans="2:16" ht="18" customHeight="1">
      <c r="B1031" s="284"/>
      <c r="C1031" s="313"/>
      <c r="D1031" s="314"/>
      <c r="E1031" s="288"/>
      <c r="F1031" s="82">
        <v>1</v>
      </c>
      <c r="G1031" s="180" t="s">
        <v>386</v>
      </c>
      <c r="H1031" s="235">
        <v>28.314492875025273</v>
      </c>
      <c r="I1031" s="329"/>
      <c r="J1031" s="329"/>
      <c r="K1031" s="329"/>
      <c r="L1031" s="235">
        <v>22.815765824301831</v>
      </c>
      <c r="M1031" s="329"/>
      <c r="N1031" s="329"/>
      <c r="O1031" s="329"/>
      <c r="P1031" s="329"/>
    </row>
    <row r="1032" spans="2:16" ht="18" customHeight="1">
      <c r="B1032" s="284"/>
      <c r="C1032" s="309" t="s">
        <v>409</v>
      </c>
      <c r="D1032" s="310"/>
      <c r="E1032" s="287" t="str">
        <f>HYPERLINK("#LAYOUT_m1!lay중YPSY6A24","YPSY6A24")</f>
        <v>YPSY6A24</v>
      </c>
      <c r="F1032" s="78">
        <v>0</v>
      </c>
      <c r="G1032" s="179" t="s">
        <v>385</v>
      </c>
      <c r="H1032" s="233">
        <v>41.023513494812761</v>
      </c>
      <c r="I1032" s="327"/>
      <c r="J1032" s="327"/>
      <c r="K1032" s="327"/>
      <c r="L1032" s="233">
        <v>46.958669409960777</v>
      </c>
      <c r="M1032" s="327"/>
      <c r="N1032" s="327"/>
      <c r="O1032" s="327"/>
      <c r="P1032" s="327"/>
    </row>
    <row r="1033" spans="2:16" ht="18" customHeight="1">
      <c r="B1033" s="284"/>
      <c r="C1033" s="313"/>
      <c r="D1033" s="314"/>
      <c r="E1033" s="288"/>
      <c r="F1033" s="82">
        <v>1</v>
      </c>
      <c r="G1033" s="180" t="s">
        <v>386</v>
      </c>
      <c r="H1033" s="235">
        <v>58.976486505187253</v>
      </c>
      <c r="I1033" s="329"/>
      <c r="J1033" s="329"/>
      <c r="K1033" s="329"/>
      <c r="L1033" s="235">
        <v>53.041330590039244</v>
      </c>
      <c r="M1033" s="329"/>
      <c r="N1033" s="329"/>
      <c r="O1033" s="329"/>
      <c r="P1033" s="329"/>
    </row>
    <row r="1034" spans="2:16" ht="18" customHeight="1">
      <c r="B1034" s="284"/>
      <c r="C1034" s="309" t="s">
        <v>410</v>
      </c>
      <c r="D1034" s="310"/>
      <c r="E1034" s="287" t="str">
        <f>HYPERLINK("#LAYOUT_m1!lay중YPSY6A25","YPSY6A25")</f>
        <v>YPSY6A25</v>
      </c>
      <c r="F1034" s="78">
        <v>0</v>
      </c>
      <c r="G1034" s="179" t="s">
        <v>385</v>
      </c>
      <c r="H1034" s="233">
        <v>86.585217732297096</v>
      </c>
      <c r="I1034" s="327"/>
      <c r="J1034" s="327"/>
      <c r="K1034" s="327"/>
      <c r="L1034" s="233">
        <v>86.037260188107496</v>
      </c>
      <c r="M1034" s="327"/>
      <c r="N1034" s="327"/>
      <c r="O1034" s="327"/>
      <c r="P1034" s="327"/>
    </row>
    <row r="1035" spans="2:16" ht="18" customHeight="1">
      <c r="B1035" s="284"/>
      <c r="C1035" s="313"/>
      <c r="D1035" s="314"/>
      <c r="E1035" s="288"/>
      <c r="F1035" s="82">
        <v>1</v>
      </c>
      <c r="G1035" s="180" t="s">
        <v>386</v>
      </c>
      <c r="H1035" s="235">
        <v>13.414782267702925</v>
      </c>
      <c r="I1035" s="329"/>
      <c r="J1035" s="329"/>
      <c r="K1035" s="329"/>
      <c r="L1035" s="235">
        <v>13.962739811892501</v>
      </c>
      <c r="M1035" s="329"/>
      <c r="N1035" s="329"/>
      <c r="O1035" s="329"/>
      <c r="P1035" s="329"/>
    </row>
    <row r="1036" spans="2:16" ht="18" customHeight="1">
      <c r="B1036" s="284"/>
      <c r="C1036" s="309" t="s">
        <v>411</v>
      </c>
      <c r="D1036" s="310"/>
      <c r="E1036" s="287" t="str">
        <f>HYPERLINK("#LAYOUT_m1!lay중YPSY6A26","YPSY6A26")</f>
        <v>YPSY6A26</v>
      </c>
      <c r="F1036" s="78">
        <v>0</v>
      </c>
      <c r="G1036" s="179" t="s">
        <v>385</v>
      </c>
      <c r="H1036" s="233">
        <v>56.264290748198491</v>
      </c>
      <c r="I1036" s="327"/>
      <c r="J1036" s="327"/>
      <c r="K1036" s="327"/>
      <c r="L1036" s="233">
        <v>63.853592147314075</v>
      </c>
      <c r="M1036" s="327"/>
      <c r="N1036" s="327"/>
      <c r="O1036" s="327"/>
      <c r="P1036" s="327"/>
    </row>
    <row r="1037" spans="2:16" ht="18" customHeight="1">
      <c r="B1037" s="284"/>
      <c r="C1037" s="313"/>
      <c r="D1037" s="314"/>
      <c r="E1037" s="288"/>
      <c r="F1037" s="82">
        <v>1</v>
      </c>
      <c r="G1037" s="180" t="s">
        <v>386</v>
      </c>
      <c r="H1037" s="235">
        <v>43.735709251801509</v>
      </c>
      <c r="I1037" s="329"/>
      <c r="J1037" s="329"/>
      <c r="K1037" s="329"/>
      <c r="L1037" s="235">
        <v>36.14640785268589</v>
      </c>
      <c r="M1037" s="329"/>
      <c r="N1037" s="329"/>
      <c r="O1037" s="329"/>
      <c r="P1037" s="329"/>
    </row>
    <row r="1038" spans="2:16" ht="18" customHeight="1">
      <c r="B1038" s="284"/>
      <c r="C1038" s="309" t="s">
        <v>412</v>
      </c>
      <c r="D1038" s="310"/>
      <c r="E1038" s="287" t="str">
        <f>HYPERLINK("#LAYOUT_m1!lay중YPSY6A27","YPSY6A27")</f>
        <v>YPSY6A27</v>
      </c>
      <c r="F1038" s="78">
        <v>0</v>
      </c>
      <c r="G1038" s="179" t="s">
        <v>385</v>
      </c>
      <c r="H1038" s="233">
        <v>73.176021088766788</v>
      </c>
      <c r="I1038" s="327"/>
      <c r="J1038" s="327"/>
      <c r="K1038" s="327"/>
      <c r="L1038" s="233">
        <v>77.148549223548358</v>
      </c>
      <c r="M1038" s="327"/>
      <c r="N1038" s="327"/>
      <c r="O1038" s="327"/>
      <c r="P1038" s="327"/>
    </row>
    <row r="1039" spans="2:16" ht="18" customHeight="1">
      <c r="B1039" s="284"/>
      <c r="C1039" s="313"/>
      <c r="D1039" s="314"/>
      <c r="E1039" s="288"/>
      <c r="F1039" s="82">
        <v>1</v>
      </c>
      <c r="G1039" s="180" t="s">
        <v>386</v>
      </c>
      <c r="H1039" s="235">
        <v>26.823978911233237</v>
      </c>
      <c r="I1039" s="329"/>
      <c r="J1039" s="329"/>
      <c r="K1039" s="329"/>
      <c r="L1039" s="235">
        <v>22.851450776451646</v>
      </c>
      <c r="M1039" s="329"/>
      <c r="N1039" s="329"/>
      <c r="O1039" s="329"/>
      <c r="P1039" s="329"/>
    </row>
    <row r="1040" spans="2:16" ht="18" customHeight="1">
      <c r="B1040" s="284"/>
      <c r="C1040" s="309" t="s">
        <v>413</v>
      </c>
      <c r="D1040" s="310"/>
      <c r="E1040" s="287" t="str">
        <f>HYPERLINK("#LAYOUT_m1!lay중YPSY6A28","YPSY6A28")</f>
        <v>YPSY6A28</v>
      </c>
      <c r="F1040" s="78">
        <v>0</v>
      </c>
      <c r="G1040" s="179" t="s">
        <v>385</v>
      </c>
      <c r="H1040" s="233">
        <v>86.444180648391551</v>
      </c>
      <c r="I1040" s="327"/>
      <c r="J1040" s="327"/>
      <c r="K1040" s="327"/>
      <c r="L1040" s="233">
        <v>89.737318434478908</v>
      </c>
      <c r="M1040" s="327"/>
      <c r="N1040" s="327"/>
      <c r="O1040" s="327"/>
      <c r="P1040" s="327"/>
    </row>
    <row r="1041" spans="2:16" ht="18" customHeight="1">
      <c r="B1041" s="284"/>
      <c r="C1041" s="313"/>
      <c r="D1041" s="314"/>
      <c r="E1041" s="288"/>
      <c r="F1041" s="82">
        <v>1</v>
      </c>
      <c r="G1041" s="180" t="s">
        <v>386</v>
      </c>
      <c r="H1041" s="235">
        <v>13.55581935160845</v>
      </c>
      <c r="I1041" s="329"/>
      <c r="J1041" s="329"/>
      <c r="K1041" s="329"/>
      <c r="L1041" s="235">
        <v>10.262681565521056</v>
      </c>
      <c r="M1041" s="329"/>
      <c r="N1041" s="329"/>
      <c r="O1041" s="329"/>
      <c r="P1041" s="329"/>
    </row>
    <row r="1042" spans="2:16" ht="18" customHeight="1">
      <c r="B1042" s="284"/>
      <c r="C1042" s="309" t="s">
        <v>414</v>
      </c>
      <c r="D1042" s="310"/>
      <c r="E1042" s="287" t="str">
        <f>HYPERLINK("#LAYOUT_m1!lay중YPSY6A29","YPSY6A29")</f>
        <v>YPSY6A29</v>
      </c>
      <c r="F1042" s="78">
        <v>0</v>
      </c>
      <c r="G1042" s="179" t="s">
        <v>385</v>
      </c>
      <c r="H1042" s="233">
        <v>53.356998586205194</v>
      </c>
      <c r="I1042" s="327"/>
      <c r="J1042" s="327"/>
      <c r="K1042" s="327"/>
      <c r="L1042" s="233">
        <v>65.161969650570086</v>
      </c>
      <c r="M1042" s="327"/>
      <c r="N1042" s="327"/>
      <c r="O1042" s="327"/>
      <c r="P1042" s="327"/>
    </row>
    <row r="1043" spans="2:16" ht="18" customHeight="1">
      <c r="B1043" s="284"/>
      <c r="C1043" s="313"/>
      <c r="D1043" s="314"/>
      <c r="E1043" s="288"/>
      <c r="F1043" s="82">
        <v>1</v>
      </c>
      <c r="G1043" s="180" t="s">
        <v>386</v>
      </c>
      <c r="H1043" s="235">
        <v>46.643001413794785</v>
      </c>
      <c r="I1043" s="329"/>
      <c r="J1043" s="329"/>
      <c r="K1043" s="329"/>
      <c r="L1043" s="235">
        <v>34.8380303494299</v>
      </c>
      <c r="M1043" s="329"/>
      <c r="N1043" s="329"/>
      <c r="O1043" s="329"/>
      <c r="P1043" s="329"/>
    </row>
    <row r="1044" spans="2:16" ht="18" customHeight="1">
      <c r="B1044" s="284"/>
      <c r="C1044" s="309" t="s">
        <v>415</v>
      </c>
      <c r="D1044" s="310"/>
      <c r="E1044" s="287" t="str">
        <f>HYPERLINK("#LAYOUT_m1!lay중YPSY6A30","YPSY6A30")</f>
        <v>YPSY6A30</v>
      </c>
      <c r="F1044" s="78">
        <v>0</v>
      </c>
      <c r="G1044" s="179" t="s">
        <v>385</v>
      </c>
      <c r="H1044" s="233">
        <v>75.548757915466652</v>
      </c>
      <c r="I1044" s="327"/>
      <c r="J1044" s="327"/>
      <c r="K1044" s="327"/>
      <c r="L1044" s="233">
        <v>81.534122042235651</v>
      </c>
      <c r="M1044" s="327"/>
      <c r="N1044" s="327"/>
      <c r="O1044" s="327"/>
      <c r="P1044" s="327"/>
    </row>
    <row r="1045" spans="2:16" ht="18" customHeight="1">
      <c r="B1045" s="286"/>
      <c r="C1045" s="313"/>
      <c r="D1045" s="314"/>
      <c r="E1045" s="288"/>
      <c r="F1045" s="82">
        <v>1</v>
      </c>
      <c r="G1045" s="180" t="s">
        <v>386</v>
      </c>
      <c r="H1045" s="235">
        <v>24.451242084533355</v>
      </c>
      <c r="I1045" s="329"/>
      <c r="J1045" s="329"/>
      <c r="K1045" s="329"/>
      <c r="L1045" s="235">
        <v>18.465877957764359</v>
      </c>
      <c r="M1045" s="329"/>
      <c r="N1045" s="329"/>
      <c r="O1045" s="329"/>
      <c r="P1045" s="329"/>
    </row>
    <row r="1046" spans="2:16" s="243" customFormat="1" ht="18" customHeight="1">
      <c r="B1046" s="322" t="s">
        <v>1835</v>
      </c>
      <c r="C1046" s="322"/>
      <c r="D1046" s="323"/>
      <c r="E1046" s="197" t="str">
        <f>HYPERLINK("#LAYOUT_m1!lay중YPSY6Asc","YPSY6Asc")</f>
        <v>YPSY6Asc</v>
      </c>
      <c r="F1046" s="79" t="s">
        <v>1833</v>
      </c>
      <c r="G1046" s="248" t="s">
        <v>1836</v>
      </c>
      <c r="H1046" s="234" t="s">
        <v>1833</v>
      </c>
      <c r="I1046" s="242"/>
      <c r="J1046" s="242"/>
      <c r="K1046" s="242"/>
      <c r="L1046" s="234" t="s">
        <v>1</v>
      </c>
      <c r="M1046" s="251"/>
      <c r="N1046" s="251"/>
      <c r="O1046" s="251"/>
      <c r="P1046" s="251"/>
    </row>
    <row r="1047" spans="2:16" ht="18" customHeight="1">
      <c r="B1047" s="282" t="s">
        <v>239</v>
      </c>
      <c r="C1047" s="309" t="s">
        <v>240</v>
      </c>
      <c r="D1047" s="310"/>
      <c r="E1047" s="287" t="str">
        <f>HYPERLINK("#LAYOUT_m1!lay중YPSY7A01","YPSY7A01")</f>
        <v>YPSY7A01</v>
      </c>
      <c r="F1047" s="78">
        <v>1</v>
      </c>
      <c r="G1047" s="179" t="s">
        <v>105</v>
      </c>
      <c r="H1047" s="233">
        <v>11.218013626017752</v>
      </c>
      <c r="I1047" s="327">
        <v>2.4481730446713503</v>
      </c>
      <c r="J1047" s="327">
        <v>1.5134573595275523E-2</v>
      </c>
      <c r="K1047" s="327">
        <v>0.6181986860862293</v>
      </c>
      <c r="L1047" s="233">
        <v>9.6655632385465786</v>
      </c>
      <c r="M1047" s="327">
        <v>2.4488152909750314</v>
      </c>
      <c r="N1047" s="327">
        <v>0.73178972981622392</v>
      </c>
      <c r="O1047" s="327">
        <v>1.4820725359796803E-2</v>
      </c>
      <c r="P1047" s="327">
        <v>0.60522022279172083</v>
      </c>
    </row>
    <row r="1048" spans="2:16" ht="18" customHeight="1">
      <c r="B1048" s="284"/>
      <c r="C1048" s="311"/>
      <c r="D1048" s="312"/>
      <c r="E1048" s="289"/>
      <c r="F1048" s="79">
        <v>2</v>
      </c>
      <c r="G1048" s="178" t="s">
        <v>106</v>
      </c>
      <c r="H1048" s="234">
        <v>38.814167223298114</v>
      </c>
      <c r="I1048" s="328"/>
      <c r="J1048" s="328"/>
      <c r="K1048" s="328"/>
      <c r="L1048" s="234">
        <v>40.517602646969742</v>
      </c>
      <c r="M1048" s="328">
        <v>2.4488152909750314</v>
      </c>
      <c r="N1048" s="328">
        <v>0.73178972981622392</v>
      </c>
      <c r="O1048" s="328">
        <v>1.4820725359796803E-2</v>
      </c>
      <c r="P1048" s="328">
        <v>0.60522022279172083</v>
      </c>
    </row>
    <row r="1049" spans="2:16" ht="18" customHeight="1">
      <c r="B1049" s="284"/>
      <c r="C1049" s="311"/>
      <c r="D1049" s="312"/>
      <c r="E1049" s="289"/>
      <c r="F1049" s="79">
        <v>3</v>
      </c>
      <c r="G1049" s="178" t="s">
        <v>107</v>
      </c>
      <c r="H1049" s="234">
        <v>43.900320208215696</v>
      </c>
      <c r="I1049" s="328"/>
      <c r="J1049" s="328"/>
      <c r="K1049" s="328"/>
      <c r="L1049" s="234">
        <v>45.086575892916393</v>
      </c>
      <c r="M1049" s="328">
        <v>2.4488152909750314</v>
      </c>
      <c r="N1049" s="328">
        <v>0.73178972981622392</v>
      </c>
      <c r="O1049" s="328">
        <v>1.4820725359796803E-2</v>
      </c>
      <c r="P1049" s="328">
        <v>0.60522022279172083</v>
      </c>
    </row>
    <row r="1050" spans="2:16" ht="18" customHeight="1">
      <c r="B1050" s="284"/>
      <c r="C1050" s="313"/>
      <c r="D1050" s="314"/>
      <c r="E1050" s="288"/>
      <c r="F1050" s="82">
        <v>4</v>
      </c>
      <c r="G1050" s="180" t="s">
        <v>108</v>
      </c>
      <c r="H1050" s="235">
        <v>6.0674989424684522</v>
      </c>
      <c r="I1050" s="329"/>
      <c r="J1050" s="329"/>
      <c r="K1050" s="329"/>
      <c r="L1050" s="235">
        <v>4.7302582215672881</v>
      </c>
      <c r="M1050" s="329">
        <v>2.4488152909750314</v>
      </c>
      <c r="N1050" s="329">
        <v>0.73178972981622392</v>
      </c>
      <c r="O1050" s="329">
        <v>1.4820725359796803E-2</v>
      </c>
      <c r="P1050" s="329">
        <v>0.60522022279172083</v>
      </c>
    </row>
    <row r="1051" spans="2:16" ht="18" customHeight="1">
      <c r="B1051" s="284"/>
      <c r="C1051" s="309" t="s">
        <v>528</v>
      </c>
      <c r="D1051" s="310"/>
      <c r="E1051" s="287" t="str">
        <f>HYPERLINK("#LAYOUT_m1!lay중YPSY7A02","YPSY7A02")</f>
        <v>YPSY7A02</v>
      </c>
      <c r="F1051" s="78">
        <v>1</v>
      </c>
      <c r="G1051" s="179" t="s">
        <v>105</v>
      </c>
      <c r="H1051" s="233">
        <v>5.0332309683877963</v>
      </c>
      <c r="I1051" s="327">
        <v>2.7121506730969887</v>
      </c>
      <c r="J1051" s="327">
        <v>1.4494740311810497E-2</v>
      </c>
      <c r="K1051" s="327">
        <v>0.53443713343768762</v>
      </c>
      <c r="L1051" s="233">
        <v>4.5087401055138692</v>
      </c>
      <c r="M1051" s="327">
        <v>2.6993828994514919</v>
      </c>
      <c r="N1051" s="327">
        <v>0.700763933532773</v>
      </c>
      <c r="O1051" s="327">
        <v>1.4192368897481449E-2</v>
      </c>
      <c r="P1051" s="327">
        <v>0.52576345876553188</v>
      </c>
    </row>
    <row r="1052" spans="2:16" ht="18" customHeight="1">
      <c r="B1052" s="284"/>
      <c r="C1052" s="311"/>
      <c r="D1052" s="312"/>
      <c r="E1052" s="289"/>
      <c r="F1052" s="79">
        <v>2</v>
      </c>
      <c r="G1052" s="178" t="s">
        <v>106</v>
      </c>
      <c r="H1052" s="234">
        <v>30.63275613861164</v>
      </c>
      <c r="I1052" s="328"/>
      <c r="J1052" s="328"/>
      <c r="K1052" s="328"/>
      <c r="L1052" s="234">
        <v>30.566600128262209</v>
      </c>
      <c r="M1052" s="328">
        <v>2.6993828994514919</v>
      </c>
      <c r="N1052" s="328">
        <v>0.700763933532773</v>
      </c>
      <c r="O1052" s="328">
        <v>1.4192368897481449E-2</v>
      </c>
      <c r="P1052" s="328">
        <v>0.52576345876553188</v>
      </c>
    </row>
    <row r="1053" spans="2:16" ht="18" customHeight="1">
      <c r="B1053" s="284"/>
      <c r="C1053" s="311"/>
      <c r="D1053" s="312"/>
      <c r="E1053" s="289"/>
      <c r="F1053" s="79">
        <v>3</v>
      </c>
      <c r="G1053" s="178" t="s">
        <v>107</v>
      </c>
      <c r="H1053" s="234">
        <v>52.419727507915077</v>
      </c>
      <c r="I1053" s="328"/>
      <c r="J1053" s="328"/>
      <c r="K1053" s="328"/>
      <c r="L1053" s="234">
        <v>55.402289481783299</v>
      </c>
      <c r="M1053" s="328">
        <v>2.6993828994514919</v>
      </c>
      <c r="N1053" s="328">
        <v>0.700763933532773</v>
      </c>
      <c r="O1053" s="328">
        <v>1.4192368897481449E-2</v>
      </c>
      <c r="P1053" s="328">
        <v>0.52576345876553188</v>
      </c>
    </row>
    <row r="1054" spans="2:16" ht="18" customHeight="1">
      <c r="B1054" s="284"/>
      <c r="C1054" s="313"/>
      <c r="D1054" s="314"/>
      <c r="E1054" s="288"/>
      <c r="F1054" s="82">
        <v>4</v>
      </c>
      <c r="G1054" s="180" t="s">
        <v>108</v>
      </c>
      <c r="H1054" s="235">
        <v>11.914285385085496</v>
      </c>
      <c r="I1054" s="329"/>
      <c r="J1054" s="329"/>
      <c r="K1054" s="329"/>
      <c r="L1054" s="235">
        <v>9.5223702844405995</v>
      </c>
      <c r="M1054" s="329">
        <v>2.6993828994514919</v>
      </c>
      <c r="N1054" s="329">
        <v>0.700763933532773</v>
      </c>
      <c r="O1054" s="329">
        <v>1.4192368897481449E-2</v>
      </c>
      <c r="P1054" s="329">
        <v>0.52576345876553188</v>
      </c>
    </row>
    <row r="1055" spans="2:16" ht="18" customHeight="1">
      <c r="B1055" s="284"/>
      <c r="C1055" s="309" t="s">
        <v>241</v>
      </c>
      <c r="D1055" s="310"/>
      <c r="E1055" s="287" t="str">
        <f>HYPERLINK("#LAYOUT_m1!lay중YPSY7A03","YPSY7A03")</f>
        <v>YPSY7A03</v>
      </c>
      <c r="F1055" s="78">
        <v>1</v>
      </c>
      <c r="G1055" s="179" t="s">
        <v>105</v>
      </c>
      <c r="H1055" s="233">
        <v>12.348630398343337</v>
      </c>
      <c r="I1055" s="327">
        <v>2.3828054007836381</v>
      </c>
      <c r="J1055" s="327">
        <v>1.507285164661255E-2</v>
      </c>
      <c r="K1055" s="327">
        <v>0.6325674619360655</v>
      </c>
      <c r="L1055" s="233">
        <v>11.703495778050071</v>
      </c>
      <c r="M1055" s="327">
        <v>2.4374288399379549</v>
      </c>
      <c r="N1055" s="327">
        <v>0.75716073309427057</v>
      </c>
      <c r="O1055" s="327">
        <v>1.5334556937866188E-2</v>
      </c>
      <c r="P1055" s="327">
        <v>0.62912839491373806</v>
      </c>
    </row>
    <row r="1056" spans="2:16" ht="18" customHeight="1">
      <c r="B1056" s="284"/>
      <c r="C1056" s="311"/>
      <c r="D1056" s="312"/>
      <c r="E1056" s="289"/>
      <c r="F1056" s="79">
        <v>2</v>
      </c>
      <c r="G1056" s="178" t="s">
        <v>106</v>
      </c>
      <c r="H1056" s="234">
        <v>42.270153838564731</v>
      </c>
      <c r="I1056" s="328"/>
      <c r="J1056" s="328"/>
      <c r="K1056" s="328"/>
      <c r="L1056" s="234">
        <v>37.495247530796938</v>
      </c>
      <c r="M1056" s="328">
        <v>2.4374288399379549</v>
      </c>
      <c r="N1056" s="328">
        <v>0.75716073309427057</v>
      </c>
      <c r="O1056" s="328">
        <v>1.5334556937866188E-2</v>
      </c>
      <c r="P1056" s="328">
        <v>0.62912839491373806</v>
      </c>
    </row>
    <row r="1057" spans="2:16" ht="18" customHeight="1">
      <c r="B1057" s="284"/>
      <c r="C1057" s="311"/>
      <c r="D1057" s="312"/>
      <c r="E1057" s="289"/>
      <c r="F1057" s="79">
        <v>3</v>
      </c>
      <c r="G1057" s="178" t="s">
        <v>107</v>
      </c>
      <c r="H1057" s="234">
        <v>40.133261049476765</v>
      </c>
      <c r="I1057" s="328"/>
      <c r="J1057" s="328"/>
      <c r="K1057" s="328"/>
      <c r="L1057" s="234">
        <v>46.156133610459186</v>
      </c>
      <c r="M1057" s="328">
        <v>2.4374288399379549</v>
      </c>
      <c r="N1057" s="328">
        <v>0.75716073309427057</v>
      </c>
      <c r="O1057" s="328">
        <v>1.5334556937866188E-2</v>
      </c>
      <c r="P1057" s="328">
        <v>0.62912839491373806</v>
      </c>
    </row>
    <row r="1058" spans="2:16" ht="18" customHeight="1">
      <c r="B1058" s="284"/>
      <c r="C1058" s="313"/>
      <c r="D1058" s="314"/>
      <c r="E1058" s="288"/>
      <c r="F1058" s="82">
        <v>4</v>
      </c>
      <c r="G1058" s="180" t="s">
        <v>108</v>
      </c>
      <c r="H1058" s="235">
        <v>5.2479547136151696</v>
      </c>
      <c r="I1058" s="329"/>
      <c r="J1058" s="329"/>
      <c r="K1058" s="329"/>
      <c r="L1058" s="235">
        <v>4.6451230806937955</v>
      </c>
      <c r="M1058" s="329">
        <v>2.4374288399379549</v>
      </c>
      <c r="N1058" s="329">
        <v>0.75716073309427057</v>
      </c>
      <c r="O1058" s="329">
        <v>1.5334556937866188E-2</v>
      </c>
      <c r="P1058" s="329">
        <v>0.62912839491373806</v>
      </c>
    </row>
    <row r="1059" spans="2:16" ht="18" customHeight="1">
      <c r="B1059" s="284"/>
      <c r="C1059" s="309" t="s">
        <v>242</v>
      </c>
      <c r="D1059" s="310"/>
      <c r="E1059" s="287" t="str">
        <f>HYPERLINK("#LAYOUT_m1!lay중YPSY7A04","YPSY7A04")</f>
        <v>YPSY7A04</v>
      </c>
      <c r="F1059" s="78">
        <v>1</v>
      </c>
      <c r="G1059" s="179" t="s">
        <v>105</v>
      </c>
      <c r="H1059" s="233">
        <v>3.0470530163664038</v>
      </c>
      <c r="I1059" s="327">
        <v>2.7863610566160792</v>
      </c>
      <c r="J1059" s="327">
        <v>1.4286500870056409E-2</v>
      </c>
      <c r="K1059" s="327">
        <v>0.51272970658751549</v>
      </c>
      <c r="L1059" s="233">
        <v>4.9356808627345314</v>
      </c>
      <c r="M1059" s="327">
        <v>2.7312812713938501</v>
      </c>
      <c r="N1059" s="327">
        <v>0.75020396005346568</v>
      </c>
      <c r="O1059" s="327">
        <v>1.5193663429215696E-2</v>
      </c>
      <c r="P1059" s="327">
        <v>0.55628336738317496</v>
      </c>
    </row>
    <row r="1060" spans="2:16" ht="18" customHeight="1">
      <c r="B1060" s="284"/>
      <c r="C1060" s="311"/>
      <c r="D1060" s="312"/>
      <c r="E1060" s="289"/>
      <c r="F1060" s="79">
        <v>2</v>
      </c>
      <c r="G1060" s="178" t="s">
        <v>106</v>
      </c>
      <c r="H1060" s="234">
        <v>30.244144692012256</v>
      </c>
      <c r="I1060" s="328"/>
      <c r="J1060" s="328"/>
      <c r="K1060" s="328"/>
      <c r="L1060" s="234">
        <v>30.368138310863714</v>
      </c>
      <c r="M1060" s="328">
        <v>2.7312812713938501</v>
      </c>
      <c r="N1060" s="328">
        <v>0.75020396005346568</v>
      </c>
      <c r="O1060" s="328">
        <v>1.5193663429215696E-2</v>
      </c>
      <c r="P1060" s="328">
        <v>0.55628336738317496</v>
      </c>
    </row>
    <row r="1061" spans="2:16" ht="18" customHeight="1">
      <c r="B1061" s="284"/>
      <c r="C1061" s="311"/>
      <c r="D1061" s="312"/>
      <c r="E1061" s="289"/>
      <c r="F1061" s="79">
        <v>3</v>
      </c>
      <c r="G1061" s="178" t="s">
        <v>107</v>
      </c>
      <c r="H1061" s="234">
        <v>51.734445905268835</v>
      </c>
      <c r="I1061" s="328"/>
      <c r="J1061" s="328"/>
      <c r="K1061" s="328"/>
      <c r="L1061" s="234">
        <v>51.328553650683354</v>
      </c>
      <c r="M1061" s="328">
        <v>2.7312812713938501</v>
      </c>
      <c r="N1061" s="328">
        <v>0.75020396005346568</v>
      </c>
      <c r="O1061" s="328">
        <v>1.5193663429215696E-2</v>
      </c>
      <c r="P1061" s="328">
        <v>0.55628336738317496</v>
      </c>
    </row>
    <row r="1062" spans="2:16" ht="18" customHeight="1">
      <c r="B1062" s="284"/>
      <c r="C1062" s="313"/>
      <c r="D1062" s="314"/>
      <c r="E1062" s="288"/>
      <c r="F1062" s="82">
        <v>4</v>
      </c>
      <c r="G1062" s="180" t="s">
        <v>108</v>
      </c>
      <c r="H1062" s="235">
        <v>14.974356386352502</v>
      </c>
      <c r="I1062" s="329"/>
      <c r="J1062" s="329"/>
      <c r="K1062" s="329"/>
      <c r="L1062" s="235">
        <v>13.367627175718404</v>
      </c>
      <c r="M1062" s="329">
        <v>2.7312812713938501</v>
      </c>
      <c r="N1062" s="329">
        <v>0.75020396005346568</v>
      </c>
      <c r="O1062" s="329">
        <v>1.5193663429215696E-2</v>
      </c>
      <c r="P1062" s="329">
        <v>0.55628336738317496</v>
      </c>
    </row>
    <row r="1063" spans="2:16" ht="18" customHeight="1">
      <c r="B1063" s="284"/>
      <c r="C1063" s="309" t="s">
        <v>243</v>
      </c>
      <c r="D1063" s="310"/>
      <c r="E1063" s="287" t="str">
        <f>HYPERLINK("#LAYOUT_m1!lay중YPSY7A05","YPSY7A05")</f>
        <v>YPSY7A05</v>
      </c>
      <c r="F1063" s="78">
        <v>1</v>
      </c>
      <c r="G1063" s="179" t="s">
        <v>105</v>
      </c>
      <c r="H1063" s="233">
        <v>10.797113880296839</v>
      </c>
      <c r="I1063" s="327">
        <v>2.3767658891646382</v>
      </c>
      <c r="J1063" s="327">
        <v>1.4559532753643151E-2</v>
      </c>
      <c r="K1063" s="327">
        <v>0.61257748691270519</v>
      </c>
      <c r="L1063" s="233">
        <v>8.2805130692477942</v>
      </c>
      <c r="M1063" s="327">
        <v>2.4334066533100072</v>
      </c>
      <c r="N1063" s="327">
        <v>0.71543013673370992</v>
      </c>
      <c r="O1063" s="327">
        <v>1.4489399261335635E-2</v>
      </c>
      <c r="P1063" s="327">
        <v>0.59543682276148246</v>
      </c>
    </row>
    <row r="1064" spans="2:16" ht="18" customHeight="1">
      <c r="B1064" s="284"/>
      <c r="C1064" s="311"/>
      <c r="D1064" s="312"/>
      <c r="E1064" s="289"/>
      <c r="F1064" s="79">
        <v>2</v>
      </c>
      <c r="G1064" s="178" t="s">
        <v>106</v>
      </c>
      <c r="H1064" s="234">
        <v>45.632211970185558</v>
      </c>
      <c r="I1064" s="328"/>
      <c r="J1064" s="328"/>
      <c r="K1064" s="328"/>
      <c r="L1064" s="234">
        <v>45.121046045216488</v>
      </c>
      <c r="M1064" s="328">
        <v>2.4334066533100072</v>
      </c>
      <c r="N1064" s="328">
        <v>0.71543013673370992</v>
      </c>
      <c r="O1064" s="328">
        <v>1.4489399261335635E-2</v>
      </c>
      <c r="P1064" s="328">
        <v>0.59543682276148246</v>
      </c>
    </row>
    <row r="1065" spans="2:16" ht="18" customHeight="1">
      <c r="B1065" s="284"/>
      <c r="C1065" s="311"/>
      <c r="D1065" s="312"/>
      <c r="E1065" s="289"/>
      <c r="F1065" s="79">
        <v>3</v>
      </c>
      <c r="G1065" s="178" t="s">
        <v>107</v>
      </c>
      <c r="H1065" s="234">
        <v>38.667645502274752</v>
      </c>
      <c r="I1065" s="328"/>
      <c r="J1065" s="328"/>
      <c r="K1065" s="328"/>
      <c r="L1065" s="234">
        <v>41.575703370822012</v>
      </c>
      <c r="M1065" s="328">
        <v>2.4334066533100072</v>
      </c>
      <c r="N1065" s="328">
        <v>0.71543013673370992</v>
      </c>
      <c r="O1065" s="328">
        <v>1.4489399261335635E-2</v>
      </c>
      <c r="P1065" s="328">
        <v>0.59543682276148246</v>
      </c>
    </row>
    <row r="1066" spans="2:16" ht="18" customHeight="1">
      <c r="B1066" s="284"/>
      <c r="C1066" s="313"/>
      <c r="D1066" s="314"/>
      <c r="E1066" s="288"/>
      <c r="F1066" s="82">
        <v>4</v>
      </c>
      <c r="G1066" s="180" t="s">
        <v>108</v>
      </c>
      <c r="H1066" s="235">
        <v>4.9030286472428708</v>
      </c>
      <c r="I1066" s="329"/>
      <c r="J1066" s="329"/>
      <c r="K1066" s="329"/>
      <c r="L1066" s="235">
        <v>5.022737514713711</v>
      </c>
      <c r="M1066" s="329">
        <v>2.4334066533100072</v>
      </c>
      <c r="N1066" s="329">
        <v>0.71543013673370992</v>
      </c>
      <c r="O1066" s="329">
        <v>1.4489399261335635E-2</v>
      </c>
      <c r="P1066" s="329">
        <v>0.59543682276148246</v>
      </c>
    </row>
    <row r="1067" spans="2:16" ht="18" customHeight="1">
      <c r="B1067" s="284"/>
      <c r="C1067" s="309" t="s">
        <v>244</v>
      </c>
      <c r="D1067" s="310"/>
      <c r="E1067" s="287" t="str">
        <f>HYPERLINK("#LAYOUT_m1!lay중YPSY7A06","YPSY7A06")</f>
        <v>YPSY7A06</v>
      </c>
      <c r="F1067" s="78">
        <v>1</v>
      </c>
      <c r="G1067" s="179" t="s">
        <v>105</v>
      </c>
      <c r="H1067" s="233">
        <v>15.408701583625747</v>
      </c>
      <c r="I1067" s="327">
        <v>2.2622470923796802</v>
      </c>
      <c r="J1067" s="327">
        <v>1.5084925036641382E-2</v>
      </c>
      <c r="K1067" s="327">
        <v>0.66681155597257902</v>
      </c>
      <c r="L1067" s="233">
        <v>11.234904495209824</v>
      </c>
      <c r="M1067" s="327">
        <v>2.3264589941758649</v>
      </c>
      <c r="N1067" s="327">
        <v>0.71999632450970397</v>
      </c>
      <c r="O1067" s="327">
        <v>1.4581876939296839E-2</v>
      </c>
      <c r="P1067" s="327">
        <v>0.62678418041330619</v>
      </c>
    </row>
    <row r="1068" spans="2:16" ht="18" customHeight="1">
      <c r="B1068" s="284"/>
      <c r="C1068" s="311"/>
      <c r="D1068" s="312"/>
      <c r="E1068" s="289"/>
      <c r="F1068" s="79">
        <v>2</v>
      </c>
      <c r="G1068" s="178" t="s">
        <v>106</v>
      </c>
      <c r="H1068" s="234">
        <v>47.33249827234394</v>
      </c>
      <c r="I1068" s="328"/>
      <c r="J1068" s="328"/>
      <c r="K1068" s="328"/>
      <c r="L1068" s="234">
        <v>48.564314940525328</v>
      </c>
      <c r="M1068" s="328">
        <v>2.3264589941758649</v>
      </c>
      <c r="N1068" s="328">
        <v>0.71999632450970397</v>
      </c>
      <c r="O1068" s="328">
        <v>1.4581876939296839E-2</v>
      </c>
      <c r="P1068" s="328">
        <v>0.62678418041330619</v>
      </c>
    </row>
    <row r="1069" spans="2:16" ht="18" customHeight="1">
      <c r="B1069" s="284"/>
      <c r="C1069" s="311"/>
      <c r="D1069" s="312"/>
      <c r="E1069" s="289"/>
      <c r="F1069" s="79">
        <v>3</v>
      </c>
      <c r="G1069" s="178" t="s">
        <v>107</v>
      </c>
      <c r="H1069" s="234">
        <v>32.884189466466871</v>
      </c>
      <c r="I1069" s="328"/>
      <c r="J1069" s="328"/>
      <c r="K1069" s="328"/>
      <c r="L1069" s="234">
        <v>36.520757215732068</v>
      </c>
      <c r="M1069" s="328">
        <v>2.3264589941758649</v>
      </c>
      <c r="N1069" s="328">
        <v>0.71999632450970397</v>
      </c>
      <c r="O1069" s="328">
        <v>1.4581876939296839E-2</v>
      </c>
      <c r="P1069" s="328">
        <v>0.62678418041330619</v>
      </c>
    </row>
    <row r="1070" spans="2:16" ht="18" customHeight="1">
      <c r="B1070" s="284"/>
      <c r="C1070" s="313"/>
      <c r="D1070" s="314"/>
      <c r="E1070" s="288"/>
      <c r="F1070" s="82">
        <v>4</v>
      </c>
      <c r="G1070" s="180" t="s">
        <v>108</v>
      </c>
      <c r="H1070" s="235">
        <v>4.3746106775634575</v>
      </c>
      <c r="I1070" s="329"/>
      <c r="J1070" s="329"/>
      <c r="K1070" s="329"/>
      <c r="L1070" s="235">
        <v>3.6800233485327905</v>
      </c>
      <c r="M1070" s="329">
        <v>2.3264589941758649</v>
      </c>
      <c r="N1070" s="329">
        <v>0.71999632450970397</v>
      </c>
      <c r="O1070" s="329">
        <v>1.4581876939296839E-2</v>
      </c>
      <c r="P1070" s="329">
        <v>0.62678418041330619</v>
      </c>
    </row>
    <row r="1071" spans="2:16" ht="18" customHeight="1">
      <c r="B1071" s="284"/>
      <c r="C1071" s="309" t="s">
        <v>245</v>
      </c>
      <c r="D1071" s="310"/>
      <c r="E1071" s="287" t="str">
        <f>HYPERLINK("#LAYOUT_m1!lay중YPSY7A07","YPSY7A07")</f>
        <v>YPSY7A07</v>
      </c>
      <c r="F1071" s="78">
        <v>1</v>
      </c>
      <c r="G1071" s="179" t="s">
        <v>105</v>
      </c>
      <c r="H1071" s="233">
        <v>3.5942570018570401</v>
      </c>
      <c r="I1071" s="327">
        <v>2.7303927062036744</v>
      </c>
      <c r="J1071" s="327">
        <v>1.4996686838363475E-2</v>
      </c>
      <c r="K1071" s="327">
        <v>0.54925017944450949</v>
      </c>
      <c r="L1071" s="233">
        <v>2.6939387791722287</v>
      </c>
      <c r="M1071" s="327">
        <v>2.7114867982527429</v>
      </c>
      <c r="N1071" s="327">
        <v>0.70756800301267042</v>
      </c>
      <c r="O1071" s="327">
        <v>1.4330169745159197E-2</v>
      </c>
      <c r="P1071" s="327">
        <v>0.52849859915945085</v>
      </c>
    </row>
    <row r="1072" spans="2:16" ht="18" customHeight="1">
      <c r="B1072" s="284"/>
      <c r="C1072" s="311"/>
      <c r="D1072" s="312"/>
      <c r="E1072" s="289"/>
      <c r="F1072" s="79">
        <v>2</v>
      </c>
      <c r="G1072" s="178" t="s">
        <v>106</v>
      </c>
      <c r="H1072" s="234">
        <v>35.44538308541668</v>
      </c>
      <c r="I1072" s="328"/>
      <c r="J1072" s="328"/>
      <c r="K1072" s="328"/>
      <c r="L1072" s="234">
        <v>35.528193385088514</v>
      </c>
      <c r="M1072" s="328">
        <v>2.7114867982527429</v>
      </c>
      <c r="N1072" s="328">
        <v>0.70756800301267042</v>
      </c>
      <c r="O1072" s="328">
        <v>1.4330169745159197E-2</v>
      </c>
      <c r="P1072" s="328">
        <v>0.52849859915945085</v>
      </c>
    </row>
    <row r="1073" spans="2:16" ht="18" customHeight="1">
      <c r="B1073" s="284"/>
      <c r="C1073" s="311"/>
      <c r="D1073" s="312"/>
      <c r="E1073" s="289"/>
      <c r="F1073" s="79">
        <v>3</v>
      </c>
      <c r="G1073" s="178" t="s">
        <v>107</v>
      </c>
      <c r="H1073" s="234">
        <v>45.287192203228706</v>
      </c>
      <c r="I1073" s="328"/>
      <c r="J1073" s="328"/>
      <c r="K1073" s="328"/>
      <c r="L1073" s="234">
        <v>49.713117067030815</v>
      </c>
      <c r="M1073" s="328">
        <v>2.7114867982527429</v>
      </c>
      <c r="N1073" s="328">
        <v>0.70756800301267042</v>
      </c>
      <c r="O1073" s="328">
        <v>1.4330169745159197E-2</v>
      </c>
      <c r="P1073" s="328">
        <v>0.52849859915945085</v>
      </c>
    </row>
    <row r="1074" spans="2:16" ht="18" customHeight="1">
      <c r="B1074" s="284"/>
      <c r="C1074" s="313"/>
      <c r="D1074" s="314"/>
      <c r="E1074" s="288"/>
      <c r="F1074" s="82">
        <v>4</v>
      </c>
      <c r="G1074" s="180" t="s">
        <v>108</v>
      </c>
      <c r="H1074" s="235">
        <v>15.673167709497596</v>
      </c>
      <c r="I1074" s="329"/>
      <c r="J1074" s="329"/>
      <c r="K1074" s="329"/>
      <c r="L1074" s="235">
        <v>12.06475076870845</v>
      </c>
      <c r="M1074" s="329">
        <v>2.7114867982527429</v>
      </c>
      <c r="N1074" s="329">
        <v>0.70756800301267042</v>
      </c>
      <c r="O1074" s="329">
        <v>1.4330169745159197E-2</v>
      </c>
      <c r="P1074" s="329">
        <v>0.52849859915945085</v>
      </c>
    </row>
    <row r="1075" spans="2:16" ht="18" customHeight="1">
      <c r="B1075" s="284"/>
      <c r="C1075" s="309" t="s">
        <v>246</v>
      </c>
      <c r="D1075" s="310"/>
      <c r="E1075" s="287" t="str">
        <f>HYPERLINK("#LAYOUT_m1!lay중YPSY7A08","YPSY7A08")</f>
        <v>YPSY7A08</v>
      </c>
      <c r="F1075" s="78">
        <v>1</v>
      </c>
      <c r="G1075" s="179" t="s">
        <v>105</v>
      </c>
      <c r="H1075" s="233">
        <v>7.7222262242355058</v>
      </c>
      <c r="I1075" s="327">
        <v>2.5521870500802604</v>
      </c>
      <c r="J1075" s="327">
        <v>1.5417275484279402E-2</v>
      </c>
      <c r="K1075" s="327">
        <v>0.60408093849526256</v>
      </c>
      <c r="L1075" s="233">
        <v>5.5563003516193401</v>
      </c>
      <c r="M1075" s="327">
        <v>2.5701238565068283</v>
      </c>
      <c r="N1075" s="327">
        <v>0.71275530680331511</v>
      </c>
      <c r="O1075" s="327">
        <v>1.4435226705794973E-2</v>
      </c>
      <c r="P1075" s="327">
        <v>0.56165490504471427</v>
      </c>
    </row>
    <row r="1076" spans="2:16" ht="18" customHeight="1">
      <c r="B1076" s="284"/>
      <c r="C1076" s="311"/>
      <c r="D1076" s="312"/>
      <c r="E1076" s="289"/>
      <c r="F1076" s="79">
        <v>2</v>
      </c>
      <c r="G1076" s="178" t="s">
        <v>106</v>
      </c>
      <c r="H1076" s="234">
        <v>40.020069754785304</v>
      </c>
      <c r="I1076" s="328"/>
      <c r="J1076" s="328"/>
      <c r="K1076" s="328"/>
      <c r="L1076" s="234">
        <v>39.455168637339966</v>
      </c>
      <c r="M1076" s="328">
        <v>2.5701238565068283</v>
      </c>
      <c r="N1076" s="328">
        <v>0.71275530680331511</v>
      </c>
      <c r="O1076" s="328">
        <v>1.4435226705794973E-2</v>
      </c>
      <c r="P1076" s="328">
        <v>0.56165490504471427</v>
      </c>
    </row>
    <row r="1077" spans="2:16" ht="18" customHeight="1">
      <c r="B1077" s="284"/>
      <c r="C1077" s="311"/>
      <c r="D1077" s="312"/>
      <c r="E1077" s="289"/>
      <c r="F1077" s="79">
        <v>3</v>
      </c>
      <c r="G1077" s="178" t="s">
        <v>107</v>
      </c>
      <c r="H1077" s="234">
        <v>41.57447680969679</v>
      </c>
      <c r="I1077" s="328"/>
      <c r="J1077" s="328"/>
      <c r="K1077" s="328"/>
      <c r="L1077" s="234">
        <v>47.408376019778622</v>
      </c>
      <c r="M1077" s="328">
        <v>2.5701238565068283</v>
      </c>
      <c r="N1077" s="328">
        <v>0.71275530680331511</v>
      </c>
      <c r="O1077" s="328">
        <v>1.4435226705794973E-2</v>
      </c>
      <c r="P1077" s="328">
        <v>0.56165490504471427</v>
      </c>
    </row>
    <row r="1078" spans="2:16" ht="18" customHeight="1">
      <c r="B1078" s="286"/>
      <c r="C1078" s="313"/>
      <c r="D1078" s="314"/>
      <c r="E1078" s="288"/>
      <c r="F1078" s="79">
        <v>4</v>
      </c>
      <c r="G1078" s="178" t="s">
        <v>108</v>
      </c>
      <c r="H1078" s="234">
        <v>10.683227211282402</v>
      </c>
      <c r="I1078" s="329"/>
      <c r="J1078" s="329"/>
      <c r="K1078" s="329"/>
      <c r="L1078" s="234">
        <v>7.5801549912620727</v>
      </c>
      <c r="M1078" s="329">
        <v>2.5701238565068283</v>
      </c>
      <c r="N1078" s="329">
        <v>0.71275530680331511</v>
      </c>
      <c r="O1078" s="329">
        <v>1.4435226705794973E-2</v>
      </c>
      <c r="P1078" s="329">
        <v>0.56165490504471427</v>
      </c>
    </row>
    <row r="1079" spans="2:16" ht="18" customHeight="1">
      <c r="B1079" s="282" t="s">
        <v>247</v>
      </c>
      <c r="C1079" s="320" t="s">
        <v>248</v>
      </c>
      <c r="D1079" s="282"/>
      <c r="E1079" s="198" t="str">
        <f>HYPERLINK("#LAYOUT_m1!lay중YFAM1A01","YFAM1A01")</f>
        <v>YFAM1A01</v>
      </c>
      <c r="F1079" s="78" t="s">
        <v>0</v>
      </c>
      <c r="G1079" s="179" t="s">
        <v>249</v>
      </c>
      <c r="H1079" s="233" t="s">
        <v>1811</v>
      </c>
      <c r="I1079" s="238"/>
      <c r="J1079" s="238"/>
      <c r="K1079" s="238"/>
      <c r="L1079" s="233" t="s">
        <v>1</v>
      </c>
      <c r="M1079" s="250"/>
      <c r="N1079" s="250"/>
      <c r="O1079" s="250"/>
      <c r="P1079" s="250"/>
    </row>
    <row r="1080" spans="2:16" ht="18" customHeight="1">
      <c r="B1080" s="284"/>
      <c r="C1080" s="321"/>
      <c r="D1080" s="286"/>
      <c r="E1080" s="201" t="str">
        <f>HYPERLINK("#LAYOUT_m1!lay중YFAM1A02","YFAM1A02")</f>
        <v>YFAM1A02</v>
      </c>
      <c r="F1080" s="82" t="s">
        <v>0</v>
      </c>
      <c r="G1080" s="180" t="s">
        <v>53</v>
      </c>
      <c r="H1080" s="235" t="s">
        <v>1816</v>
      </c>
      <c r="I1080" s="239"/>
      <c r="J1080" s="239"/>
      <c r="K1080" s="239"/>
      <c r="L1080" s="235" t="s">
        <v>1</v>
      </c>
      <c r="M1080" s="252"/>
      <c r="N1080" s="252"/>
      <c r="O1080" s="252"/>
      <c r="P1080" s="252"/>
    </row>
    <row r="1081" spans="2:16" ht="18" customHeight="1">
      <c r="B1081" s="284"/>
      <c r="C1081" s="320" t="s">
        <v>250</v>
      </c>
      <c r="D1081" s="282"/>
      <c r="E1081" s="198" t="str">
        <f>HYPERLINK("#LAYOUT_m1!lay중YFAM1A03","YFAM1A03")</f>
        <v>YFAM1A03</v>
      </c>
      <c r="F1081" s="78" t="s">
        <v>0</v>
      </c>
      <c r="G1081" s="179" t="s">
        <v>249</v>
      </c>
      <c r="H1081" s="233" t="s">
        <v>1811</v>
      </c>
      <c r="I1081" s="238"/>
      <c r="J1081" s="238"/>
      <c r="K1081" s="238"/>
      <c r="L1081" s="233" t="s">
        <v>1</v>
      </c>
      <c r="M1081" s="250"/>
      <c r="N1081" s="250"/>
      <c r="O1081" s="250"/>
      <c r="P1081" s="250"/>
    </row>
    <row r="1082" spans="2:16" ht="18" customHeight="1">
      <c r="B1082" s="286"/>
      <c r="C1082" s="321"/>
      <c r="D1082" s="286"/>
      <c r="E1082" s="201" t="str">
        <f>HYPERLINK("#LAYOUT_m1!lay중YFAM1A04","YFAM1A04")</f>
        <v>YFAM1A04</v>
      </c>
      <c r="F1082" s="82" t="s">
        <v>0</v>
      </c>
      <c r="G1082" s="180" t="s">
        <v>53</v>
      </c>
      <c r="H1082" s="235" t="s">
        <v>1817</v>
      </c>
      <c r="I1082" s="239"/>
      <c r="J1082" s="239"/>
      <c r="K1082" s="239"/>
      <c r="L1082" s="235" t="s">
        <v>1</v>
      </c>
      <c r="M1082" s="252"/>
      <c r="N1082" s="252"/>
      <c r="O1082" s="252"/>
      <c r="P1082" s="252"/>
    </row>
    <row r="1083" spans="2:16" ht="18" customHeight="1">
      <c r="B1083" s="322" t="s">
        <v>1466</v>
      </c>
      <c r="C1083" s="322"/>
      <c r="D1083" s="323"/>
      <c r="E1083" s="197" t="str">
        <f>HYPERLINK("#LAYOUT_m1!lay중YFAM3A00","YFAM3A00")</f>
        <v>YFAM3A00</v>
      </c>
      <c r="F1083" s="78" t="s">
        <v>1</v>
      </c>
      <c r="G1083" s="179" t="s">
        <v>1467</v>
      </c>
      <c r="H1083" s="233" t="s">
        <v>1811</v>
      </c>
      <c r="I1083" s="237"/>
      <c r="J1083" s="237"/>
      <c r="K1083" s="237"/>
      <c r="L1083" s="233" t="s">
        <v>1</v>
      </c>
      <c r="M1083" s="237"/>
      <c r="N1083" s="237"/>
      <c r="O1083" s="237"/>
      <c r="P1083" s="237"/>
    </row>
    <row r="1084" spans="2:16" ht="18" customHeight="1">
      <c r="B1084" s="322" t="s">
        <v>1468</v>
      </c>
      <c r="C1084" s="281"/>
      <c r="D1084" s="282"/>
      <c r="E1084" s="198" t="str">
        <f>HYPERLINK("#LAYOUT_m1!lay중YFAM3B00","YFAM3B00")</f>
        <v>YFAM3B00</v>
      </c>
      <c r="F1084" s="78" t="s">
        <v>1</v>
      </c>
      <c r="G1084" s="183" t="s">
        <v>1688</v>
      </c>
      <c r="H1084" s="233" t="s">
        <v>1818</v>
      </c>
      <c r="I1084" s="238"/>
      <c r="J1084" s="238"/>
      <c r="K1084" s="238"/>
      <c r="L1084" s="233" t="s">
        <v>1</v>
      </c>
      <c r="M1084" s="250"/>
      <c r="N1084" s="250"/>
      <c r="O1084" s="250"/>
      <c r="P1084" s="250"/>
    </row>
    <row r="1085" spans="2:16" ht="18" customHeight="1">
      <c r="B1085" s="281" t="s">
        <v>1479</v>
      </c>
      <c r="C1085" s="303" t="s">
        <v>1480</v>
      </c>
      <c r="D1085" s="303" t="s">
        <v>248</v>
      </c>
      <c r="E1085" s="198" t="str">
        <f>HYPERLINK("#LAYOUT_m1!lay중YFAM1B01","YFAM1B01")</f>
        <v>YFAM1B01</v>
      </c>
      <c r="F1085" s="78" t="s">
        <v>0</v>
      </c>
      <c r="G1085" s="179" t="s">
        <v>1469</v>
      </c>
      <c r="H1085" s="233" t="s">
        <v>1</v>
      </c>
      <c r="I1085" s="331"/>
      <c r="J1085" s="331"/>
      <c r="K1085" s="327"/>
      <c r="L1085" s="233" t="s">
        <v>1</v>
      </c>
      <c r="M1085" s="331"/>
      <c r="N1085" s="331"/>
      <c r="O1085" s="331"/>
      <c r="P1085" s="327"/>
    </row>
    <row r="1086" spans="2:16" ht="18" customHeight="1">
      <c r="B1086" s="283"/>
      <c r="C1086" s="305"/>
      <c r="D1086" s="304"/>
      <c r="E1086" s="201" t="str">
        <f>HYPERLINK("#LAYOUT_m1!lay중YFAM1B02","YFAM1B02")</f>
        <v>YFAM1B02</v>
      </c>
      <c r="F1086" s="82" t="s">
        <v>0</v>
      </c>
      <c r="G1086" s="180" t="s">
        <v>1470</v>
      </c>
      <c r="H1086" s="235" t="s">
        <v>1811</v>
      </c>
      <c r="I1086" s="333"/>
      <c r="J1086" s="333"/>
      <c r="K1086" s="329"/>
      <c r="L1086" s="235" t="s">
        <v>1</v>
      </c>
      <c r="M1086" s="333"/>
      <c r="N1086" s="333"/>
      <c r="O1086" s="333"/>
      <c r="P1086" s="329"/>
    </row>
    <row r="1087" spans="2:16" ht="18" customHeight="1">
      <c r="B1087" s="283"/>
      <c r="C1087" s="305"/>
      <c r="D1087" s="320" t="s">
        <v>250</v>
      </c>
      <c r="E1087" s="198" t="str">
        <f>HYPERLINK("#LAYOUT_m1!lay중YFAM1B03","YFAM1B03")</f>
        <v>YFAM1B03</v>
      </c>
      <c r="F1087" s="78" t="s">
        <v>0</v>
      </c>
      <c r="G1087" s="179" t="s">
        <v>1471</v>
      </c>
      <c r="H1087" s="233" t="s">
        <v>1</v>
      </c>
      <c r="I1087" s="331"/>
      <c r="J1087" s="331"/>
      <c r="K1087" s="327"/>
      <c r="L1087" s="233" t="s">
        <v>1</v>
      </c>
      <c r="M1087" s="331"/>
      <c r="N1087" s="331"/>
      <c r="O1087" s="331"/>
      <c r="P1087" s="327"/>
    </row>
    <row r="1088" spans="2:16" ht="18" customHeight="1">
      <c r="B1088" s="283"/>
      <c r="C1088" s="304"/>
      <c r="D1088" s="321"/>
      <c r="E1088" s="201" t="str">
        <f>HYPERLINK("#LAYOUT_m1!lay중YFAM1B04","YFAM1B04")</f>
        <v>YFAM1B04</v>
      </c>
      <c r="F1088" s="82" t="s">
        <v>0</v>
      </c>
      <c r="G1088" s="180" t="s">
        <v>1472</v>
      </c>
      <c r="H1088" s="235" t="s">
        <v>1811</v>
      </c>
      <c r="I1088" s="333"/>
      <c r="J1088" s="333"/>
      <c r="K1088" s="329"/>
      <c r="L1088" s="235" t="s">
        <v>1</v>
      </c>
      <c r="M1088" s="333"/>
      <c r="N1088" s="333"/>
      <c r="O1088" s="333"/>
      <c r="P1088" s="329"/>
    </row>
    <row r="1089" spans="2:16" ht="18" customHeight="1">
      <c r="B1089" s="283"/>
      <c r="C1089" s="303" t="s">
        <v>1481</v>
      </c>
      <c r="D1089" s="320" t="s">
        <v>248</v>
      </c>
      <c r="E1089" s="198" t="str">
        <f>HYPERLINK("#LAYOUT_m1!lay중YFAM1C01","YFAM1C01")</f>
        <v>YFAM1C01</v>
      </c>
      <c r="F1089" s="78" t="s">
        <v>0</v>
      </c>
      <c r="G1089" s="179" t="s">
        <v>1471</v>
      </c>
      <c r="H1089" s="233" t="s">
        <v>1</v>
      </c>
      <c r="I1089" s="331"/>
      <c r="J1089" s="331"/>
      <c r="K1089" s="327"/>
      <c r="L1089" s="233" t="s">
        <v>1</v>
      </c>
      <c r="M1089" s="331"/>
      <c r="N1089" s="331"/>
      <c r="O1089" s="331"/>
      <c r="P1089" s="327"/>
    </row>
    <row r="1090" spans="2:16" ht="18" customHeight="1">
      <c r="B1090" s="283"/>
      <c r="C1090" s="305"/>
      <c r="D1090" s="321"/>
      <c r="E1090" s="201" t="str">
        <f>HYPERLINK("#LAYOUT_m1!lay중YFAM1C02","YFAM1C02")</f>
        <v>YFAM1C02</v>
      </c>
      <c r="F1090" s="82" t="s">
        <v>0</v>
      </c>
      <c r="G1090" s="180" t="s">
        <v>1473</v>
      </c>
      <c r="H1090" s="235" t="s">
        <v>1811</v>
      </c>
      <c r="I1090" s="333"/>
      <c r="J1090" s="333"/>
      <c r="K1090" s="329"/>
      <c r="L1090" s="235" t="s">
        <v>1</v>
      </c>
      <c r="M1090" s="333"/>
      <c r="N1090" s="333"/>
      <c r="O1090" s="333"/>
      <c r="P1090" s="329"/>
    </row>
    <row r="1091" spans="2:16" ht="18" customHeight="1">
      <c r="B1091" s="283"/>
      <c r="C1091" s="305"/>
      <c r="D1091" s="320" t="s">
        <v>250</v>
      </c>
      <c r="E1091" s="198" t="str">
        <f>HYPERLINK("#LAYOUT_m1!lay중YFAM1C03","YFAM1C03")</f>
        <v>YFAM1C03</v>
      </c>
      <c r="F1091" s="78" t="s">
        <v>0</v>
      </c>
      <c r="G1091" s="179" t="s">
        <v>1469</v>
      </c>
      <c r="H1091" s="233" t="s">
        <v>1</v>
      </c>
      <c r="I1091" s="331"/>
      <c r="J1091" s="331"/>
      <c r="K1091" s="327"/>
      <c r="L1091" s="233" t="s">
        <v>1</v>
      </c>
      <c r="M1091" s="331"/>
      <c r="N1091" s="331"/>
      <c r="O1091" s="331"/>
      <c r="P1091" s="327"/>
    </row>
    <row r="1092" spans="2:16" ht="18" customHeight="1">
      <c r="B1092" s="283"/>
      <c r="C1092" s="304"/>
      <c r="D1092" s="321"/>
      <c r="E1092" s="201" t="str">
        <f>HYPERLINK("#LAYOUT_m1!lay중YFAM1C04","YFAM1C04")</f>
        <v>YFAM1C04</v>
      </c>
      <c r="F1092" s="82" t="s">
        <v>0</v>
      </c>
      <c r="G1092" s="180" t="s">
        <v>1474</v>
      </c>
      <c r="H1092" s="235" t="s">
        <v>1811</v>
      </c>
      <c r="I1092" s="333"/>
      <c r="J1092" s="333"/>
      <c r="K1092" s="329"/>
      <c r="L1092" s="235" t="s">
        <v>1</v>
      </c>
      <c r="M1092" s="333"/>
      <c r="N1092" s="333"/>
      <c r="O1092" s="333"/>
      <c r="P1092" s="329"/>
    </row>
    <row r="1093" spans="2:16" ht="18" customHeight="1">
      <c r="B1093" s="283"/>
      <c r="C1093" s="303" t="s">
        <v>1482</v>
      </c>
      <c r="D1093" s="320" t="s">
        <v>248</v>
      </c>
      <c r="E1093" s="198" t="str">
        <f>HYPERLINK("#LAYOUT_m1!lay중YFAM1D01","YFAM1D01")</f>
        <v>YFAM1D01</v>
      </c>
      <c r="F1093" s="78" t="s">
        <v>0</v>
      </c>
      <c r="G1093" s="179" t="s">
        <v>1471</v>
      </c>
      <c r="H1093" s="233" t="s">
        <v>1</v>
      </c>
      <c r="I1093" s="331"/>
      <c r="J1093" s="331"/>
      <c r="K1093" s="327"/>
      <c r="L1093" s="233" t="s">
        <v>1</v>
      </c>
      <c r="M1093" s="331"/>
      <c r="N1093" s="331"/>
      <c r="O1093" s="331"/>
      <c r="P1093" s="327"/>
    </row>
    <row r="1094" spans="2:16" ht="18" customHeight="1">
      <c r="B1094" s="283"/>
      <c r="C1094" s="305"/>
      <c r="D1094" s="321"/>
      <c r="E1094" s="201" t="str">
        <f>HYPERLINK("#LAYOUT_m1!lay중YFAM1D02","YFAM1D02")</f>
        <v>YFAM1D02</v>
      </c>
      <c r="F1094" s="82" t="s">
        <v>0</v>
      </c>
      <c r="G1094" s="180" t="s">
        <v>1473</v>
      </c>
      <c r="H1094" s="235" t="s">
        <v>1811</v>
      </c>
      <c r="I1094" s="333"/>
      <c r="J1094" s="333"/>
      <c r="K1094" s="329"/>
      <c r="L1094" s="235" t="s">
        <v>1</v>
      </c>
      <c r="M1094" s="333"/>
      <c r="N1094" s="333"/>
      <c r="O1094" s="333"/>
      <c r="P1094" s="329"/>
    </row>
    <row r="1095" spans="2:16" ht="18" customHeight="1">
      <c r="B1095" s="283"/>
      <c r="C1095" s="305"/>
      <c r="D1095" s="320" t="s">
        <v>250</v>
      </c>
      <c r="E1095" s="198" t="str">
        <f>HYPERLINK("#LAYOUT_m1!lay중YFAM1D03","YFAM1D03")</f>
        <v>YFAM1D03</v>
      </c>
      <c r="F1095" s="78" t="s">
        <v>0</v>
      </c>
      <c r="G1095" s="179" t="s">
        <v>1471</v>
      </c>
      <c r="H1095" s="233" t="s">
        <v>1</v>
      </c>
      <c r="I1095" s="331"/>
      <c r="J1095" s="331"/>
      <c r="K1095" s="327"/>
      <c r="L1095" s="233" t="s">
        <v>1</v>
      </c>
      <c r="M1095" s="331"/>
      <c r="N1095" s="331"/>
      <c r="O1095" s="331"/>
      <c r="P1095" s="327"/>
    </row>
    <row r="1096" spans="2:16" ht="18" customHeight="1">
      <c r="B1096" s="283"/>
      <c r="C1096" s="304"/>
      <c r="D1096" s="321"/>
      <c r="E1096" s="201" t="str">
        <f>HYPERLINK("#LAYOUT_m1!lay중YFAM1D04","YFAM1D04")</f>
        <v>YFAM1D04</v>
      </c>
      <c r="F1096" s="82" t="s">
        <v>0</v>
      </c>
      <c r="G1096" s="180" t="s">
        <v>1473</v>
      </c>
      <c r="H1096" s="235" t="s">
        <v>1811</v>
      </c>
      <c r="I1096" s="333"/>
      <c r="J1096" s="333"/>
      <c r="K1096" s="329"/>
      <c r="L1096" s="235" t="s">
        <v>1</v>
      </c>
      <c r="M1096" s="333"/>
      <c r="N1096" s="333"/>
      <c r="O1096" s="333"/>
      <c r="P1096" s="329"/>
    </row>
    <row r="1097" spans="2:16" ht="18" customHeight="1">
      <c r="B1097" s="283"/>
      <c r="C1097" s="303" t="s">
        <v>1483</v>
      </c>
      <c r="D1097" s="320" t="s">
        <v>248</v>
      </c>
      <c r="E1097" s="198" t="str">
        <f>HYPERLINK("#LAYOUT_m1!lay중YFAM1E01","YFAM1E01")</f>
        <v>YFAM1E01</v>
      </c>
      <c r="F1097" s="78" t="s">
        <v>0</v>
      </c>
      <c r="G1097" s="179" t="s">
        <v>1475</v>
      </c>
      <c r="H1097" s="233" t="s">
        <v>1</v>
      </c>
      <c r="I1097" s="331"/>
      <c r="J1097" s="331"/>
      <c r="K1097" s="327"/>
      <c r="L1097" s="233" t="s">
        <v>1</v>
      </c>
      <c r="M1097" s="331"/>
      <c r="N1097" s="331"/>
      <c r="O1097" s="331"/>
      <c r="P1097" s="327"/>
    </row>
    <row r="1098" spans="2:16" ht="18" customHeight="1">
      <c r="B1098" s="283"/>
      <c r="C1098" s="305"/>
      <c r="D1098" s="321"/>
      <c r="E1098" s="201" t="str">
        <f>HYPERLINK("#LAYOUT_m1!lay중YFAM1E02","YFAM1E02")</f>
        <v>YFAM1E02</v>
      </c>
      <c r="F1098" s="82" t="s">
        <v>0</v>
      </c>
      <c r="G1098" s="180" t="s">
        <v>1473</v>
      </c>
      <c r="H1098" s="235" t="s">
        <v>1811</v>
      </c>
      <c r="I1098" s="333"/>
      <c r="J1098" s="333"/>
      <c r="K1098" s="329"/>
      <c r="L1098" s="235" t="s">
        <v>1</v>
      </c>
      <c r="M1098" s="333"/>
      <c r="N1098" s="333"/>
      <c r="O1098" s="333"/>
      <c r="P1098" s="329"/>
    </row>
    <row r="1099" spans="2:16" ht="18" customHeight="1">
      <c r="B1099" s="283"/>
      <c r="C1099" s="305"/>
      <c r="D1099" s="320" t="s">
        <v>250</v>
      </c>
      <c r="E1099" s="198" t="str">
        <f>HYPERLINK("#LAYOUT_m1!lay중YFAM1E03","YFAM1E03")</f>
        <v>YFAM1E03</v>
      </c>
      <c r="F1099" s="78" t="s">
        <v>0</v>
      </c>
      <c r="G1099" s="179" t="s">
        <v>1471</v>
      </c>
      <c r="H1099" s="233" t="s">
        <v>1</v>
      </c>
      <c r="I1099" s="331"/>
      <c r="J1099" s="331"/>
      <c r="K1099" s="327"/>
      <c r="L1099" s="233" t="s">
        <v>1</v>
      </c>
      <c r="M1099" s="331"/>
      <c r="N1099" s="331"/>
      <c r="O1099" s="331"/>
      <c r="P1099" s="327"/>
    </row>
    <row r="1100" spans="2:16" ht="18" customHeight="1">
      <c r="B1100" s="283"/>
      <c r="C1100" s="304"/>
      <c r="D1100" s="321"/>
      <c r="E1100" s="201" t="str">
        <f>HYPERLINK("#LAYOUT_m1!lay중YFAM1E04","YFAM1E04")</f>
        <v>YFAM1E04</v>
      </c>
      <c r="F1100" s="82" t="s">
        <v>0</v>
      </c>
      <c r="G1100" s="180" t="s">
        <v>1470</v>
      </c>
      <c r="H1100" s="235" t="s">
        <v>1811</v>
      </c>
      <c r="I1100" s="333"/>
      <c r="J1100" s="333"/>
      <c r="K1100" s="329"/>
      <c r="L1100" s="235" t="s">
        <v>1</v>
      </c>
      <c r="M1100" s="333"/>
      <c r="N1100" s="333"/>
      <c r="O1100" s="333"/>
      <c r="P1100" s="329"/>
    </row>
    <row r="1101" spans="2:16" ht="18" customHeight="1">
      <c r="B1101" s="283"/>
      <c r="C1101" s="303" t="s">
        <v>1484</v>
      </c>
      <c r="D1101" s="320" t="s">
        <v>248</v>
      </c>
      <c r="E1101" s="198" t="str">
        <f>HYPERLINK("#LAYOUT_m1!lay중YFAM1F01","YFAM1F01")</f>
        <v>YFAM1F01</v>
      </c>
      <c r="F1101" s="78" t="s">
        <v>0</v>
      </c>
      <c r="G1101" s="179" t="s">
        <v>1476</v>
      </c>
      <c r="H1101" s="233" t="s">
        <v>1</v>
      </c>
      <c r="I1101" s="331"/>
      <c r="J1101" s="331"/>
      <c r="K1101" s="327"/>
      <c r="L1101" s="233" t="s">
        <v>1</v>
      </c>
      <c r="M1101" s="331"/>
      <c r="N1101" s="331"/>
      <c r="O1101" s="331"/>
      <c r="P1101" s="327"/>
    </row>
    <row r="1102" spans="2:16" ht="18" customHeight="1">
      <c r="B1102" s="283"/>
      <c r="C1102" s="305"/>
      <c r="D1102" s="321"/>
      <c r="E1102" s="201" t="str">
        <f>HYPERLINK("#LAYOUT_m1!lay중YFAM1F02","YFAM1F02")</f>
        <v>YFAM1F02</v>
      </c>
      <c r="F1102" s="82" t="s">
        <v>0</v>
      </c>
      <c r="G1102" s="180" t="s">
        <v>1470</v>
      </c>
      <c r="H1102" s="235" t="s">
        <v>1811</v>
      </c>
      <c r="I1102" s="333"/>
      <c r="J1102" s="333"/>
      <c r="K1102" s="329"/>
      <c r="L1102" s="235" t="s">
        <v>1</v>
      </c>
      <c r="M1102" s="333"/>
      <c r="N1102" s="333"/>
      <c r="O1102" s="333"/>
      <c r="P1102" s="329"/>
    </row>
    <row r="1103" spans="2:16" ht="18" customHeight="1">
      <c r="B1103" s="283"/>
      <c r="C1103" s="305"/>
      <c r="D1103" s="320" t="s">
        <v>250</v>
      </c>
      <c r="E1103" s="198" t="str">
        <f>HYPERLINK("#LAYOUT_m1!lay중YFAM1F03","YFAM1F03")</f>
        <v>YFAM1F03</v>
      </c>
      <c r="F1103" s="78" t="s">
        <v>0</v>
      </c>
      <c r="G1103" s="179" t="s">
        <v>1471</v>
      </c>
      <c r="H1103" s="233" t="s">
        <v>1</v>
      </c>
      <c r="I1103" s="331"/>
      <c r="J1103" s="331"/>
      <c r="K1103" s="327"/>
      <c r="L1103" s="233" t="s">
        <v>1</v>
      </c>
      <c r="M1103" s="331"/>
      <c r="N1103" s="331"/>
      <c r="O1103" s="331"/>
      <c r="P1103" s="327"/>
    </row>
    <row r="1104" spans="2:16" ht="18" customHeight="1">
      <c r="B1104" s="285"/>
      <c r="C1104" s="304"/>
      <c r="D1104" s="321"/>
      <c r="E1104" s="201" t="str">
        <f>HYPERLINK("#LAYOUT_m1!lay중YFAM1F04","YFAM1F04")</f>
        <v>YFAM1F04</v>
      </c>
      <c r="F1104" s="82" t="s">
        <v>0</v>
      </c>
      <c r="G1104" s="180" t="s">
        <v>1470</v>
      </c>
      <c r="H1104" s="235" t="s">
        <v>1811</v>
      </c>
      <c r="I1104" s="333"/>
      <c r="J1104" s="333"/>
      <c r="K1104" s="329"/>
      <c r="L1104" s="235" t="s">
        <v>1</v>
      </c>
      <c r="M1104" s="333"/>
      <c r="N1104" s="333"/>
      <c r="O1104" s="333"/>
      <c r="P1104" s="329"/>
    </row>
    <row r="1105" spans="2:16" ht="18" customHeight="1">
      <c r="B1105" s="282" t="s">
        <v>251</v>
      </c>
      <c r="C1105" s="311" t="s">
        <v>252</v>
      </c>
      <c r="D1105" s="312"/>
      <c r="E1105" s="289" t="str">
        <f>HYPERLINK("#LAYOUT_m1!lay중YFAM2A01","YFAM2A01")</f>
        <v>YFAM2A01</v>
      </c>
      <c r="F1105" s="79">
        <v>1</v>
      </c>
      <c r="G1105" s="178" t="s">
        <v>105</v>
      </c>
      <c r="H1105" s="234">
        <v>1.0177590563618719</v>
      </c>
      <c r="I1105" s="328">
        <v>3.3394274523709524</v>
      </c>
      <c r="J1105" s="328">
        <v>1.3018469136989142E-2</v>
      </c>
      <c r="K1105" s="328">
        <v>0.38984135222779553</v>
      </c>
      <c r="L1105" s="234">
        <v>0.49173062055592004</v>
      </c>
      <c r="M1105" s="328">
        <v>3.2481755269694381</v>
      </c>
      <c r="N1105" s="328">
        <v>0.64698299538006365</v>
      </c>
      <c r="O1105" s="328">
        <v>1.3103159140255569E-2</v>
      </c>
      <c r="P1105" s="328">
        <v>0.40340058692828329</v>
      </c>
    </row>
    <row r="1106" spans="2:16" ht="18" customHeight="1">
      <c r="B1106" s="284"/>
      <c r="C1106" s="311"/>
      <c r="D1106" s="312"/>
      <c r="E1106" s="289"/>
      <c r="F1106" s="79">
        <v>2</v>
      </c>
      <c r="G1106" s="178" t="s">
        <v>106</v>
      </c>
      <c r="H1106" s="234">
        <v>7.6751557144459239</v>
      </c>
      <c r="I1106" s="328"/>
      <c r="J1106" s="328"/>
      <c r="K1106" s="328"/>
      <c r="L1106" s="234">
        <v>10.116351575762835</v>
      </c>
      <c r="M1106" s="328">
        <v>3.2481755269694381</v>
      </c>
      <c r="N1106" s="328">
        <v>0.64698299538006365</v>
      </c>
      <c r="O1106" s="328">
        <v>1.3103159140255569E-2</v>
      </c>
      <c r="P1106" s="328">
        <v>0.40340058692828329</v>
      </c>
    </row>
    <row r="1107" spans="2:16" ht="18" customHeight="1">
      <c r="B1107" s="284"/>
      <c r="C1107" s="311"/>
      <c r="D1107" s="312"/>
      <c r="E1107" s="289"/>
      <c r="F1107" s="79">
        <v>3</v>
      </c>
      <c r="G1107" s="178" t="s">
        <v>107</v>
      </c>
      <c r="H1107" s="234">
        <v>47.653666164929859</v>
      </c>
      <c r="I1107" s="328"/>
      <c r="J1107" s="328"/>
      <c r="K1107" s="328"/>
      <c r="L1107" s="234">
        <v>53.474552289861826</v>
      </c>
      <c r="M1107" s="328">
        <v>3.2481755269694381</v>
      </c>
      <c r="N1107" s="328">
        <v>0.64698299538006365</v>
      </c>
      <c r="O1107" s="328">
        <v>1.3103159140255569E-2</v>
      </c>
      <c r="P1107" s="328">
        <v>0.40340058692828329</v>
      </c>
    </row>
    <row r="1108" spans="2:16" ht="18" customHeight="1">
      <c r="B1108" s="284"/>
      <c r="C1108" s="313"/>
      <c r="D1108" s="314"/>
      <c r="E1108" s="288"/>
      <c r="F1108" s="82">
        <v>4</v>
      </c>
      <c r="G1108" s="180" t="s">
        <v>108</v>
      </c>
      <c r="H1108" s="235">
        <v>43.653419064262351</v>
      </c>
      <c r="I1108" s="329"/>
      <c r="J1108" s="329"/>
      <c r="K1108" s="329"/>
      <c r="L1108" s="235">
        <v>35.917365513819426</v>
      </c>
      <c r="M1108" s="329">
        <v>3.2481755269694381</v>
      </c>
      <c r="N1108" s="329">
        <v>0.64698299538006365</v>
      </c>
      <c r="O1108" s="329">
        <v>1.3103159140255569E-2</v>
      </c>
      <c r="P1108" s="329">
        <v>0.40340058692828329</v>
      </c>
    </row>
    <row r="1109" spans="2:16" ht="18" customHeight="1">
      <c r="B1109" s="284"/>
      <c r="C1109" s="309" t="s">
        <v>253</v>
      </c>
      <c r="D1109" s="310"/>
      <c r="E1109" s="287" t="str">
        <f>HYPERLINK("#LAYOUT_m1!lay중YFAM2A02","YFAM2A02")</f>
        <v>YFAM2A02</v>
      </c>
      <c r="F1109" s="78">
        <v>1</v>
      </c>
      <c r="G1109" s="179" t="s">
        <v>105</v>
      </c>
      <c r="H1109" s="233">
        <v>0.4305639599480201</v>
      </c>
      <c r="I1109" s="327">
        <v>3.3972089342633125</v>
      </c>
      <c r="J1109" s="327">
        <v>1.2037879090005699E-2</v>
      </c>
      <c r="K1109" s="327">
        <v>0.35434615070609793</v>
      </c>
      <c r="L1109" s="233">
        <v>0.40047893948893598</v>
      </c>
      <c r="M1109" s="327">
        <v>3.293252436038995</v>
      </c>
      <c r="N1109" s="327">
        <v>0.6244025800538755</v>
      </c>
      <c r="O1109" s="327">
        <v>1.2645844531394326E-2</v>
      </c>
      <c r="P1109" s="327">
        <v>0.38399256592076786</v>
      </c>
    </row>
    <row r="1110" spans="2:16" ht="18" customHeight="1">
      <c r="B1110" s="284"/>
      <c r="C1110" s="311"/>
      <c r="D1110" s="312"/>
      <c r="E1110" s="289"/>
      <c r="F1110" s="79">
        <v>2</v>
      </c>
      <c r="G1110" s="178" t="s">
        <v>106</v>
      </c>
      <c r="H1110" s="234">
        <v>5.4952767749058014</v>
      </c>
      <c r="I1110" s="328"/>
      <c r="J1110" s="328"/>
      <c r="K1110" s="328"/>
      <c r="L1110" s="234">
        <v>7.9217241714245645</v>
      </c>
      <c r="M1110" s="328">
        <v>3.293252436038995</v>
      </c>
      <c r="N1110" s="328">
        <v>0.6244025800538755</v>
      </c>
      <c r="O1110" s="328">
        <v>1.2645844531394326E-2</v>
      </c>
      <c r="P1110" s="328">
        <v>0.38399256592076786</v>
      </c>
    </row>
    <row r="1111" spans="2:16" ht="18" customHeight="1">
      <c r="B1111" s="284"/>
      <c r="C1111" s="311"/>
      <c r="D1111" s="312"/>
      <c r="E1111" s="289"/>
      <c r="F1111" s="79">
        <v>3</v>
      </c>
      <c r="G1111" s="178" t="s">
        <v>107</v>
      </c>
      <c r="H1111" s="234">
        <v>47.996861144015618</v>
      </c>
      <c r="I1111" s="328"/>
      <c r="J1111" s="328"/>
      <c r="K1111" s="328"/>
      <c r="L1111" s="234">
        <v>53.629871234782989</v>
      </c>
      <c r="M1111" s="328">
        <v>3.293252436038995</v>
      </c>
      <c r="N1111" s="328">
        <v>0.6244025800538755</v>
      </c>
      <c r="O1111" s="328">
        <v>1.2645844531394326E-2</v>
      </c>
      <c r="P1111" s="328">
        <v>0.38399256592076786</v>
      </c>
    </row>
    <row r="1112" spans="2:16" ht="18" customHeight="1">
      <c r="B1112" s="284"/>
      <c r="C1112" s="313"/>
      <c r="D1112" s="314"/>
      <c r="E1112" s="288"/>
      <c r="F1112" s="82">
        <v>4</v>
      </c>
      <c r="G1112" s="180" t="s">
        <v>108</v>
      </c>
      <c r="H1112" s="235">
        <v>46.077298121130561</v>
      </c>
      <c r="I1112" s="329"/>
      <c r="J1112" s="329"/>
      <c r="K1112" s="329"/>
      <c r="L1112" s="235">
        <v>38.047925654303526</v>
      </c>
      <c r="M1112" s="329">
        <v>3.293252436038995</v>
      </c>
      <c r="N1112" s="329">
        <v>0.6244025800538755</v>
      </c>
      <c r="O1112" s="329">
        <v>1.2645844531394326E-2</v>
      </c>
      <c r="P1112" s="329">
        <v>0.38399256592076786</v>
      </c>
    </row>
    <row r="1113" spans="2:16" ht="18" customHeight="1">
      <c r="B1113" s="284"/>
      <c r="C1113" s="309" t="s">
        <v>254</v>
      </c>
      <c r="D1113" s="310"/>
      <c r="E1113" s="287" t="str">
        <f>HYPERLINK("#LAYOUT_m1!lay중YFAM2A03","YFAM2A03")</f>
        <v>YFAM2A03</v>
      </c>
      <c r="F1113" s="78">
        <v>1</v>
      </c>
      <c r="G1113" s="179" t="s">
        <v>105</v>
      </c>
      <c r="H1113" s="233">
        <v>0.35084620130939126</v>
      </c>
      <c r="I1113" s="327">
        <v>3.4008255500887961</v>
      </c>
      <c r="J1113" s="327">
        <v>1.2283538146449613E-2</v>
      </c>
      <c r="K1113" s="327">
        <v>0.3611928329028487</v>
      </c>
      <c r="L1113" s="233">
        <v>0.92980271216440968</v>
      </c>
      <c r="M1113" s="327">
        <v>3.2812956244846196</v>
      </c>
      <c r="N1113" s="327">
        <v>0.65256228769720703</v>
      </c>
      <c r="O1113" s="327">
        <v>1.3216154930938742E-2</v>
      </c>
      <c r="P1113" s="327">
        <v>0.40277245464631256</v>
      </c>
    </row>
    <row r="1114" spans="2:16" ht="18" customHeight="1">
      <c r="B1114" s="284"/>
      <c r="C1114" s="311"/>
      <c r="D1114" s="312"/>
      <c r="E1114" s="289"/>
      <c r="F1114" s="79">
        <v>2</v>
      </c>
      <c r="G1114" s="178" t="s">
        <v>106</v>
      </c>
      <c r="H1114" s="234">
        <v>6.4713432730507918</v>
      </c>
      <c r="I1114" s="328"/>
      <c r="J1114" s="328"/>
      <c r="K1114" s="328"/>
      <c r="L1114" s="234">
        <v>8.3853156856576891</v>
      </c>
      <c r="M1114" s="328">
        <v>3.2812956244846196</v>
      </c>
      <c r="N1114" s="328">
        <v>0.65256228769720703</v>
      </c>
      <c r="O1114" s="328">
        <v>1.3216154930938742E-2</v>
      </c>
      <c r="P1114" s="328">
        <v>0.40277245464631256</v>
      </c>
    </row>
    <row r="1115" spans="2:16" ht="18" customHeight="1">
      <c r="B1115" s="284"/>
      <c r="C1115" s="311"/>
      <c r="D1115" s="312"/>
      <c r="E1115" s="289"/>
      <c r="F1115" s="79">
        <v>3</v>
      </c>
      <c r="G1115" s="178" t="s">
        <v>107</v>
      </c>
      <c r="H1115" s="234">
        <v>45.922219841092875</v>
      </c>
      <c r="I1115" s="328"/>
      <c r="J1115" s="328"/>
      <c r="K1115" s="328"/>
      <c r="L1115" s="234">
        <v>52.310398043727716</v>
      </c>
      <c r="M1115" s="328">
        <v>3.2812956244846196</v>
      </c>
      <c r="N1115" s="328">
        <v>0.65256228769720703</v>
      </c>
      <c r="O1115" s="328">
        <v>1.3216154930938742E-2</v>
      </c>
      <c r="P1115" s="328">
        <v>0.40277245464631256</v>
      </c>
    </row>
    <row r="1116" spans="2:16" ht="18" customHeight="1">
      <c r="B1116" s="284"/>
      <c r="C1116" s="313"/>
      <c r="D1116" s="314"/>
      <c r="E1116" s="288"/>
      <c r="F1116" s="82">
        <v>4</v>
      </c>
      <c r="G1116" s="180" t="s">
        <v>108</v>
      </c>
      <c r="H1116" s="235">
        <v>47.255590684546952</v>
      </c>
      <c r="I1116" s="329"/>
      <c r="J1116" s="329"/>
      <c r="K1116" s="329"/>
      <c r="L1116" s="235">
        <v>38.374483558450173</v>
      </c>
      <c r="M1116" s="329">
        <v>3.2812956244846196</v>
      </c>
      <c r="N1116" s="329">
        <v>0.65256228769720703</v>
      </c>
      <c r="O1116" s="329">
        <v>1.3216154930938742E-2</v>
      </c>
      <c r="P1116" s="329">
        <v>0.40277245464631256</v>
      </c>
    </row>
    <row r="1117" spans="2:16" ht="18" customHeight="1">
      <c r="B1117" s="284"/>
      <c r="C1117" s="309" t="s">
        <v>255</v>
      </c>
      <c r="D1117" s="310"/>
      <c r="E1117" s="287" t="str">
        <f>HYPERLINK("#LAYOUT_m1!lay중YFAM2A04","YFAM2A04")</f>
        <v>YFAM2A04</v>
      </c>
      <c r="F1117" s="78">
        <v>1</v>
      </c>
      <c r="G1117" s="179" t="s">
        <v>105</v>
      </c>
      <c r="H1117" s="233">
        <v>0.43210896217532352</v>
      </c>
      <c r="I1117" s="327">
        <v>3.35257646251894</v>
      </c>
      <c r="J1117" s="327">
        <v>1.287704296467009E-2</v>
      </c>
      <c r="K1117" s="327">
        <v>0.38409393815868387</v>
      </c>
      <c r="L1117" s="233">
        <v>1.0950026901806522</v>
      </c>
      <c r="M1117" s="327">
        <v>3.2177830335954036</v>
      </c>
      <c r="N1117" s="327">
        <v>0.6920769799208959</v>
      </c>
      <c r="O1117" s="327">
        <v>1.4016434543049809E-2</v>
      </c>
      <c r="P1117" s="327">
        <v>0.43559290345901558</v>
      </c>
    </row>
    <row r="1118" spans="2:16" ht="18" customHeight="1">
      <c r="B1118" s="284"/>
      <c r="C1118" s="311"/>
      <c r="D1118" s="312"/>
      <c r="E1118" s="289"/>
      <c r="F1118" s="79">
        <v>2</v>
      </c>
      <c r="G1118" s="178" t="s">
        <v>106</v>
      </c>
      <c r="H1118" s="234">
        <v>8.7555286709277063</v>
      </c>
      <c r="I1118" s="328"/>
      <c r="J1118" s="328"/>
      <c r="K1118" s="328"/>
      <c r="L1118" s="234">
        <v>12.136017020744502</v>
      </c>
      <c r="M1118" s="328">
        <v>3.2177830335954036</v>
      </c>
      <c r="N1118" s="328">
        <v>0.6920769799208959</v>
      </c>
      <c r="O1118" s="328">
        <v>1.4016434543049809E-2</v>
      </c>
      <c r="P1118" s="328">
        <v>0.43559290345901558</v>
      </c>
    </row>
    <row r="1119" spans="2:16" ht="18" customHeight="1">
      <c r="B1119" s="284"/>
      <c r="C1119" s="311"/>
      <c r="D1119" s="312"/>
      <c r="E1119" s="289"/>
      <c r="F1119" s="79">
        <v>3</v>
      </c>
      <c r="G1119" s="178" t="s">
        <v>107</v>
      </c>
      <c r="H1119" s="234">
        <v>45.934969519726621</v>
      </c>
      <c r="I1119" s="328"/>
      <c r="J1119" s="328"/>
      <c r="K1119" s="328"/>
      <c r="L1119" s="234">
        <v>50.664654528426617</v>
      </c>
      <c r="M1119" s="328">
        <v>3.2177830335954036</v>
      </c>
      <c r="N1119" s="328">
        <v>0.6920769799208959</v>
      </c>
      <c r="O1119" s="328">
        <v>1.4016434543049809E-2</v>
      </c>
      <c r="P1119" s="328">
        <v>0.43559290345901558</v>
      </c>
    </row>
    <row r="1120" spans="2:16" ht="18" customHeight="1">
      <c r="B1120" s="284"/>
      <c r="C1120" s="313"/>
      <c r="D1120" s="314"/>
      <c r="E1120" s="288"/>
      <c r="F1120" s="82">
        <v>4</v>
      </c>
      <c r="G1120" s="180" t="s">
        <v>108</v>
      </c>
      <c r="H1120" s="235">
        <v>44.877392847170363</v>
      </c>
      <c r="I1120" s="329"/>
      <c r="J1120" s="329"/>
      <c r="K1120" s="329"/>
      <c r="L1120" s="235">
        <v>36.104325760648223</v>
      </c>
      <c r="M1120" s="329">
        <v>3.2177830335954036</v>
      </c>
      <c r="N1120" s="329">
        <v>0.6920769799208959</v>
      </c>
      <c r="O1120" s="329">
        <v>1.4016434543049809E-2</v>
      </c>
      <c r="P1120" s="329">
        <v>0.43559290345901558</v>
      </c>
    </row>
    <row r="1121" spans="2:16" ht="18" customHeight="1">
      <c r="B1121" s="284"/>
      <c r="C1121" s="309" t="s">
        <v>256</v>
      </c>
      <c r="D1121" s="310"/>
      <c r="E1121" s="287" t="str">
        <f>HYPERLINK("#LAYOUT_m1!lay중YFAM2B01","YFAM2B01")</f>
        <v>YFAM2B01</v>
      </c>
      <c r="F1121" s="78">
        <v>1</v>
      </c>
      <c r="G1121" s="179" t="s">
        <v>105</v>
      </c>
      <c r="H1121" s="233">
        <v>23.294321085958625</v>
      </c>
      <c r="I1121" s="327">
        <v>2.3252856097434238</v>
      </c>
      <c r="J1121" s="327">
        <v>1.9020998642394205E-2</v>
      </c>
      <c r="K1121" s="327">
        <v>0.81800698213984135</v>
      </c>
      <c r="L1121" s="233">
        <v>20.97965701275475</v>
      </c>
      <c r="M1121" s="327">
        <v>2.308814030230308</v>
      </c>
      <c r="N1121" s="327">
        <v>0.92341139011724827</v>
      </c>
      <c r="O1121" s="327">
        <v>1.8701583322948294E-2</v>
      </c>
      <c r="P1121" s="327">
        <v>0.81000821539025292</v>
      </c>
    </row>
    <row r="1122" spans="2:16" ht="18" customHeight="1">
      <c r="B1122" s="284"/>
      <c r="C1122" s="311"/>
      <c r="D1122" s="312"/>
      <c r="E1122" s="289"/>
      <c r="F1122" s="79">
        <v>2</v>
      </c>
      <c r="G1122" s="178" t="s">
        <v>106</v>
      </c>
      <c r="H1122" s="234">
        <v>33.449533177788744</v>
      </c>
      <c r="I1122" s="328"/>
      <c r="J1122" s="328"/>
      <c r="K1122" s="328"/>
      <c r="L1122" s="234">
        <v>38.124171999517209</v>
      </c>
      <c r="M1122" s="328">
        <v>2.308814030230308</v>
      </c>
      <c r="N1122" s="328">
        <v>0.92341139011724827</v>
      </c>
      <c r="O1122" s="328">
        <v>1.8701583322948294E-2</v>
      </c>
      <c r="P1122" s="328">
        <v>0.81000821539025292</v>
      </c>
    </row>
    <row r="1123" spans="2:16" ht="18" customHeight="1">
      <c r="B1123" s="284"/>
      <c r="C1123" s="311"/>
      <c r="D1123" s="312"/>
      <c r="E1123" s="289"/>
      <c r="F1123" s="79">
        <v>3</v>
      </c>
      <c r="G1123" s="178" t="s">
        <v>107</v>
      </c>
      <c r="H1123" s="234">
        <v>30.689409412204402</v>
      </c>
      <c r="I1123" s="328"/>
      <c r="J1123" s="328"/>
      <c r="K1123" s="328"/>
      <c r="L1123" s="234">
        <v>29.931281939669951</v>
      </c>
      <c r="M1123" s="328">
        <v>2.308814030230308</v>
      </c>
      <c r="N1123" s="328">
        <v>0.92341139011724827</v>
      </c>
      <c r="O1123" s="328">
        <v>1.8701583322948294E-2</v>
      </c>
      <c r="P1123" s="328">
        <v>0.81000821539025292</v>
      </c>
    </row>
    <row r="1124" spans="2:16" ht="18" customHeight="1">
      <c r="B1124" s="284"/>
      <c r="C1124" s="313"/>
      <c r="D1124" s="314"/>
      <c r="E1124" s="288"/>
      <c r="F1124" s="82">
        <v>4</v>
      </c>
      <c r="G1124" s="180" t="s">
        <v>108</v>
      </c>
      <c r="H1124" s="235">
        <v>12.566736324048231</v>
      </c>
      <c r="I1124" s="329"/>
      <c r="J1124" s="329"/>
      <c r="K1124" s="329"/>
      <c r="L1124" s="235">
        <v>10.964889048058081</v>
      </c>
      <c r="M1124" s="329">
        <v>2.308814030230308</v>
      </c>
      <c r="N1124" s="329">
        <v>0.92341139011724827</v>
      </c>
      <c r="O1124" s="329">
        <v>1.8701583322948294E-2</v>
      </c>
      <c r="P1124" s="329">
        <v>0.81000821539025292</v>
      </c>
    </row>
    <row r="1125" spans="2:16" ht="18" customHeight="1">
      <c r="B1125" s="284"/>
      <c r="C1125" s="309" t="s">
        <v>257</v>
      </c>
      <c r="D1125" s="310"/>
      <c r="E1125" s="287" t="str">
        <f>HYPERLINK("#LAYOUT_m1!lay중YFAM2B02","YFAM2B02")</f>
        <v>YFAM2B02</v>
      </c>
      <c r="F1125" s="78">
        <v>1</v>
      </c>
      <c r="G1125" s="179" t="s">
        <v>105</v>
      </c>
      <c r="H1125" s="233">
        <v>50.089510497134881</v>
      </c>
      <c r="I1125" s="327">
        <v>1.620169297540301</v>
      </c>
      <c r="J1125" s="327">
        <v>1.427822237486784E-2</v>
      </c>
      <c r="K1125" s="327">
        <v>0.88127965370931705</v>
      </c>
      <c r="L1125" s="233">
        <v>43.888401987937741</v>
      </c>
      <c r="M1125" s="327">
        <v>1.7396132484859321</v>
      </c>
      <c r="N1125" s="327">
        <v>0.77236433490578538</v>
      </c>
      <c r="O1125" s="327">
        <v>1.5642471080067603E-2</v>
      </c>
      <c r="P1125" s="327">
        <v>0.89919245520129221</v>
      </c>
    </row>
    <row r="1126" spans="2:16" ht="18" customHeight="1">
      <c r="B1126" s="284"/>
      <c r="C1126" s="311"/>
      <c r="D1126" s="312"/>
      <c r="E1126" s="289"/>
      <c r="F1126" s="79">
        <v>2</v>
      </c>
      <c r="G1126" s="178" t="s">
        <v>106</v>
      </c>
      <c r="H1126" s="234">
        <v>40.310307249502387</v>
      </c>
      <c r="I1126" s="328"/>
      <c r="J1126" s="328"/>
      <c r="K1126" s="328"/>
      <c r="L1126" s="234">
        <v>40.597968728145354</v>
      </c>
      <c r="M1126" s="328">
        <v>1.7396132484859321</v>
      </c>
      <c r="N1126" s="328">
        <v>0.77236433490578538</v>
      </c>
      <c r="O1126" s="328">
        <v>1.5642471080067603E-2</v>
      </c>
      <c r="P1126" s="328">
        <v>0.89919245520129221</v>
      </c>
    </row>
    <row r="1127" spans="2:16" ht="18" customHeight="1">
      <c r="B1127" s="284"/>
      <c r="C1127" s="311"/>
      <c r="D1127" s="312"/>
      <c r="E1127" s="289"/>
      <c r="F1127" s="79">
        <v>3</v>
      </c>
      <c r="G1127" s="178" t="s">
        <v>107</v>
      </c>
      <c r="H1127" s="234">
        <v>7.0939242555606192</v>
      </c>
      <c r="I1127" s="328"/>
      <c r="J1127" s="328"/>
      <c r="K1127" s="328"/>
      <c r="L1127" s="234">
        <v>13.177531731301622</v>
      </c>
      <c r="M1127" s="328">
        <v>1.7396132484859321</v>
      </c>
      <c r="N1127" s="328">
        <v>0.77236433490578538</v>
      </c>
      <c r="O1127" s="328">
        <v>1.5642471080067603E-2</v>
      </c>
      <c r="P1127" s="328">
        <v>0.89919245520129221</v>
      </c>
    </row>
    <row r="1128" spans="2:16" ht="18" customHeight="1">
      <c r="B1128" s="284"/>
      <c r="C1128" s="313"/>
      <c r="D1128" s="314"/>
      <c r="E1128" s="288"/>
      <c r="F1128" s="82">
        <v>4</v>
      </c>
      <c r="G1128" s="180" t="s">
        <v>108</v>
      </c>
      <c r="H1128" s="235">
        <v>2.5062579978020998</v>
      </c>
      <c r="I1128" s="329"/>
      <c r="J1128" s="329"/>
      <c r="K1128" s="329"/>
      <c r="L1128" s="235">
        <v>2.3360975526152923</v>
      </c>
      <c r="M1128" s="329">
        <v>1.7396132484859321</v>
      </c>
      <c r="N1128" s="329">
        <v>0.77236433490578538</v>
      </c>
      <c r="O1128" s="329">
        <v>1.5642471080067603E-2</v>
      </c>
      <c r="P1128" s="329">
        <v>0.89919245520129221</v>
      </c>
    </row>
    <row r="1129" spans="2:16" ht="18" customHeight="1">
      <c r="B1129" s="284"/>
      <c r="C1129" s="309" t="s">
        <v>258</v>
      </c>
      <c r="D1129" s="310"/>
      <c r="E1129" s="287" t="str">
        <f>HYPERLINK("#LAYOUT_m1!lay중YFAM2B03","YFAM2B03")</f>
        <v>YFAM2B03</v>
      </c>
      <c r="F1129" s="78">
        <v>1</v>
      </c>
      <c r="G1129" s="179" t="s">
        <v>105</v>
      </c>
      <c r="H1129" s="233">
        <v>57.419030028282492</v>
      </c>
      <c r="I1129" s="327">
        <v>1.53681032990033</v>
      </c>
      <c r="J1129" s="327">
        <v>1.4084819105233556E-2</v>
      </c>
      <c r="K1129" s="327">
        <v>0.91649690473820777</v>
      </c>
      <c r="L1129" s="233">
        <v>50.712797849865716</v>
      </c>
      <c r="M1129" s="327">
        <v>1.6430647950319721</v>
      </c>
      <c r="N1129" s="327">
        <v>0.75936689507617561</v>
      </c>
      <c r="O1129" s="327">
        <v>1.5379237697243956E-2</v>
      </c>
      <c r="P1129" s="327">
        <v>0.93600920327336778</v>
      </c>
    </row>
    <row r="1130" spans="2:16" ht="18" customHeight="1">
      <c r="B1130" s="284"/>
      <c r="C1130" s="311"/>
      <c r="D1130" s="312"/>
      <c r="E1130" s="289"/>
      <c r="F1130" s="79">
        <v>2</v>
      </c>
      <c r="G1130" s="178" t="s">
        <v>106</v>
      </c>
      <c r="H1130" s="234">
        <v>33.629160582910693</v>
      </c>
      <c r="I1130" s="328"/>
      <c r="J1130" s="328"/>
      <c r="K1130" s="328"/>
      <c r="L1130" s="234">
        <v>36.592102242156955</v>
      </c>
      <c r="M1130" s="328">
        <v>1.6430647950319721</v>
      </c>
      <c r="N1130" s="328">
        <v>0.75936689507617561</v>
      </c>
      <c r="O1130" s="328">
        <v>1.5379237697243956E-2</v>
      </c>
      <c r="P1130" s="328">
        <v>0.93600920327336778</v>
      </c>
    </row>
    <row r="1131" spans="2:16" ht="18" customHeight="1">
      <c r="B1131" s="284"/>
      <c r="C1131" s="311"/>
      <c r="D1131" s="312"/>
      <c r="E1131" s="289"/>
      <c r="F1131" s="79">
        <v>3</v>
      </c>
      <c r="G1131" s="178" t="s">
        <v>107</v>
      </c>
      <c r="H1131" s="234">
        <v>6.8035557592985638</v>
      </c>
      <c r="I1131" s="328"/>
      <c r="J1131" s="328"/>
      <c r="K1131" s="328"/>
      <c r="L1131" s="234">
        <v>10.370922462890404</v>
      </c>
      <c r="M1131" s="328">
        <v>1.6430647950319721</v>
      </c>
      <c r="N1131" s="328">
        <v>0.75936689507617561</v>
      </c>
      <c r="O1131" s="328">
        <v>1.5379237697243956E-2</v>
      </c>
      <c r="P1131" s="328">
        <v>0.93600920327336778</v>
      </c>
    </row>
    <row r="1132" spans="2:16" ht="18" customHeight="1">
      <c r="B1132" s="284"/>
      <c r="C1132" s="313"/>
      <c r="D1132" s="314"/>
      <c r="E1132" s="288"/>
      <c r="F1132" s="82">
        <v>4</v>
      </c>
      <c r="G1132" s="180" t="s">
        <v>108</v>
      </c>
      <c r="H1132" s="235">
        <v>2.1482536295082464</v>
      </c>
      <c r="I1132" s="329"/>
      <c r="J1132" s="329"/>
      <c r="K1132" s="329"/>
      <c r="L1132" s="235">
        <v>2.3241774450869381</v>
      </c>
      <c r="M1132" s="329">
        <v>1.6430647950319721</v>
      </c>
      <c r="N1132" s="329">
        <v>0.75936689507617561</v>
      </c>
      <c r="O1132" s="329">
        <v>1.5379237697243956E-2</v>
      </c>
      <c r="P1132" s="329">
        <v>0.93600920327336778</v>
      </c>
    </row>
    <row r="1133" spans="2:16" ht="18" customHeight="1">
      <c r="B1133" s="284"/>
      <c r="C1133" s="309" t="s">
        <v>259</v>
      </c>
      <c r="D1133" s="310"/>
      <c r="E1133" s="287" t="str">
        <f>HYPERLINK("#LAYOUT_m1!lay중YFAM2B04","YFAM2B04")</f>
        <v>YFAM2B04</v>
      </c>
      <c r="F1133" s="78">
        <v>1</v>
      </c>
      <c r="G1133" s="179" t="s">
        <v>105</v>
      </c>
      <c r="H1133" s="233">
        <v>53.582391115150457</v>
      </c>
      <c r="I1133" s="327">
        <v>1.5896048241209049</v>
      </c>
      <c r="J1133" s="327">
        <v>1.447114811525671E-2</v>
      </c>
      <c r="K1133" s="327">
        <v>0.91036136124333034</v>
      </c>
      <c r="L1133" s="233">
        <v>45.897717910981186</v>
      </c>
      <c r="M1133" s="327">
        <v>1.7093599182497126</v>
      </c>
      <c r="N1133" s="327">
        <v>0.77184101652638004</v>
      </c>
      <c r="O1133" s="327">
        <v>1.5631872464562512E-2</v>
      </c>
      <c r="P1133" s="327">
        <v>0.91448689639152514</v>
      </c>
    </row>
    <row r="1134" spans="2:16" ht="18" customHeight="1">
      <c r="B1134" s="284"/>
      <c r="C1134" s="311"/>
      <c r="D1134" s="312"/>
      <c r="E1134" s="289"/>
      <c r="F1134" s="79">
        <v>2</v>
      </c>
      <c r="G1134" s="178" t="s">
        <v>106</v>
      </c>
      <c r="H1134" s="234">
        <v>36.341971895960803</v>
      </c>
      <c r="I1134" s="328"/>
      <c r="J1134" s="328"/>
      <c r="K1134" s="328"/>
      <c r="L1134" s="234">
        <v>39.901151353374622</v>
      </c>
      <c r="M1134" s="328">
        <v>1.7093599182497126</v>
      </c>
      <c r="N1134" s="328">
        <v>0.77184101652638004</v>
      </c>
      <c r="O1134" s="328">
        <v>1.5631872464562512E-2</v>
      </c>
      <c r="P1134" s="328">
        <v>0.91448689639152514</v>
      </c>
    </row>
    <row r="1135" spans="2:16" ht="18" customHeight="1">
      <c r="B1135" s="284"/>
      <c r="C1135" s="311"/>
      <c r="D1135" s="312"/>
      <c r="E1135" s="289"/>
      <c r="F1135" s="79">
        <v>3</v>
      </c>
      <c r="G1135" s="178" t="s">
        <v>107</v>
      </c>
      <c r="H1135" s="234">
        <v>7.6084004505371006</v>
      </c>
      <c r="I1135" s="328"/>
      <c r="J1135" s="328"/>
      <c r="K1135" s="328"/>
      <c r="L1135" s="234">
        <v>11.56855173533496</v>
      </c>
      <c r="M1135" s="328">
        <v>1.7093599182497126</v>
      </c>
      <c r="N1135" s="328">
        <v>0.77184101652638004</v>
      </c>
      <c r="O1135" s="328">
        <v>1.5631872464562512E-2</v>
      </c>
      <c r="P1135" s="328">
        <v>0.91448689639152514</v>
      </c>
    </row>
    <row r="1136" spans="2:16" ht="18" customHeight="1">
      <c r="B1136" s="284"/>
      <c r="C1136" s="313"/>
      <c r="D1136" s="314"/>
      <c r="E1136" s="288"/>
      <c r="F1136" s="82">
        <v>4</v>
      </c>
      <c r="G1136" s="180" t="s">
        <v>108</v>
      </c>
      <c r="H1136" s="235">
        <v>2.4672365383516026</v>
      </c>
      <c r="I1136" s="329"/>
      <c r="J1136" s="329"/>
      <c r="K1136" s="329"/>
      <c r="L1136" s="235">
        <v>2.6325790003092768</v>
      </c>
      <c r="M1136" s="329">
        <v>1.7093599182497126</v>
      </c>
      <c r="N1136" s="329">
        <v>0.77184101652638004</v>
      </c>
      <c r="O1136" s="329">
        <v>1.5631872464562512E-2</v>
      </c>
      <c r="P1136" s="329">
        <v>0.91448689639152514</v>
      </c>
    </row>
    <row r="1137" spans="2:16" ht="18" customHeight="1">
      <c r="B1137" s="284"/>
      <c r="C1137" s="309" t="s">
        <v>260</v>
      </c>
      <c r="D1137" s="310"/>
      <c r="E1137" s="287" t="str">
        <f>HYPERLINK("#LAYOUT_m1!lay중YFAM2C01","YFAM2C01")</f>
        <v>YFAM2C01</v>
      </c>
      <c r="F1137" s="78">
        <v>1</v>
      </c>
      <c r="G1137" s="179" t="s">
        <v>105</v>
      </c>
      <c r="H1137" s="233">
        <v>0.69852934419859236</v>
      </c>
      <c r="I1137" s="327">
        <v>3.3978334437533388</v>
      </c>
      <c r="J1137" s="327">
        <v>1.2464644511649121E-2</v>
      </c>
      <c r="K1137" s="327">
        <v>0.36684095079952883</v>
      </c>
      <c r="L1137" s="233">
        <v>0.94896177426686878</v>
      </c>
      <c r="M1137" s="327">
        <v>3.2545924873383236</v>
      </c>
      <c r="N1137" s="327">
        <v>0.64000199468229491</v>
      </c>
      <c r="O1137" s="327">
        <v>1.2961774955888622E-2</v>
      </c>
      <c r="P1137" s="327">
        <v>0.39826107281680123</v>
      </c>
    </row>
    <row r="1138" spans="2:16" ht="18" customHeight="1">
      <c r="B1138" s="284"/>
      <c r="C1138" s="311"/>
      <c r="D1138" s="312"/>
      <c r="E1138" s="289"/>
      <c r="F1138" s="79">
        <v>2</v>
      </c>
      <c r="G1138" s="178" t="s">
        <v>106</v>
      </c>
      <c r="H1138" s="234">
        <v>6.0386173428605119</v>
      </c>
      <c r="I1138" s="328"/>
      <c r="J1138" s="328"/>
      <c r="K1138" s="328"/>
      <c r="L1138" s="234">
        <v>8.1360843201036808</v>
      </c>
      <c r="M1138" s="328">
        <v>3.2545924873383236</v>
      </c>
      <c r="N1138" s="328">
        <v>0.64000199468229491</v>
      </c>
      <c r="O1138" s="328">
        <v>1.2961774955888622E-2</v>
      </c>
      <c r="P1138" s="328">
        <v>0.39826107281680123</v>
      </c>
    </row>
    <row r="1139" spans="2:16" ht="18" customHeight="1">
      <c r="B1139" s="284"/>
      <c r="C1139" s="311"/>
      <c r="D1139" s="312"/>
      <c r="E1139" s="289"/>
      <c r="F1139" s="79">
        <v>3</v>
      </c>
      <c r="G1139" s="178" t="s">
        <v>107</v>
      </c>
      <c r="H1139" s="234">
        <v>46.043832906352037</v>
      </c>
      <c r="I1139" s="328"/>
      <c r="J1139" s="328"/>
      <c r="K1139" s="328"/>
      <c r="L1139" s="234">
        <v>55.421697303158048</v>
      </c>
      <c r="M1139" s="328">
        <v>3.2545924873383236</v>
      </c>
      <c r="N1139" s="328">
        <v>0.64000199468229491</v>
      </c>
      <c r="O1139" s="328">
        <v>1.2961774955888622E-2</v>
      </c>
      <c r="P1139" s="328">
        <v>0.39826107281680123</v>
      </c>
    </row>
    <row r="1140" spans="2:16" ht="18" customHeight="1">
      <c r="B1140" s="284"/>
      <c r="C1140" s="313"/>
      <c r="D1140" s="314"/>
      <c r="E1140" s="288"/>
      <c r="F1140" s="82">
        <v>4</v>
      </c>
      <c r="G1140" s="180" t="s">
        <v>108</v>
      </c>
      <c r="H1140" s="235">
        <v>47.219020406588861</v>
      </c>
      <c r="I1140" s="329"/>
      <c r="J1140" s="329"/>
      <c r="K1140" s="329"/>
      <c r="L1140" s="235">
        <v>35.493256602471405</v>
      </c>
      <c r="M1140" s="329">
        <v>3.2545924873383236</v>
      </c>
      <c r="N1140" s="329">
        <v>0.64000199468229491</v>
      </c>
      <c r="O1140" s="329">
        <v>1.2961774955888622E-2</v>
      </c>
      <c r="P1140" s="329">
        <v>0.39826107281680123</v>
      </c>
    </row>
    <row r="1141" spans="2:16" ht="18" customHeight="1">
      <c r="B1141" s="284"/>
      <c r="C1141" s="309" t="s">
        <v>261</v>
      </c>
      <c r="D1141" s="310"/>
      <c r="E1141" s="287" t="str">
        <f>HYPERLINK("#LAYOUT_m1!lay중YFAM2C02","YFAM2C02")</f>
        <v>YFAM2C02</v>
      </c>
      <c r="F1141" s="78">
        <v>1</v>
      </c>
      <c r="G1141" s="179" t="s">
        <v>105</v>
      </c>
      <c r="H1141" s="233">
        <v>0.75722750349906998</v>
      </c>
      <c r="I1141" s="327">
        <v>3.3581302695431141</v>
      </c>
      <c r="J1141" s="327">
        <v>1.3130971442225815E-2</v>
      </c>
      <c r="K1141" s="327">
        <v>0.39102031155010375</v>
      </c>
      <c r="L1141" s="233">
        <v>1.0612647936752941</v>
      </c>
      <c r="M1141" s="327">
        <v>3.2383556828390616</v>
      </c>
      <c r="N1141" s="327">
        <v>0.67546146975785759</v>
      </c>
      <c r="O1141" s="327">
        <v>1.3679925430109482E-2</v>
      </c>
      <c r="P1141" s="327">
        <v>0.42243430833132928</v>
      </c>
    </row>
    <row r="1142" spans="2:16" ht="18" customHeight="1">
      <c r="B1142" s="284"/>
      <c r="C1142" s="311"/>
      <c r="D1142" s="312"/>
      <c r="E1142" s="289"/>
      <c r="F1142" s="79">
        <v>2</v>
      </c>
      <c r="G1142" s="178" t="s">
        <v>106</v>
      </c>
      <c r="H1142" s="234">
        <v>8.5547496165908292</v>
      </c>
      <c r="I1142" s="328"/>
      <c r="J1142" s="328"/>
      <c r="K1142" s="328"/>
      <c r="L1142" s="234">
        <v>10.542145892487859</v>
      </c>
      <c r="M1142" s="328">
        <v>3.2383556828390616</v>
      </c>
      <c r="N1142" s="328">
        <v>0.67546146975785759</v>
      </c>
      <c r="O1142" s="328">
        <v>1.3679925430109482E-2</v>
      </c>
      <c r="P1142" s="328">
        <v>0.42243430833132928</v>
      </c>
    </row>
    <row r="1143" spans="2:16" ht="18" customHeight="1">
      <c r="B1143" s="284"/>
      <c r="C1143" s="311"/>
      <c r="D1143" s="312"/>
      <c r="E1143" s="289"/>
      <c r="F1143" s="79">
        <v>3</v>
      </c>
      <c r="G1143" s="178" t="s">
        <v>107</v>
      </c>
      <c r="H1143" s="234">
        <v>44.805791302011912</v>
      </c>
      <c r="I1143" s="328"/>
      <c r="J1143" s="328"/>
      <c r="K1143" s="328"/>
      <c r="L1143" s="234">
        <v>51.896345550090324</v>
      </c>
      <c r="M1143" s="328">
        <v>3.2383556828390616</v>
      </c>
      <c r="N1143" s="328">
        <v>0.67546146975785759</v>
      </c>
      <c r="O1143" s="328">
        <v>1.3679925430109482E-2</v>
      </c>
      <c r="P1143" s="328">
        <v>0.42243430833132928</v>
      </c>
    </row>
    <row r="1144" spans="2:16" ht="18" customHeight="1">
      <c r="B1144" s="284"/>
      <c r="C1144" s="313"/>
      <c r="D1144" s="314"/>
      <c r="E1144" s="288"/>
      <c r="F1144" s="82">
        <v>4</v>
      </c>
      <c r="G1144" s="180" t="s">
        <v>108</v>
      </c>
      <c r="H1144" s="235">
        <v>45.882231577898189</v>
      </c>
      <c r="I1144" s="329"/>
      <c r="J1144" s="329"/>
      <c r="K1144" s="329"/>
      <c r="L1144" s="235">
        <v>36.500243763746504</v>
      </c>
      <c r="M1144" s="329">
        <v>3.2383556828390616</v>
      </c>
      <c r="N1144" s="329">
        <v>0.67546146975785759</v>
      </c>
      <c r="O1144" s="329">
        <v>1.3679925430109482E-2</v>
      </c>
      <c r="P1144" s="329">
        <v>0.42243430833132928</v>
      </c>
    </row>
    <row r="1145" spans="2:16" ht="18" customHeight="1">
      <c r="B1145" s="284"/>
      <c r="C1145" s="309" t="s">
        <v>262</v>
      </c>
      <c r="D1145" s="310"/>
      <c r="E1145" s="287" t="str">
        <f>HYPERLINK("#LAYOUT_m1!lay중YFAM2C03","YFAM2C03")</f>
        <v>YFAM2C03</v>
      </c>
      <c r="F1145" s="78">
        <v>1</v>
      </c>
      <c r="G1145" s="179" t="s">
        <v>105</v>
      </c>
      <c r="H1145" s="233">
        <v>1.2778352273632361</v>
      </c>
      <c r="I1145" s="327">
        <v>3.3106446138323635</v>
      </c>
      <c r="J1145" s="327">
        <v>1.3403120621534472E-2</v>
      </c>
      <c r="K1145" s="327">
        <v>0.40484927211861566</v>
      </c>
      <c r="L1145" s="233">
        <v>1.9023532490960551</v>
      </c>
      <c r="M1145" s="327">
        <v>3.1869562083812122</v>
      </c>
      <c r="N1145" s="327">
        <v>0.70792574293007327</v>
      </c>
      <c r="O1145" s="327">
        <v>1.4337414948050183E-2</v>
      </c>
      <c r="P1145" s="327">
        <v>0.44987800304079961</v>
      </c>
    </row>
    <row r="1146" spans="2:16" ht="18" customHeight="1">
      <c r="B1146" s="284"/>
      <c r="C1146" s="311"/>
      <c r="D1146" s="312"/>
      <c r="E1146" s="289"/>
      <c r="F1146" s="79">
        <v>2</v>
      </c>
      <c r="G1146" s="178" t="s">
        <v>106</v>
      </c>
      <c r="H1146" s="234">
        <v>8.7141369395300927</v>
      </c>
      <c r="I1146" s="328"/>
      <c r="J1146" s="328"/>
      <c r="K1146" s="328"/>
      <c r="L1146" s="234">
        <v>11.740425828049776</v>
      </c>
      <c r="M1146" s="328">
        <v>3.1869562083812122</v>
      </c>
      <c r="N1146" s="328">
        <v>0.70792574293007327</v>
      </c>
      <c r="O1146" s="328">
        <v>1.4337414948050183E-2</v>
      </c>
      <c r="P1146" s="328">
        <v>0.44987800304079961</v>
      </c>
    </row>
    <row r="1147" spans="2:16" ht="18" customHeight="1">
      <c r="B1147" s="284"/>
      <c r="C1147" s="311"/>
      <c r="D1147" s="312"/>
      <c r="E1147" s="289"/>
      <c r="F1147" s="79">
        <v>3</v>
      </c>
      <c r="G1147" s="178" t="s">
        <v>107</v>
      </c>
      <c r="H1147" s="234">
        <v>47.673759055615776</v>
      </c>
      <c r="I1147" s="328"/>
      <c r="J1147" s="328"/>
      <c r="K1147" s="328"/>
      <c r="L1147" s="234">
        <v>52.116467758489314</v>
      </c>
      <c r="M1147" s="328">
        <v>3.1869562083812122</v>
      </c>
      <c r="N1147" s="328">
        <v>0.70792574293007327</v>
      </c>
      <c r="O1147" s="328">
        <v>1.4337414948050183E-2</v>
      </c>
      <c r="P1147" s="328">
        <v>0.44987800304079961</v>
      </c>
    </row>
    <row r="1148" spans="2:16" ht="18" customHeight="1">
      <c r="B1148" s="284"/>
      <c r="C1148" s="313"/>
      <c r="D1148" s="314"/>
      <c r="E1148" s="288"/>
      <c r="F1148" s="82">
        <v>4</v>
      </c>
      <c r="G1148" s="180" t="s">
        <v>108</v>
      </c>
      <c r="H1148" s="235">
        <v>42.334268777490912</v>
      </c>
      <c r="I1148" s="329"/>
      <c r="J1148" s="329"/>
      <c r="K1148" s="329"/>
      <c r="L1148" s="235">
        <v>34.24075316436484</v>
      </c>
      <c r="M1148" s="329">
        <v>3.1869562083812122</v>
      </c>
      <c r="N1148" s="329">
        <v>0.70792574293007327</v>
      </c>
      <c r="O1148" s="329">
        <v>1.4337414948050183E-2</v>
      </c>
      <c r="P1148" s="329">
        <v>0.44987800304079961</v>
      </c>
    </row>
    <row r="1149" spans="2:16" ht="18" customHeight="1">
      <c r="B1149" s="284"/>
      <c r="C1149" s="309" t="s">
        <v>263</v>
      </c>
      <c r="D1149" s="310"/>
      <c r="E1149" s="287" t="str">
        <f>HYPERLINK("#LAYOUT_m1!lay중YFAM2C04","YFAM2C04")</f>
        <v>YFAM2C04</v>
      </c>
      <c r="F1149" s="78">
        <v>1</v>
      </c>
      <c r="G1149" s="179" t="s">
        <v>105</v>
      </c>
      <c r="H1149" s="233">
        <v>1.3444006774651094</v>
      </c>
      <c r="I1149" s="327">
        <v>3.3145549039202393</v>
      </c>
      <c r="J1149" s="327">
        <v>1.3450434163762048E-2</v>
      </c>
      <c r="K1149" s="327">
        <v>0.40579910587251877</v>
      </c>
      <c r="L1149" s="233">
        <v>1.8657406244454029</v>
      </c>
      <c r="M1149" s="327">
        <v>3.1711703151292392</v>
      </c>
      <c r="N1149" s="327">
        <v>0.69064677371108874</v>
      </c>
      <c r="O1149" s="327">
        <v>1.3987468991088938E-2</v>
      </c>
      <c r="P1149" s="327">
        <v>0.44108223782105116</v>
      </c>
    </row>
    <row r="1150" spans="2:16" ht="18" customHeight="1">
      <c r="B1150" s="284"/>
      <c r="C1150" s="311"/>
      <c r="D1150" s="312"/>
      <c r="E1150" s="289"/>
      <c r="F1150" s="79">
        <v>2</v>
      </c>
      <c r="G1150" s="178" t="s">
        <v>106</v>
      </c>
      <c r="H1150" s="234">
        <v>8.6056326472304914</v>
      </c>
      <c r="I1150" s="328"/>
      <c r="J1150" s="328"/>
      <c r="K1150" s="328"/>
      <c r="L1150" s="234">
        <v>11.149092046711331</v>
      </c>
      <c r="M1150" s="328">
        <v>3.1711703151292392</v>
      </c>
      <c r="N1150" s="328">
        <v>0.69064677371108874</v>
      </c>
      <c r="O1150" s="328">
        <v>1.3987468991088938E-2</v>
      </c>
      <c r="P1150" s="328">
        <v>0.44108223782105116</v>
      </c>
    </row>
    <row r="1151" spans="2:16" ht="18" customHeight="1">
      <c r="B1151" s="284"/>
      <c r="C1151" s="311"/>
      <c r="D1151" s="312"/>
      <c r="E1151" s="289"/>
      <c r="F1151" s="79">
        <v>3</v>
      </c>
      <c r="G1151" s="178" t="s">
        <v>107</v>
      </c>
      <c r="H1151" s="234">
        <v>47.300042281121343</v>
      </c>
      <c r="I1151" s="328"/>
      <c r="J1151" s="328"/>
      <c r="K1151" s="328"/>
      <c r="L1151" s="234">
        <v>54.987562520315478</v>
      </c>
      <c r="M1151" s="328">
        <v>3.1711703151292392</v>
      </c>
      <c r="N1151" s="328">
        <v>0.69064677371108874</v>
      </c>
      <c r="O1151" s="328">
        <v>1.3987468991088938E-2</v>
      </c>
      <c r="P1151" s="328">
        <v>0.44108223782105116</v>
      </c>
    </row>
    <row r="1152" spans="2:16" ht="18" customHeight="1">
      <c r="B1152" s="284"/>
      <c r="C1152" s="313"/>
      <c r="D1152" s="314"/>
      <c r="E1152" s="288"/>
      <c r="F1152" s="82">
        <v>4</v>
      </c>
      <c r="G1152" s="180" t="s">
        <v>108</v>
      </c>
      <c r="H1152" s="235">
        <v>42.749924394183047</v>
      </c>
      <c r="I1152" s="329"/>
      <c r="J1152" s="329"/>
      <c r="K1152" s="329"/>
      <c r="L1152" s="235">
        <v>31.9976048085278</v>
      </c>
      <c r="M1152" s="329">
        <v>3.1711703151292392</v>
      </c>
      <c r="N1152" s="329">
        <v>0.69064677371108874</v>
      </c>
      <c r="O1152" s="329">
        <v>1.3987468991088938E-2</v>
      </c>
      <c r="P1152" s="329">
        <v>0.44108223782105116</v>
      </c>
    </row>
    <row r="1153" spans="2:16" ht="18" customHeight="1">
      <c r="B1153" s="284"/>
      <c r="C1153" s="309" t="s">
        <v>264</v>
      </c>
      <c r="D1153" s="310"/>
      <c r="E1153" s="287" t="str">
        <f>HYPERLINK("#LAYOUT_m1!lay중YFAM2D01","YFAM2D01")</f>
        <v>YFAM2D01</v>
      </c>
      <c r="F1153" s="78">
        <v>1</v>
      </c>
      <c r="G1153" s="179" t="s">
        <v>105</v>
      </c>
      <c r="H1153" s="233">
        <v>9.6199214124758932</v>
      </c>
      <c r="I1153" s="327">
        <v>2.6362934550904127</v>
      </c>
      <c r="J1153" s="327">
        <v>1.6789946410498902E-2</v>
      </c>
      <c r="K1153" s="327">
        <v>0.6368769902333612</v>
      </c>
      <c r="L1153" s="233">
        <v>10.714416551140305</v>
      </c>
      <c r="M1153" s="327">
        <v>2.5514398246632748</v>
      </c>
      <c r="N1153" s="327">
        <v>0.83062919395854973</v>
      </c>
      <c r="O1153" s="327">
        <v>1.6822492388053376E-2</v>
      </c>
      <c r="P1153" s="327">
        <v>0.65933329978783717</v>
      </c>
    </row>
    <row r="1154" spans="2:16" ht="18" customHeight="1">
      <c r="B1154" s="284"/>
      <c r="C1154" s="311"/>
      <c r="D1154" s="312"/>
      <c r="E1154" s="289"/>
      <c r="F1154" s="79">
        <v>2</v>
      </c>
      <c r="G1154" s="178" t="s">
        <v>106</v>
      </c>
      <c r="H1154" s="234">
        <v>32.431938344063873</v>
      </c>
      <c r="I1154" s="328"/>
      <c r="J1154" s="328"/>
      <c r="K1154" s="328"/>
      <c r="L1154" s="234">
        <v>34.8281637386239</v>
      </c>
      <c r="M1154" s="328">
        <v>2.5514398246632748</v>
      </c>
      <c r="N1154" s="328">
        <v>0.83062919395854973</v>
      </c>
      <c r="O1154" s="328">
        <v>1.6822492388053376E-2</v>
      </c>
      <c r="P1154" s="328">
        <v>0.65933329978783717</v>
      </c>
    </row>
    <row r="1155" spans="2:16" ht="18" customHeight="1">
      <c r="B1155" s="284"/>
      <c r="C1155" s="311"/>
      <c r="D1155" s="312"/>
      <c r="E1155" s="289"/>
      <c r="F1155" s="79">
        <v>3</v>
      </c>
      <c r="G1155" s="178" t="s">
        <v>107</v>
      </c>
      <c r="H1155" s="234">
        <v>42.647013565403881</v>
      </c>
      <c r="I1155" s="328"/>
      <c r="J1155" s="328"/>
      <c r="K1155" s="328"/>
      <c r="L1155" s="234">
        <v>43.056440403002448</v>
      </c>
      <c r="M1155" s="328">
        <v>2.5514398246632748</v>
      </c>
      <c r="N1155" s="328">
        <v>0.83062919395854973</v>
      </c>
      <c r="O1155" s="328">
        <v>1.6822492388053376E-2</v>
      </c>
      <c r="P1155" s="328">
        <v>0.65933329978783717</v>
      </c>
    </row>
    <row r="1156" spans="2:16" ht="18" customHeight="1">
      <c r="B1156" s="284"/>
      <c r="C1156" s="313"/>
      <c r="D1156" s="314"/>
      <c r="E1156" s="288"/>
      <c r="F1156" s="82">
        <v>4</v>
      </c>
      <c r="G1156" s="180" t="s">
        <v>108</v>
      </c>
      <c r="H1156" s="235">
        <v>15.301126678056377</v>
      </c>
      <c r="I1156" s="329"/>
      <c r="J1156" s="329"/>
      <c r="K1156" s="329"/>
      <c r="L1156" s="235">
        <v>11.400979307233357</v>
      </c>
      <c r="M1156" s="329">
        <v>2.5514398246632748</v>
      </c>
      <c r="N1156" s="329">
        <v>0.83062919395854973</v>
      </c>
      <c r="O1156" s="329">
        <v>1.6822492388053376E-2</v>
      </c>
      <c r="P1156" s="329">
        <v>0.65933329978783717</v>
      </c>
    </row>
    <row r="1157" spans="2:16" ht="18" customHeight="1">
      <c r="B1157" s="284"/>
      <c r="C1157" s="309" t="s">
        <v>265</v>
      </c>
      <c r="D1157" s="310"/>
      <c r="E1157" s="287" t="str">
        <f>HYPERLINK("#LAYOUT_m1!lay중YFAM2D02","YFAM2D02")</f>
        <v>YFAM2D02</v>
      </c>
      <c r="F1157" s="78">
        <v>1</v>
      </c>
      <c r="G1157" s="179" t="s">
        <v>105</v>
      </c>
      <c r="H1157" s="233">
        <v>19.679742009929203</v>
      </c>
      <c r="I1157" s="327">
        <v>2.2990536214902595</v>
      </c>
      <c r="J1157" s="327">
        <v>1.7331464381436189E-2</v>
      </c>
      <c r="K1157" s="327">
        <v>0.75385211634175986</v>
      </c>
      <c r="L1157" s="233">
        <v>18.905091538332741</v>
      </c>
      <c r="M1157" s="327">
        <v>2.2484510322757036</v>
      </c>
      <c r="N1157" s="327">
        <v>0.82678065963044456</v>
      </c>
      <c r="O1157" s="327">
        <v>1.6744549137430106E-2</v>
      </c>
      <c r="P1157" s="327">
        <v>0.74471486801660991</v>
      </c>
    </row>
    <row r="1158" spans="2:16" ht="18" customHeight="1">
      <c r="B1158" s="284"/>
      <c r="C1158" s="311"/>
      <c r="D1158" s="312"/>
      <c r="E1158" s="289"/>
      <c r="F1158" s="79">
        <v>2</v>
      </c>
      <c r="G1158" s="178" t="s">
        <v>106</v>
      </c>
      <c r="H1158" s="234">
        <v>39.458530849961512</v>
      </c>
      <c r="I1158" s="328"/>
      <c r="J1158" s="328"/>
      <c r="K1158" s="328"/>
      <c r="L1158" s="234">
        <v>43.267760276245248</v>
      </c>
      <c r="M1158" s="328">
        <v>2.2484510322757036</v>
      </c>
      <c r="N1158" s="328">
        <v>0.82678065963044456</v>
      </c>
      <c r="O1158" s="328">
        <v>1.6744549137430106E-2</v>
      </c>
      <c r="P1158" s="328">
        <v>0.74471486801660991</v>
      </c>
    </row>
    <row r="1159" spans="2:16" ht="18" customHeight="1">
      <c r="B1159" s="284"/>
      <c r="C1159" s="311"/>
      <c r="D1159" s="312"/>
      <c r="E1159" s="289"/>
      <c r="F1159" s="79">
        <v>3</v>
      </c>
      <c r="G1159" s="178" t="s">
        <v>107</v>
      </c>
      <c r="H1159" s="234">
        <v>32.138350121263748</v>
      </c>
      <c r="I1159" s="328"/>
      <c r="J1159" s="328"/>
      <c r="K1159" s="328"/>
      <c r="L1159" s="234">
        <v>31.90410160494023</v>
      </c>
      <c r="M1159" s="328">
        <v>2.2484510322757036</v>
      </c>
      <c r="N1159" s="328">
        <v>0.82678065963044456</v>
      </c>
      <c r="O1159" s="328">
        <v>1.6744549137430106E-2</v>
      </c>
      <c r="P1159" s="328">
        <v>0.74471486801660991</v>
      </c>
    </row>
    <row r="1160" spans="2:16" ht="18" customHeight="1">
      <c r="B1160" s="284"/>
      <c r="C1160" s="313"/>
      <c r="D1160" s="314"/>
      <c r="E1160" s="288"/>
      <c r="F1160" s="82">
        <v>4</v>
      </c>
      <c r="G1160" s="180" t="s">
        <v>108</v>
      </c>
      <c r="H1160" s="235">
        <v>8.7233770188455111</v>
      </c>
      <c r="I1160" s="329"/>
      <c r="J1160" s="329"/>
      <c r="K1160" s="329"/>
      <c r="L1160" s="235">
        <v>5.9230465804817714</v>
      </c>
      <c r="M1160" s="329">
        <v>2.2484510322757036</v>
      </c>
      <c r="N1160" s="329">
        <v>0.82678065963044456</v>
      </c>
      <c r="O1160" s="329">
        <v>1.6744549137430106E-2</v>
      </c>
      <c r="P1160" s="329">
        <v>0.74471486801660991</v>
      </c>
    </row>
    <row r="1161" spans="2:16" ht="18" customHeight="1">
      <c r="B1161" s="284"/>
      <c r="C1161" s="309" t="s">
        <v>266</v>
      </c>
      <c r="D1161" s="310"/>
      <c r="E1161" s="287" t="str">
        <f>HYPERLINK("#LAYOUT_m1!lay중YFAM2D03","YFAM2D03")</f>
        <v>YFAM2D03</v>
      </c>
      <c r="F1161" s="78">
        <v>1</v>
      </c>
      <c r="G1161" s="179" t="s">
        <v>105</v>
      </c>
      <c r="H1161" s="233">
        <v>30.110726098060798</v>
      </c>
      <c r="I1161" s="327">
        <v>2.0427789893666364</v>
      </c>
      <c r="J1161" s="327">
        <v>1.7332507195865141E-2</v>
      </c>
      <c r="K1161" s="327">
        <v>0.8484768683292111</v>
      </c>
      <c r="L1161" s="233">
        <v>28.505318794110565</v>
      </c>
      <c r="M1161" s="327">
        <v>2.0434352495566128</v>
      </c>
      <c r="N1161" s="327">
        <v>0.84209447083283062</v>
      </c>
      <c r="O1161" s="327">
        <v>1.705469531849135E-2</v>
      </c>
      <c r="P1161" s="327">
        <v>0.83460903995817315</v>
      </c>
    </row>
    <row r="1162" spans="2:16" ht="18" customHeight="1">
      <c r="B1162" s="284"/>
      <c r="C1162" s="311"/>
      <c r="D1162" s="312"/>
      <c r="E1162" s="289"/>
      <c r="F1162" s="79">
        <v>2</v>
      </c>
      <c r="G1162" s="178" t="s">
        <v>106</v>
      </c>
      <c r="H1162" s="234">
        <v>42.231301444564799</v>
      </c>
      <c r="I1162" s="328"/>
      <c r="J1162" s="328"/>
      <c r="K1162" s="328"/>
      <c r="L1162" s="234">
        <v>43.504698988118157</v>
      </c>
      <c r="M1162" s="328">
        <v>2.0434352495566128</v>
      </c>
      <c r="N1162" s="328">
        <v>0.84209447083283062</v>
      </c>
      <c r="O1162" s="328">
        <v>1.705469531849135E-2</v>
      </c>
      <c r="P1162" s="328">
        <v>0.83460903995817315</v>
      </c>
    </row>
    <row r="1163" spans="2:16" ht="18" customHeight="1">
      <c r="B1163" s="284"/>
      <c r="C1163" s="311"/>
      <c r="D1163" s="312"/>
      <c r="E1163" s="289"/>
      <c r="F1163" s="79">
        <v>3</v>
      </c>
      <c r="G1163" s="178" t="s">
        <v>107</v>
      </c>
      <c r="H1163" s="234">
        <v>20.927319880024655</v>
      </c>
      <c r="I1163" s="328"/>
      <c r="J1163" s="328"/>
      <c r="K1163" s="328"/>
      <c r="L1163" s="234">
        <v>23.131120685769805</v>
      </c>
      <c r="M1163" s="328">
        <v>2.0434352495566128</v>
      </c>
      <c r="N1163" s="328">
        <v>0.84209447083283062</v>
      </c>
      <c r="O1163" s="328">
        <v>1.705469531849135E-2</v>
      </c>
      <c r="P1163" s="328">
        <v>0.83460903995817315</v>
      </c>
    </row>
    <row r="1164" spans="2:16" ht="18" customHeight="1">
      <c r="B1164" s="284"/>
      <c r="C1164" s="313"/>
      <c r="D1164" s="314"/>
      <c r="E1164" s="288"/>
      <c r="F1164" s="82">
        <v>4</v>
      </c>
      <c r="G1164" s="180" t="s">
        <v>108</v>
      </c>
      <c r="H1164" s="235">
        <v>6.7306525773497752</v>
      </c>
      <c r="I1164" s="329"/>
      <c r="J1164" s="329"/>
      <c r="K1164" s="329"/>
      <c r="L1164" s="235">
        <v>4.858861532001459</v>
      </c>
      <c r="M1164" s="329">
        <v>2.0434352495566128</v>
      </c>
      <c r="N1164" s="329">
        <v>0.84209447083283062</v>
      </c>
      <c r="O1164" s="329">
        <v>1.705469531849135E-2</v>
      </c>
      <c r="P1164" s="329">
        <v>0.83460903995817315</v>
      </c>
    </row>
    <row r="1165" spans="2:16" ht="18" customHeight="1">
      <c r="B1165" s="284"/>
      <c r="C1165" s="309" t="s">
        <v>267</v>
      </c>
      <c r="D1165" s="310"/>
      <c r="E1165" s="287" t="str">
        <f>HYPERLINK("#LAYOUT_m1!lay중YFAM2D04","YFAM2D04")</f>
        <v>YFAM2D04</v>
      </c>
      <c r="F1165" s="78">
        <v>1</v>
      </c>
      <c r="G1165" s="179" t="s">
        <v>105</v>
      </c>
      <c r="H1165" s="233">
        <v>45.32055270636284</v>
      </c>
      <c r="I1165" s="327">
        <v>1.6976757136475935</v>
      </c>
      <c r="J1165" s="327">
        <v>1.4656514496669789E-2</v>
      </c>
      <c r="K1165" s="327">
        <v>0.86332827752946306</v>
      </c>
      <c r="L1165" s="233">
        <v>40.083692208398887</v>
      </c>
      <c r="M1165" s="327">
        <v>1.7806076690576371</v>
      </c>
      <c r="N1165" s="327">
        <v>0.76052162911868049</v>
      </c>
      <c r="O1165" s="327">
        <v>1.5402624191219303E-2</v>
      </c>
      <c r="P1165" s="327">
        <v>0.86502065889511492</v>
      </c>
    </row>
    <row r="1166" spans="2:16" ht="18" customHeight="1">
      <c r="B1166" s="284"/>
      <c r="C1166" s="311"/>
      <c r="D1166" s="312"/>
      <c r="E1166" s="289"/>
      <c r="F1166" s="79">
        <v>2</v>
      </c>
      <c r="G1166" s="178" t="s">
        <v>106</v>
      </c>
      <c r="H1166" s="234">
        <v>41.764580395084472</v>
      </c>
      <c r="I1166" s="328"/>
      <c r="J1166" s="328"/>
      <c r="K1166" s="328"/>
      <c r="L1166" s="234">
        <v>43.972218136240087</v>
      </c>
      <c r="M1166" s="328">
        <v>1.7806076690576371</v>
      </c>
      <c r="N1166" s="328">
        <v>0.76052162911868049</v>
      </c>
      <c r="O1166" s="328">
        <v>1.5402624191219303E-2</v>
      </c>
      <c r="P1166" s="328">
        <v>0.86502065889511492</v>
      </c>
    </row>
    <row r="1167" spans="2:16" ht="18" customHeight="1">
      <c r="B1167" s="284"/>
      <c r="C1167" s="311"/>
      <c r="D1167" s="312"/>
      <c r="E1167" s="289"/>
      <c r="F1167" s="79">
        <v>3</v>
      </c>
      <c r="G1167" s="178" t="s">
        <v>107</v>
      </c>
      <c r="H1167" s="234">
        <v>10.741609725983638</v>
      </c>
      <c r="I1167" s="328"/>
      <c r="J1167" s="328"/>
      <c r="K1167" s="328"/>
      <c r="L1167" s="234">
        <v>13.74372019655857</v>
      </c>
      <c r="M1167" s="328">
        <v>1.7806076690576371</v>
      </c>
      <c r="N1167" s="328">
        <v>0.76052162911868049</v>
      </c>
      <c r="O1167" s="328">
        <v>1.5402624191219303E-2</v>
      </c>
      <c r="P1167" s="328">
        <v>0.86502065889511492</v>
      </c>
    </row>
    <row r="1168" spans="2:16" ht="18" customHeight="1">
      <c r="B1168" s="284"/>
      <c r="C1168" s="313"/>
      <c r="D1168" s="314"/>
      <c r="E1168" s="288"/>
      <c r="F1168" s="82">
        <v>4</v>
      </c>
      <c r="G1168" s="180" t="s">
        <v>108</v>
      </c>
      <c r="H1168" s="235">
        <v>2.1732571725690577</v>
      </c>
      <c r="I1168" s="329"/>
      <c r="J1168" s="329"/>
      <c r="K1168" s="329"/>
      <c r="L1168" s="235">
        <v>2.2003694588024629</v>
      </c>
      <c r="M1168" s="329">
        <v>1.7806076690576371</v>
      </c>
      <c r="N1168" s="329">
        <v>0.76052162911868049</v>
      </c>
      <c r="O1168" s="329">
        <v>1.5402624191219303E-2</v>
      </c>
      <c r="P1168" s="329">
        <v>0.86502065889511492</v>
      </c>
    </row>
    <row r="1169" spans="2:16" ht="18" customHeight="1">
      <c r="B1169" s="284"/>
      <c r="C1169" s="309" t="s">
        <v>268</v>
      </c>
      <c r="D1169" s="310"/>
      <c r="E1169" s="287" t="str">
        <f>HYPERLINK("#LAYOUT_m1!lay중YFAM2E01","YFAM2E01")</f>
        <v>YFAM2E01</v>
      </c>
      <c r="F1169" s="78">
        <v>1</v>
      </c>
      <c r="G1169" s="179" t="s">
        <v>105</v>
      </c>
      <c r="H1169" s="233">
        <v>4.0611616169186249</v>
      </c>
      <c r="I1169" s="327">
        <v>2.9039228261090924</v>
      </c>
      <c r="J1169" s="327">
        <v>1.4245501975982349E-2</v>
      </c>
      <c r="K1169" s="327">
        <v>0.4905606253686019</v>
      </c>
      <c r="L1169" s="233">
        <v>3.7834158341412807</v>
      </c>
      <c r="M1169" s="327">
        <v>2.8357469494021896</v>
      </c>
      <c r="N1169" s="327">
        <v>0.68606716747916618</v>
      </c>
      <c r="O1169" s="327">
        <v>1.3894719553027837E-2</v>
      </c>
      <c r="P1169" s="327">
        <v>0.48998446620764302</v>
      </c>
    </row>
    <row r="1170" spans="2:16" ht="18" customHeight="1">
      <c r="B1170" s="284"/>
      <c r="C1170" s="311"/>
      <c r="D1170" s="312"/>
      <c r="E1170" s="289"/>
      <c r="F1170" s="79">
        <v>2</v>
      </c>
      <c r="G1170" s="178" t="s">
        <v>106</v>
      </c>
      <c r="H1170" s="234">
        <v>19.351763582535089</v>
      </c>
      <c r="I1170" s="328"/>
      <c r="J1170" s="328"/>
      <c r="K1170" s="328"/>
      <c r="L1170" s="234">
        <v>21.736113012071463</v>
      </c>
      <c r="M1170" s="328">
        <v>2.8357469494021896</v>
      </c>
      <c r="N1170" s="328">
        <v>0.68606716747916618</v>
      </c>
      <c r="O1170" s="328">
        <v>1.3894719553027837E-2</v>
      </c>
      <c r="P1170" s="328">
        <v>0.48998446620764302</v>
      </c>
    </row>
    <row r="1171" spans="2:16" ht="18" customHeight="1">
      <c r="B1171" s="284"/>
      <c r="C1171" s="311"/>
      <c r="D1171" s="312"/>
      <c r="E1171" s="289"/>
      <c r="F1171" s="79">
        <v>3</v>
      </c>
      <c r="G1171" s="178" t="s">
        <v>107</v>
      </c>
      <c r="H1171" s="234">
        <v>58.720705373265808</v>
      </c>
      <c r="I1171" s="328"/>
      <c r="J1171" s="328"/>
      <c r="K1171" s="328"/>
      <c r="L1171" s="234">
        <v>61.602831533212978</v>
      </c>
      <c r="M1171" s="328">
        <v>2.8357469494021896</v>
      </c>
      <c r="N1171" s="328">
        <v>0.68606716747916618</v>
      </c>
      <c r="O1171" s="328">
        <v>1.3894719553027837E-2</v>
      </c>
      <c r="P1171" s="328">
        <v>0.48998446620764302</v>
      </c>
    </row>
    <row r="1172" spans="2:16" ht="18" customHeight="1">
      <c r="B1172" s="284"/>
      <c r="C1172" s="313"/>
      <c r="D1172" s="314"/>
      <c r="E1172" s="288"/>
      <c r="F1172" s="82">
        <v>4</v>
      </c>
      <c r="G1172" s="180" t="s">
        <v>108</v>
      </c>
      <c r="H1172" s="235">
        <v>17.866369427280485</v>
      </c>
      <c r="I1172" s="329"/>
      <c r="J1172" s="329"/>
      <c r="K1172" s="329"/>
      <c r="L1172" s="235">
        <v>12.877639620574302</v>
      </c>
      <c r="M1172" s="329">
        <v>2.8357469494021896</v>
      </c>
      <c r="N1172" s="329">
        <v>0.68606716747916618</v>
      </c>
      <c r="O1172" s="329">
        <v>1.3894719553027837E-2</v>
      </c>
      <c r="P1172" s="329">
        <v>0.48998446620764302</v>
      </c>
    </row>
    <row r="1173" spans="2:16" ht="18" customHeight="1">
      <c r="B1173" s="284"/>
      <c r="C1173" s="309" t="s">
        <v>269</v>
      </c>
      <c r="D1173" s="310"/>
      <c r="E1173" s="287" t="str">
        <f>HYPERLINK("#LAYOUT_m1!lay중YFAM2E02","YFAM2E02")</f>
        <v>YFAM2E02</v>
      </c>
      <c r="F1173" s="78">
        <v>1</v>
      </c>
      <c r="G1173" s="179" t="s">
        <v>105</v>
      </c>
      <c r="H1173" s="233">
        <v>1.9129179549516435</v>
      </c>
      <c r="I1173" s="327">
        <v>3.11257454214965</v>
      </c>
      <c r="J1173" s="327">
        <v>1.342323780835959E-2</v>
      </c>
      <c r="K1173" s="327">
        <v>0.43125835627663556</v>
      </c>
      <c r="L1173" s="233">
        <v>2.4003009358190526</v>
      </c>
      <c r="M1173" s="327">
        <v>3.0299529089474726</v>
      </c>
      <c r="N1173" s="327">
        <v>0.68613003677880491</v>
      </c>
      <c r="O1173" s="327">
        <v>1.3895992826736861E-2</v>
      </c>
      <c r="P1173" s="327">
        <v>0.4586207523457505</v>
      </c>
    </row>
    <row r="1174" spans="2:16" ht="18" customHeight="1">
      <c r="B1174" s="284"/>
      <c r="C1174" s="311"/>
      <c r="D1174" s="312"/>
      <c r="E1174" s="289"/>
      <c r="F1174" s="79">
        <v>2</v>
      </c>
      <c r="G1174" s="178" t="s">
        <v>106</v>
      </c>
      <c r="H1174" s="234">
        <v>12.59090030615098</v>
      </c>
      <c r="I1174" s="328"/>
      <c r="J1174" s="328"/>
      <c r="K1174" s="328"/>
      <c r="L1174" s="234">
        <v>14.875377020561357</v>
      </c>
      <c r="M1174" s="328">
        <v>3.0299529089474726</v>
      </c>
      <c r="N1174" s="328">
        <v>0.68613003677880491</v>
      </c>
      <c r="O1174" s="328">
        <v>1.3895992826736861E-2</v>
      </c>
      <c r="P1174" s="328">
        <v>0.4586207523457505</v>
      </c>
    </row>
    <row r="1175" spans="2:16" ht="18" customHeight="1">
      <c r="B1175" s="284"/>
      <c r="C1175" s="311"/>
      <c r="D1175" s="312"/>
      <c r="E1175" s="289"/>
      <c r="F1175" s="79">
        <v>3</v>
      </c>
      <c r="G1175" s="178" t="s">
        <v>107</v>
      </c>
      <c r="H1175" s="234">
        <v>57.821991307879784</v>
      </c>
      <c r="I1175" s="328"/>
      <c r="J1175" s="328"/>
      <c r="K1175" s="328"/>
      <c r="L1175" s="234">
        <v>60.053052256670924</v>
      </c>
      <c r="M1175" s="328">
        <v>3.0299529089474726</v>
      </c>
      <c r="N1175" s="328">
        <v>0.68613003677880491</v>
      </c>
      <c r="O1175" s="328">
        <v>1.3895992826736861E-2</v>
      </c>
      <c r="P1175" s="328">
        <v>0.4586207523457505</v>
      </c>
    </row>
    <row r="1176" spans="2:16" ht="18" customHeight="1">
      <c r="B1176" s="284"/>
      <c r="C1176" s="313"/>
      <c r="D1176" s="314"/>
      <c r="E1176" s="288"/>
      <c r="F1176" s="82">
        <v>4</v>
      </c>
      <c r="G1176" s="180" t="s">
        <v>108</v>
      </c>
      <c r="H1176" s="235">
        <v>27.674190431017593</v>
      </c>
      <c r="I1176" s="329"/>
      <c r="J1176" s="329"/>
      <c r="K1176" s="329"/>
      <c r="L1176" s="235">
        <v>22.67126978694867</v>
      </c>
      <c r="M1176" s="329">
        <v>3.0299529089474726</v>
      </c>
      <c r="N1176" s="329">
        <v>0.68613003677880491</v>
      </c>
      <c r="O1176" s="329">
        <v>1.3895992826736861E-2</v>
      </c>
      <c r="P1176" s="329">
        <v>0.4586207523457505</v>
      </c>
    </row>
    <row r="1177" spans="2:16" ht="18" customHeight="1">
      <c r="B1177" s="284"/>
      <c r="C1177" s="309" t="s">
        <v>270</v>
      </c>
      <c r="D1177" s="310"/>
      <c r="E1177" s="287" t="str">
        <f>HYPERLINK("#LAYOUT_m1!lay중YFAM2E03","YFAM2E03")</f>
        <v>YFAM2E03</v>
      </c>
      <c r="F1177" s="78">
        <v>1</v>
      </c>
      <c r="G1177" s="179" t="s">
        <v>105</v>
      </c>
      <c r="H1177" s="233">
        <v>1.190628377444634</v>
      </c>
      <c r="I1177" s="327">
        <v>3.1812940254186803</v>
      </c>
      <c r="J1177" s="327">
        <v>1.2581961396005072E-2</v>
      </c>
      <c r="K1177" s="327">
        <v>0.39549822479389324</v>
      </c>
      <c r="L1177" s="233">
        <v>2.870265266020362</v>
      </c>
      <c r="M1177" s="327">
        <v>3.0633527912485081</v>
      </c>
      <c r="N1177" s="327">
        <v>0.68687315701466189</v>
      </c>
      <c r="O1177" s="327">
        <v>1.3911043025552461E-2</v>
      </c>
      <c r="P1177" s="327">
        <v>0.45411168655774814</v>
      </c>
    </row>
    <row r="1178" spans="2:16" ht="18" customHeight="1">
      <c r="B1178" s="284"/>
      <c r="C1178" s="311"/>
      <c r="D1178" s="312"/>
      <c r="E1178" s="289"/>
      <c r="F1178" s="79">
        <v>2</v>
      </c>
      <c r="G1178" s="178" t="s">
        <v>106</v>
      </c>
      <c r="H1178" s="234">
        <v>9.4994694496171181</v>
      </c>
      <c r="I1178" s="328"/>
      <c r="J1178" s="328"/>
      <c r="K1178" s="328"/>
      <c r="L1178" s="234">
        <v>12.002304282923337</v>
      </c>
      <c r="M1178" s="328">
        <v>3.0633527912485081</v>
      </c>
      <c r="N1178" s="328">
        <v>0.68687315701466189</v>
      </c>
      <c r="O1178" s="328">
        <v>1.3911043025552461E-2</v>
      </c>
      <c r="P1178" s="328">
        <v>0.45411168655774814</v>
      </c>
    </row>
    <row r="1179" spans="2:16" ht="18" customHeight="1">
      <c r="B1179" s="284"/>
      <c r="C1179" s="311"/>
      <c r="D1179" s="312"/>
      <c r="E1179" s="289"/>
      <c r="F1179" s="79">
        <v>3</v>
      </c>
      <c r="G1179" s="178" t="s">
        <v>107</v>
      </c>
      <c r="H1179" s="234">
        <v>59.299773426565558</v>
      </c>
      <c r="I1179" s="328"/>
      <c r="J1179" s="328"/>
      <c r="K1179" s="328"/>
      <c r="L1179" s="234">
        <v>61.049316511239745</v>
      </c>
      <c r="M1179" s="328">
        <v>3.0633527912485081</v>
      </c>
      <c r="N1179" s="328">
        <v>0.68687315701466189</v>
      </c>
      <c r="O1179" s="328">
        <v>1.3911043025552461E-2</v>
      </c>
      <c r="P1179" s="328">
        <v>0.45411168655774814</v>
      </c>
    </row>
    <row r="1180" spans="2:16" ht="18" customHeight="1">
      <c r="B1180" s="284"/>
      <c r="C1180" s="313"/>
      <c r="D1180" s="314"/>
      <c r="E1180" s="288"/>
      <c r="F1180" s="82">
        <v>4</v>
      </c>
      <c r="G1180" s="180" t="s">
        <v>108</v>
      </c>
      <c r="H1180" s="235">
        <v>30.010128746372686</v>
      </c>
      <c r="I1180" s="329"/>
      <c r="J1180" s="329"/>
      <c r="K1180" s="329"/>
      <c r="L1180" s="235">
        <v>24.078113939816561</v>
      </c>
      <c r="M1180" s="329">
        <v>3.0633527912485081</v>
      </c>
      <c r="N1180" s="329">
        <v>0.68687315701466189</v>
      </c>
      <c r="O1180" s="329">
        <v>1.3911043025552461E-2</v>
      </c>
      <c r="P1180" s="329">
        <v>0.45411168655774814</v>
      </c>
    </row>
    <row r="1181" spans="2:16" ht="18" customHeight="1">
      <c r="B1181" s="284"/>
      <c r="C1181" s="309" t="s">
        <v>271</v>
      </c>
      <c r="D1181" s="310"/>
      <c r="E1181" s="287" t="str">
        <f>HYPERLINK("#LAYOUT_m1!lay중YFAM2E04","YFAM2E04")</f>
        <v>YFAM2E04</v>
      </c>
      <c r="F1181" s="78">
        <v>1</v>
      </c>
      <c r="G1181" s="179" t="s">
        <v>105</v>
      </c>
      <c r="H1181" s="233">
        <v>2.1027366910574266</v>
      </c>
      <c r="I1181" s="327">
        <v>3.0697047280187193</v>
      </c>
      <c r="J1181" s="327">
        <v>1.3751817008339502E-2</v>
      </c>
      <c r="K1181" s="327">
        <v>0.44798500920364864</v>
      </c>
      <c r="L1181" s="233">
        <v>3.8238502607456883</v>
      </c>
      <c r="M1181" s="327">
        <v>2.9334732995335591</v>
      </c>
      <c r="N1181" s="327">
        <v>0.74184384846481144</v>
      </c>
      <c r="O1181" s="327">
        <v>1.5024348511576963E-2</v>
      </c>
      <c r="P1181" s="327">
        <v>0.51216926071786384</v>
      </c>
    </row>
    <row r="1182" spans="2:16" ht="18" customHeight="1">
      <c r="B1182" s="284"/>
      <c r="C1182" s="311"/>
      <c r="D1182" s="312"/>
      <c r="E1182" s="289"/>
      <c r="F1182" s="79">
        <v>2</v>
      </c>
      <c r="G1182" s="178" t="s">
        <v>106</v>
      </c>
      <c r="H1182" s="234">
        <v>14.930100356244678</v>
      </c>
      <c r="I1182" s="328"/>
      <c r="J1182" s="328"/>
      <c r="K1182" s="328"/>
      <c r="L1182" s="234">
        <v>19.581402557676217</v>
      </c>
      <c r="M1182" s="328">
        <v>2.9334732995335591</v>
      </c>
      <c r="N1182" s="328">
        <v>0.74184384846481144</v>
      </c>
      <c r="O1182" s="328">
        <v>1.5024348511576963E-2</v>
      </c>
      <c r="P1182" s="328">
        <v>0.51216926071786384</v>
      </c>
    </row>
    <row r="1183" spans="2:16" ht="18" customHeight="1">
      <c r="B1183" s="284"/>
      <c r="C1183" s="311"/>
      <c r="D1183" s="312"/>
      <c r="E1183" s="289"/>
      <c r="F1183" s="79">
        <v>3</v>
      </c>
      <c r="G1183" s="178" t="s">
        <v>107</v>
      </c>
      <c r="H1183" s="234">
        <v>56.861116412468022</v>
      </c>
      <c r="I1183" s="328"/>
      <c r="J1183" s="328"/>
      <c r="K1183" s="328"/>
      <c r="L1183" s="234">
        <v>56.018314149053118</v>
      </c>
      <c r="M1183" s="328">
        <v>2.9334732995335591</v>
      </c>
      <c r="N1183" s="328">
        <v>0.74184384846481144</v>
      </c>
      <c r="O1183" s="328">
        <v>1.5024348511576963E-2</v>
      </c>
      <c r="P1183" s="328">
        <v>0.51216926071786384</v>
      </c>
    </row>
    <row r="1184" spans="2:16" ht="18" customHeight="1">
      <c r="B1184" s="284"/>
      <c r="C1184" s="313"/>
      <c r="D1184" s="314"/>
      <c r="E1184" s="288"/>
      <c r="F1184" s="82">
        <v>4</v>
      </c>
      <c r="G1184" s="180" t="s">
        <v>108</v>
      </c>
      <c r="H1184" s="235">
        <v>26.106046540229883</v>
      </c>
      <c r="I1184" s="329"/>
      <c r="J1184" s="329"/>
      <c r="K1184" s="329"/>
      <c r="L1184" s="235">
        <v>20.576433032524964</v>
      </c>
      <c r="M1184" s="329">
        <v>2.9334732995335591</v>
      </c>
      <c r="N1184" s="329">
        <v>0.74184384846481144</v>
      </c>
      <c r="O1184" s="329">
        <v>1.5024348511576963E-2</v>
      </c>
      <c r="P1184" s="329">
        <v>0.51216926071786384</v>
      </c>
    </row>
    <row r="1185" spans="2:16" ht="18" customHeight="1">
      <c r="B1185" s="284"/>
      <c r="C1185" s="309" t="s">
        <v>272</v>
      </c>
      <c r="D1185" s="310"/>
      <c r="E1185" s="287" t="str">
        <f>HYPERLINK("#LAYOUT_m1!lay중YFAM2F01","YFAM2F01")</f>
        <v>YFAM2F01</v>
      </c>
      <c r="F1185" s="78">
        <v>1</v>
      </c>
      <c r="G1185" s="179" t="s">
        <v>105</v>
      </c>
      <c r="H1185" s="233">
        <v>25.66047703389162</v>
      </c>
      <c r="I1185" s="327">
        <v>2.1197004191688538</v>
      </c>
      <c r="J1185" s="327">
        <v>1.6765337759608517E-2</v>
      </c>
      <c r="K1185" s="327">
        <v>0.79092958646402844</v>
      </c>
      <c r="L1185" s="233">
        <v>23.761379057941888</v>
      </c>
      <c r="M1185" s="327">
        <v>2.1265888992915567</v>
      </c>
      <c r="N1185" s="327">
        <v>0.82183784599111487</v>
      </c>
      <c r="O1185" s="327">
        <v>1.6644443764987173E-2</v>
      </c>
      <c r="P1185" s="327">
        <v>0.78268271646353649</v>
      </c>
    </row>
    <row r="1186" spans="2:16" ht="18" customHeight="1">
      <c r="B1186" s="284"/>
      <c r="C1186" s="311"/>
      <c r="D1186" s="312"/>
      <c r="E1186" s="289"/>
      <c r="F1186" s="79">
        <v>2</v>
      </c>
      <c r="G1186" s="178" t="s">
        <v>106</v>
      </c>
      <c r="H1186" s="234">
        <v>42.16527496303857</v>
      </c>
      <c r="I1186" s="328"/>
      <c r="J1186" s="328"/>
      <c r="K1186" s="328"/>
      <c r="L1186" s="234">
        <v>44.285785783385741</v>
      </c>
      <c r="M1186" s="328">
        <v>2.1265888992915567</v>
      </c>
      <c r="N1186" s="328">
        <v>0.82183784599111487</v>
      </c>
      <c r="O1186" s="328">
        <v>1.6644443764987173E-2</v>
      </c>
      <c r="P1186" s="328">
        <v>0.78268271646353649</v>
      </c>
    </row>
    <row r="1187" spans="2:16" ht="18" customHeight="1">
      <c r="B1187" s="284"/>
      <c r="C1187" s="311"/>
      <c r="D1187" s="312"/>
      <c r="E1187" s="289"/>
      <c r="F1187" s="79">
        <v>3</v>
      </c>
      <c r="G1187" s="178" t="s">
        <v>107</v>
      </c>
      <c r="H1187" s="234">
        <v>26.717977055362848</v>
      </c>
      <c r="I1187" s="328"/>
      <c r="J1187" s="328"/>
      <c r="K1187" s="328"/>
      <c r="L1187" s="234">
        <v>27.48540133024682</v>
      </c>
      <c r="M1187" s="328">
        <v>2.1265888992915567</v>
      </c>
      <c r="N1187" s="328">
        <v>0.82183784599111487</v>
      </c>
      <c r="O1187" s="328">
        <v>1.6644443764987173E-2</v>
      </c>
      <c r="P1187" s="328">
        <v>0.78268271646353649</v>
      </c>
    </row>
    <row r="1188" spans="2:16" ht="18" customHeight="1">
      <c r="B1188" s="284"/>
      <c r="C1188" s="313"/>
      <c r="D1188" s="314"/>
      <c r="E1188" s="288"/>
      <c r="F1188" s="82">
        <v>4</v>
      </c>
      <c r="G1188" s="180" t="s">
        <v>108</v>
      </c>
      <c r="H1188" s="235">
        <v>5.456270947706976</v>
      </c>
      <c r="I1188" s="329"/>
      <c r="J1188" s="329"/>
      <c r="K1188" s="329"/>
      <c r="L1188" s="235">
        <v>4.4674338284255644</v>
      </c>
      <c r="M1188" s="329">
        <v>2.1265888992915567</v>
      </c>
      <c r="N1188" s="329">
        <v>0.82183784599111487</v>
      </c>
      <c r="O1188" s="329">
        <v>1.6644443764987173E-2</v>
      </c>
      <c r="P1188" s="329">
        <v>0.78268271646353649</v>
      </c>
    </row>
    <row r="1189" spans="2:16" ht="18" customHeight="1">
      <c r="B1189" s="284"/>
      <c r="C1189" s="309" t="s">
        <v>273</v>
      </c>
      <c r="D1189" s="310"/>
      <c r="E1189" s="287" t="str">
        <f>HYPERLINK("#LAYOUT_m1!lay중YFAM2F02","YFAM2F02")</f>
        <v>YFAM2F02</v>
      </c>
      <c r="F1189" s="78">
        <v>1</v>
      </c>
      <c r="G1189" s="179" t="s">
        <v>105</v>
      </c>
      <c r="H1189" s="233">
        <v>16.389287722056142</v>
      </c>
      <c r="I1189" s="327">
        <v>2.3867863092293029</v>
      </c>
      <c r="J1189" s="327">
        <v>1.6206581551430652E-2</v>
      </c>
      <c r="K1189" s="327">
        <v>0.67901267443853319</v>
      </c>
      <c r="L1189" s="233">
        <v>16.854936947424889</v>
      </c>
      <c r="M1189" s="327">
        <v>2.3521989591758756</v>
      </c>
      <c r="N1189" s="327">
        <v>0.82679246213831048</v>
      </c>
      <c r="O1189" s="327">
        <v>1.6744788170202099E-2</v>
      </c>
      <c r="P1189" s="327">
        <v>0.71187805371994817</v>
      </c>
    </row>
    <row r="1190" spans="2:16" ht="18" customHeight="1">
      <c r="B1190" s="284"/>
      <c r="C1190" s="311"/>
      <c r="D1190" s="312"/>
      <c r="E1190" s="289"/>
      <c r="F1190" s="79">
        <v>2</v>
      </c>
      <c r="G1190" s="178" t="s">
        <v>106</v>
      </c>
      <c r="H1190" s="234">
        <v>34.29484071853863</v>
      </c>
      <c r="I1190" s="328"/>
      <c r="J1190" s="328"/>
      <c r="K1190" s="328"/>
      <c r="L1190" s="234">
        <v>36.972819999462949</v>
      </c>
      <c r="M1190" s="328">
        <v>2.3521989591758756</v>
      </c>
      <c r="N1190" s="328">
        <v>0.82679246213831048</v>
      </c>
      <c r="O1190" s="328">
        <v>1.6744788170202099E-2</v>
      </c>
      <c r="P1190" s="328">
        <v>0.71187805371994817</v>
      </c>
    </row>
    <row r="1191" spans="2:16" ht="18" customHeight="1">
      <c r="B1191" s="284"/>
      <c r="C1191" s="311"/>
      <c r="D1191" s="312"/>
      <c r="E1191" s="289"/>
      <c r="F1191" s="79">
        <v>3</v>
      </c>
      <c r="G1191" s="178" t="s">
        <v>107</v>
      </c>
      <c r="H1191" s="234">
        <v>43.563824473823608</v>
      </c>
      <c r="I1191" s="328"/>
      <c r="J1191" s="328"/>
      <c r="K1191" s="328"/>
      <c r="L1191" s="234">
        <v>40.269653241210946</v>
      </c>
      <c r="M1191" s="328">
        <v>2.3521989591758756</v>
      </c>
      <c r="N1191" s="328">
        <v>0.82679246213831048</v>
      </c>
      <c r="O1191" s="328">
        <v>1.6744788170202099E-2</v>
      </c>
      <c r="P1191" s="328">
        <v>0.71187805371994817</v>
      </c>
    </row>
    <row r="1192" spans="2:16" ht="18" customHeight="1">
      <c r="B1192" s="284"/>
      <c r="C1192" s="313"/>
      <c r="D1192" s="314"/>
      <c r="E1192" s="288"/>
      <c r="F1192" s="82">
        <v>4</v>
      </c>
      <c r="G1192" s="180" t="s">
        <v>108</v>
      </c>
      <c r="H1192" s="235">
        <v>5.7520470855816361</v>
      </c>
      <c r="I1192" s="329"/>
      <c r="J1192" s="329"/>
      <c r="K1192" s="329"/>
      <c r="L1192" s="235">
        <v>5.902589811901235</v>
      </c>
      <c r="M1192" s="329">
        <v>2.3521989591758756</v>
      </c>
      <c r="N1192" s="329">
        <v>0.82679246213831048</v>
      </c>
      <c r="O1192" s="329">
        <v>1.6744788170202099E-2</v>
      </c>
      <c r="P1192" s="329">
        <v>0.71187805371994817</v>
      </c>
    </row>
    <row r="1193" spans="2:16" ht="18" customHeight="1">
      <c r="B1193" s="284"/>
      <c r="C1193" s="309" t="s">
        <v>274</v>
      </c>
      <c r="D1193" s="310"/>
      <c r="E1193" s="287" t="str">
        <f>HYPERLINK("#LAYOUT_m1!lay중YFAM2F03","YFAM2F03")</f>
        <v>YFAM2F03</v>
      </c>
      <c r="F1193" s="78">
        <v>1</v>
      </c>
      <c r="G1193" s="179" t="s">
        <v>105</v>
      </c>
      <c r="H1193" s="233">
        <v>31.501023077641637</v>
      </c>
      <c r="I1193" s="327">
        <v>1.9171751909982435</v>
      </c>
      <c r="J1193" s="327">
        <v>1.5402188100585645E-2</v>
      </c>
      <c r="K1193" s="327">
        <v>0.80337927242663554</v>
      </c>
      <c r="L1193" s="233">
        <v>30.956004881075739</v>
      </c>
      <c r="M1193" s="327">
        <v>1.9558288362088179</v>
      </c>
      <c r="N1193" s="327">
        <v>0.79662306350232948</v>
      </c>
      <c r="O1193" s="327">
        <v>1.6133776081297287E-2</v>
      </c>
      <c r="P1193" s="327">
        <v>0.82490736319089308</v>
      </c>
    </row>
    <row r="1194" spans="2:16" ht="18" customHeight="1">
      <c r="B1194" s="284"/>
      <c r="C1194" s="311"/>
      <c r="D1194" s="312"/>
      <c r="E1194" s="289"/>
      <c r="F1194" s="79">
        <v>2</v>
      </c>
      <c r="G1194" s="178" t="s">
        <v>106</v>
      </c>
      <c r="H1194" s="234">
        <v>48.972736274747689</v>
      </c>
      <c r="I1194" s="328"/>
      <c r="J1194" s="328"/>
      <c r="K1194" s="328"/>
      <c r="L1194" s="234">
        <v>45.572614839641091</v>
      </c>
      <c r="M1194" s="328">
        <v>1.9558288362088179</v>
      </c>
      <c r="N1194" s="328">
        <v>0.79662306350232948</v>
      </c>
      <c r="O1194" s="328">
        <v>1.6133776081297287E-2</v>
      </c>
      <c r="P1194" s="328">
        <v>0.82490736319089308</v>
      </c>
    </row>
    <row r="1195" spans="2:16" ht="18" customHeight="1">
      <c r="B1195" s="284"/>
      <c r="C1195" s="311"/>
      <c r="D1195" s="312"/>
      <c r="E1195" s="289"/>
      <c r="F1195" s="79">
        <v>3</v>
      </c>
      <c r="G1195" s="178" t="s">
        <v>107</v>
      </c>
      <c r="H1195" s="234">
        <v>15.833939117755923</v>
      </c>
      <c r="I1195" s="328"/>
      <c r="J1195" s="328"/>
      <c r="K1195" s="328"/>
      <c r="L1195" s="234">
        <v>20.403872056608016</v>
      </c>
      <c r="M1195" s="328">
        <v>1.9558288362088179</v>
      </c>
      <c r="N1195" s="328">
        <v>0.79662306350232948</v>
      </c>
      <c r="O1195" s="328">
        <v>1.6133776081297287E-2</v>
      </c>
      <c r="P1195" s="328">
        <v>0.82490736319089308</v>
      </c>
    </row>
    <row r="1196" spans="2:16" ht="18" customHeight="1">
      <c r="B1196" s="284"/>
      <c r="C1196" s="313"/>
      <c r="D1196" s="314"/>
      <c r="E1196" s="288"/>
      <c r="F1196" s="82">
        <v>4</v>
      </c>
      <c r="G1196" s="180" t="s">
        <v>108</v>
      </c>
      <c r="H1196" s="235">
        <v>3.6923015298547597</v>
      </c>
      <c r="I1196" s="329"/>
      <c r="J1196" s="329"/>
      <c r="K1196" s="329"/>
      <c r="L1196" s="235">
        <v>3.067508222675166</v>
      </c>
      <c r="M1196" s="329">
        <v>1.9558288362088179</v>
      </c>
      <c r="N1196" s="329">
        <v>0.79662306350232948</v>
      </c>
      <c r="O1196" s="329">
        <v>1.6133776081297287E-2</v>
      </c>
      <c r="P1196" s="329">
        <v>0.82490736319089308</v>
      </c>
    </row>
    <row r="1197" spans="2:16" ht="18" customHeight="1">
      <c r="B1197" s="284"/>
      <c r="C1197" s="309" t="s">
        <v>275</v>
      </c>
      <c r="D1197" s="310"/>
      <c r="E1197" s="287" t="str">
        <f>HYPERLINK("#LAYOUT_m1!lay중YFAM2F04","YFAM2F04")</f>
        <v>YFAM2F04</v>
      </c>
      <c r="F1197" s="78">
        <v>1</v>
      </c>
      <c r="G1197" s="179" t="s">
        <v>105</v>
      </c>
      <c r="H1197" s="233">
        <v>42.513404594959262</v>
      </c>
      <c r="I1197" s="327">
        <v>1.7366042716519501</v>
      </c>
      <c r="J1197" s="327">
        <v>1.4778091636767026E-2</v>
      </c>
      <c r="K1197" s="327">
        <v>0.85097634953467705</v>
      </c>
      <c r="L1197" s="233">
        <v>37.422289234345314</v>
      </c>
      <c r="M1197" s="327">
        <v>1.8310432909323549</v>
      </c>
      <c r="N1197" s="327">
        <v>0.78261993644609462</v>
      </c>
      <c r="O1197" s="327">
        <v>1.5850174806473549E-2</v>
      </c>
      <c r="P1197" s="327">
        <v>0.86563626785703984</v>
      </c>
    </row>
    <row r="1198" spans="2:16" ht="18" customHeight="1">
      <c r="B1198" s="284"/>
      <c r="C1198" s="311"/>
      <c r="D1198" s="312"/>
      <c r="E1198" s="289"/>
      <c r="F1198" s="79">
        <v>2</v>
      </c>
      <c r="G1198" s="178" t="s">
        <v>106</v>
      </c>
      <c r="H1198" s="234">
        <v>43.708854372305595</v>
      </c>
      <c r="I1198" s="328"/>
      <c r="J1198" s="328"/>
      <c r="K1198" s="328"/>
      <c r="L1198" s="234">
        <v>45.116093978133001</v>
      </c>
      <c r="M1198" s="328">
        <v>1.8310432909323549</v>
      </c>
      <c r="N1198" s="328">
        <v>0.78261993644609462</v>
      </c>
      <c r="O1198" s="328">
        <v>1.5850174806473549E-2</v>
      </c>
      <c r="P1198" s="328">
        <v>0.86563626785703984</v>
      </c>
    </row>
    <row r="1199" spans="2:16" ht="18" customHeight="1">
      <c r="B1199" s="284"/>
      <c r="C1199" s="311"/>
      <c r="D1199" s="312"/>
      <c r="E1199" s="289"/>
      <c r="F1199" s="79">
        <v>3</v>
      </c>
      <c r="G1199" s="178" t="s">
        <v>107</v>
      </c>
      <c r="H1199" s="234">
        <v>11.381650305316528</v>
      </c>
      <c r="I1199" s="328"/>
      <c r="J1199" s="328"/>
      <c r="K1199" s="328"/>
      <c r="L1199" s="234">
        <v>14.396615247461737</v>
      </c>
      <c r="M1199" s="328">
        <v>1.8310432909323549</v>
      </c>
      <c r="N1199" s="328">
        <v>0.78261993644609462</v>
      </c>
      <c r="O1199" s="328">
        <v>1.5850174806473549E-2</v>
      </c>
      <c r="P1199" s="328">
        <v>0.86563626785703984</v>
      </c>
    </row>
    <row r="1200" spans="2:16" ht="18" customHeight="1">
      <c r="B1200" s="286"/>
      <c r="C1200" s="313"/>
      <c r="D1200" s="314"/>
      <c r="E1200" s="288"/>
      <c r="F1200" s="82">
        <v>4</v>
      </c>
      <c r="G1200" s="180" t="s">
        <v>108</v>
      </c>
      <c r="H1200" s="235">
        <v>2.3960907274186245</v>
      </c>
      <c r="I1200" s="329"/>
      <c r="J1200" s="329"/>
      <c r="K1200" s="329"/>
      <c r="L1200" s="235">
        <v>3.0650015400599515</v>
      </c>
      <c r="M1200" s="329">
        <v>1.8310432909323549</v>
      </c>
      <c r="N1200" s="329">
        <v>0.78261993644609462</v>
      </c>
      <c r="O1200" s="329">
        <v>1.5850174806473549E-2</v>
      </c>
      <c r="P1200" s="329">
        <v>0.86563626785703984</v>
      </c>
    </row>
    <row r="1201" spans="2:16" ht="18" customHeight="1">
      <c r="B1201" s="282" t="s">
        <v>136</v>
      </c>
      <c r="C1201" s="309" t="s">
        <v>276</v>
      </c>
      <c r="D1201" s="310"/>
      <c r="E1201" s="287" t="str">
        <f>HYPERLINK("#LAYOUT_m1!lay중YEDU2A01","YEDU2A01")</f>
        <v>YEDU2A01</v>
      </c>
      <c r="F1201" s="78">
        <v>1</v>
      </c>
      <c r="G1201" s="179" t="s">
        <v>105</v>
      </c>
      <c r="H1201" s="233">
        <v>1.18681144261252</v>
      </c>
      <c r="I1201" s="327">
        <v>3.271084236588722</v>
      </c>
      <c r="J1201" s="327">
        <v>1.283408084816952E-2</v>
      </c>
      <c r="K1201" s="327">
        <v>0.39234944501318175</v>
      </c>
      <c r="L1201" s="233">
        <v>0.94095566219834614</v>
      </c>
      <c r="M1201" s="327">
        <v>3.1602560796625627</v>
      </c>
      <c r="N1201" s="327">
        <v>0.63827344712788658</v>
      </c>
      <c r="O1201" s="327">
        <v>1.2926767183120799E-2</v>
      </c>
      <c r="P1201" s="327">
        <v>0.4090417629858985</v>
      </c>
    </row>
    <row r="1202" spans="2:16" ht="18" customHeight="1">
      <c r="B1202" s="284"/>
      <c r="C1202" s="311"/>
      <c r="D1202" s="312"/>
      <c r="E1202" s="289"/>
      <c r="F1202" s="79">
        <v>2</v>
      </c>
      <c r="G1202" s="178" t="s">
        <v>106</v>
      </c>
      <c r="H1202" s="234">
        <v>7.8818665701575812</v>
      </c>
      <c r="I1202" s="328"/>
      <c r="J1202" s="328"/>
      <c r="K1202" s="328"/>
      <c r="L1202" s="234">
        <v>10.809724183652447</v>
      </c>
      <c r="M1202" s="328">
        <v>3.1602560796625627</v>
      </c>
      <c r="N1202" s="328">
        <v>0.63827344712788658</v>
      </c>
      <c r="O1202" s="328">
        <v>1.2926767183120799E-2</v>
      </c>
      <c r="P1202" s="328">
        <v>0.4090417629858985</v>
      </c>
    </row>
    <row r="1203" spans="2:16" ht="18" customHeight="1">
      <c r="B1203" s="284"/>
      <c r="C1203" s="311"/>
      <c r="D1203" s="312"/>
      <c r="E1203" s="289"/>
      <c r="F1203" s="79">
        <v>3</v>
      </c>
      <c r="G1203" s="178" t="s">
        <v>107</v>
      </c>
      <c r="H1203" s="234">
        <v>53.567408872976969</v>
      </c>
      <c r="I1203" s="328"/>
      <c r="J1203" s="328"/>
      <c r="K1203" s="328"/>
      <c r="L1203" s="234">
        <v>59.532076679842639</v>
      </c>
      <c r="M1203" s="328">
        <v>3.1602560796625627</v>
      </c>
      <c r="N1203" s="328">
        <v>0.63827344712788658</v>
      </c>
      <c r="O1203" s="328">
        <v>1.2926767183120799E-2</v>
      </c>
      <c r="P1203" s="328">
        <v>0.4090417629858985</v>
      </c>
    </row>
    <row r="1204" spans="2:16" ht="18" customHeight="1">
      <c r="B1204" s="284"/>
      <c r="C1204" s="313"/>
      <c r="D1204" s="314"/>
      <c r="E1204" s="288"/>
      <c r="F1204" s="82">
        <v>4</v>
      </c>
      <c r="G1204" s="180" t="s">
        <v>108</v>
      </c>
      <c r="H1204" s="235">
        <v>37.363913114252938</v>
      </c>
      <c r="I1204" s="329"/>
      <c r="J1204" s="329"/>
      <c r="K1204" s="329"/>
      <c r="L1204" s="235">
        <v>28.717243474306578</v>
      </c>
      <c r="M1204" s="329">
        <v>3.1602560796625627</v>
      </c>
      <c r="N1204" s="329">
        <v>0.63827344712788658</v>
      </c>
      <c r="O1204" s="329">
        <v>1.2926767183120799E-2</v>
      </c>
      <c r="P1204" s="329">
        <v>0.4090417629858985</v>
      </c>
    </row>
    <row r="1205" spans="2:16" ht="18" customHeight="1">
      <c r="B1205" s="284"/>
      <c r="C1205" s="309" t="s">
        <v>277</v>
      </c>
      <c r="D1205" s="310"/>
      <c r="E1205" s="287" t="str">
        <f>HYPERLINK("#LAYOUT_m1!lay중YEDU2A02","YEDU2A02")</f>
        <v>YEDU2A02</v>
      </c>
      <c r="F1205" s="78">
        <v>1</v>
      </c>
      <c r="G1205" s="179" t="s">
        <v>105</v>
      </c>
      <c r="H1205" s="233">
        <v>3.1702359394846726</v>
      </c>
      <c r="I1205" s="327">
        <v>3.0438253473412353</v>
      </c>
      <c r="J1205" s="327">
        <v>1.4863701955690438E-2</v>
      </c>
      <c r="K1205" s="327">
        <v>0.48832308886164594</v>
      </c>
      <c r="L1205" s="233">
        <v>2.1310663445158644</v>
      </c>
      <c r="M1205" s="327">
        <v>3.0226061111479878</v>
      </c>
      <c r="N1205" s="327">
        <v>0.71221052473379043</v>
      </c>
      <c r="O1205" s="327">
        <v>1.4424193392393063E-2</v>
      </c>
      <c r="P1205" s="327">
        <v>0.47721048863077775</v>
      </c>
    </row>
    <row r="1206" spans="2:16" ht="18" customHeight="1">
      <c r="B1206" s="284"/>
      <c r="C1206" s="311"/>
      <c r="D1206" s="312"/>
      <c r="E1206" s="289"/>
      <c r="F1206" s="79">
        <v>2</v>
      </c>
      <c r="G1206" s="178" t="s">
        <v>106</v>
      </c>
      <c r="H1206" s="234">
        <v>16.993399225846002</v>
      </c>
      <c r="I1206" s="328"/>
      <c r="J1206" s="328"/>
      <c r="K1206" s="328"/>
      <c r="L1206" s="234">
        <v>17.853835931442188</v>
      </c>
      <c r="M1206" s="328">
        <v>3.0226061111479878</v>
      </c>
      <c r="N1206" s="328">
        <v>0.71221052473379043</v>
      </c>
      <c r="O1206" s="328">
        <v>1.4424193392393063E-2</v>
      </c>
      <c r="P1206" s="328">
        <v>0.47721048863077775</v>
      </c>
    </row>
    <row r="1207" spans="2:16" ht="18" customHeight="1">
      <c r="B1207" s="284"/>
      <c r="C1207" s="311"/>
      <c r="D1207" s="312"/>
      <c r="E1207" s="289"/>
      <c r="F1207" s="79">
        <v>3</v>
      </c>
      <c r="G1207" s="178" t="s">
        <v>107</v>
      </c>
      <c r="H1207" s="234">
        <v>52.119958995732084</v>
      </c>
      <c r="I1207" s="328"/>
      <c r="J1207" s="328"/>
      <c r="K1207" s="328"/>
      <c r="L1207" s="234">
        <v>55.638517988768065</v>
      </c>
      <c r="M1207" s="328">
        <v>3.0226061111479878</v>
      </c>
      <c r="N1207" s="328">
        <v>0.71221052473379043</v>
      </c>
      <c r="O1207" s="328">
        <v>1.4424193392393063E-2</v>
      </c>
      <c r="P1207" s="328">
        <v>0.47721048863077775</v>
      </c>
    </row>
    <row r="1208" spans="2:16" ht="18" customHeight="1">
      <c r="B1208" s="284"/>
      <c r="C1208" s="313"/>
      <c r="D1208" s="314"/>
      <c r="E1208" s="288"/>
      <c r="F1208" s="82">
        <v>4</v>
      </c>
      <c r="G1208" s="180" t="s">
        <v>108</v>
      </c>
      <c r="H1208" s="235">
        <v>27.716405838937231</v>
      </c>
      <c r="I1208" s="329"/>
      <c r="J1208" s="329"/>
      <c r="K1208" s="329"/>
      <c r="L1208" s="235">
        <v>24.3765797352739</v>
      </c>
      <c r="M1208" s="329">
        <v>3.0226061111479878</v>
      </c>
      <c r="N1208" s="329">
        <v>0.71221052473379043</v>
      </c>
      <c r="O1208" s="329">
        <v>1.4424193392393063E-2</v>
      </c>
      <c r="P1208" s="329">
        <v>0.47721048863077775</v>
      </c>
    </row>
    <row r="1209" spans="2:16" ht="18" customHeight="1">
      <c r="B1209" s="284"/>
      <c r="C1209" s="309" t="s">
        <v>278</v>
      </c>
      <c r="D1209" s="310"/>
      <c r="E1209" s="287" t="str">
        <f>HYPERLINK("#LAYOUT_m1!lay중YEDU2A03","YEDU2A03")</f>
        <v>YEDU2A03</v>
      </c>
      <c r="F1209" s="78">
        <v>1</v>
      </c>
      <c r="G1209" s="179" t="s">
        <v>105</v>
      </c>
      <c r="H1209" s="233">
        <v>3.1490384624570504</v>
      </c>
      <c r="I1209" s="327">
        <v>3.0160891575264981</v>
      </c>
      <c r="J1209" s="327">
        <v>1.4803422147428819E-2</v>
      </c>
      <c r="K1209" s="327">
        <v>0.49081513755943301</v>
      </c>
      <c r="L1209" s="233">
        <v>3.5231217748429007</v>
      </c>
      <c r="M1209" s="327">
        <v>2.9618667198387745</v>
      </c>
      <c r="N1209" s="327">
        <v>0.7464688136098947</v>
      </c>
      <c r="O1209" s="327">
        <v>1.5118016590563431E-2</v>
      </c>
      <c r="P1209" s="327">
        <v>0.51042190687723998</v>
      </c>
    </row>
    <row r="1210" spans="2:16" ht="18" customHeight="1">
      <c r="B1210" s="284"/>
      <c r="C1210" s="311"/>
      <c r="D1210" s="312"/>
      <c r="E1210" s="289"/>
      <c r="F1210" s="79">
        <v>2</v>
      </c>
      <c r="G1210" s="178" t="s">
        <v>106</v>
      </c>
      <c r="H1210" s="234">
        <v>18.129212012547111</v>
      </c>
      <c r="I1210" s="328"/>
      <c r="J1210" s="328"/>
      <c r="K1210" s="328"/>
      <c r="L1210" s="234">
        <v>19.259362799651399</v>
      </c>
      <c r="M1210" s="328">
        <v>2.9618667198387745</v>
      </c>
      <c r="N1210" s="328">
        <v>0.7464688136098947</v>
      </c>
      <c r="O1210" s="328">
        <v>1.5118016590563431E-2</v>
      </c>
      <c r="P1210" s="328">
        <v>0.51042190687723998</v>
      </c>
    </row>
    <row r="1211" spans="2:16" ht="18" customHeight="1">
      <c r="B1211" s="284"/>
      <c r="C1211" s="311"/>
      <c r="D1211" s="312"/>
      <c r="E1211" s="289"/>
      <c r="F1211" s="79">
        <v>3</v>
      </c>
      <c r="G1211" s="178" t="s">
        <v>107</v>
      </c>
      <c r="H1211" s="234">
        <v>52.685544834886535</v>
      </c>
      <c r="I1211" s="328"/>
      <c r="J1211" s="328"/>
      <c r="K1211" s="328"/>
      <c r="L1211" s="234">
        <v>54.725237092290243</v>
      </c>
      <c r="M1211" s="328">
        <v>2.9618667198387745</v>
      </c>
      <c r="N1211" s="328">
        <v>0.7464688136098947</v>
      </c>
      <c r="O1211" s="328">
        <v>1.5118016590563431E-2</v>
      </c>
      <c r="P1211" s="328">
        <v>0.51042190687723998</v>
      </c>
    </row>
    <row r="1212" spans="2:16" ht="18" customHeight="1">
      <c r="B1212" s="284"/>
      <c r="C1212" s="313"/>
      <c r="D1212" s="314"/>
      <c r="E1212" s="288"/>
      <c r="F1212" s="82">
        <v>4</v>
      </c>
      <c r="G1212" s="180" t="s">
        <v>108</v>
      </c>
      <c r="H1212" s="235">
        <v>26.036204690109312</v>
      </c>
      <c r="I1212" s="329"/>
      <c r="J1212" s="329"/>
      <c r="K1212" s="329"/>
      <c r="L1212" s="235">
        <v>22.492278333215449</v>
      </c>
      <c r="M1212" s="329">
        <v>2.9618667198387745</v>
      </c>
      <c r="N1212" s="329">
        <v>0.7464688136098947</v>
      </c>
      <c r="O1212" s="329">
        <v>1.5118016590563431E-2</v>
      </c>
      <c r="P1212" s="329">
        <v>0.51042190687723998</v>
      </c>
    </row>
    <row r="1213" spans="2:16" ht="18" customHeight="1">
      <c r="B1213" s="284"/>
      <c r="C1213" s="309" t="s">
        <v>279</v>
      </c>
      <c r="D1213" s="310"/>
      <c r="E1213" s="287" t="str">
        <f>HYPERLINK("#LAYOUT_m1!lay중YEDU2A04","YEDU2A04")</f>
        <v>YEDU2A04</v>
      </c>
      <c r="F1213" s="78">
        <v>1</v>
      </c>
      <c r="G1213" s="179" t="s">
        <v>105</v>
      </c>
      <c r="H1213" s="233">
        <v>6.7813304960669605</v>
      </c>
      <c r="I1213" s="327">
        <v>2.8467357991853959</v>
      </c>
      <c r="J1213" s="327">
        <v>1.6655750799649077E-2</v>
      </c>
      <c r="K1213" s="327">
        <v>0.58508242332903448</v>
      </c>
      <c r="L1213" s="233">
        <v>6.033635345324301</v>
      </c>
      <c r="M1213" s="327">
        <v>2.8508301725643004</v>
      </c>
      <c r="N1213" s="327">
        <v>0.80794242825311557</v>
      </c>
      <c r="O1213" s="327">
        <v>1.6363023895776589E-2</v>
      </c>
      <c r="P1213" s="327">
        <v>0.57397399723246834</v>
      </c>
    </row>
    <row r="1214" spans="2:16" ht="18" customHeight="1">
      <c r="B1214" s="284"/>
      <c r="C1214" s="311"/>
      <c r="D1214" s="312"/>
      <c r="E1214" s="289"/>
      <c r="F1214" s="79">
        <v>2</v>
      </c>
      <c r="G1214" s="178" t="s">
        <v>106</v>
      </c>
      <c r="H1214" s="234">
        <v>24.404961107013889</v>
      </c>
      <c r="I1214" s="328"/>
      <c r="J1214" s="328"/>
      <c r="K1214" s="328"/>
      <c r="L1214" s="234">
        <v>23.095328147697607</v>
      </c>
      <c r="M1214" s="328">
        <v>2.8508301725643004</v>
      </c>
      <c r="N1214" s="328">
        <v>0.80794242825311557</v>
      </c>
      <c r="O1214" s="328">
        <v>1.6363023895776589E-2</v>
      </c>
      <c r="P1214" s="328">
        <v>0.57397399723246834</v>
      </c>
    </row>
    <row r="1215" spans="2:16" ht="18" customHeight="1">
      <c r="B1215" s="284"/>
      <c r="C1215" s="311"/>
      <c r="D1215" s="312"/>
      <c r="E1215" s="289"/>
      <c r="F1215" s="79">
        <v>3</v>
      </c>
      <c r="G1215" s="178" t="s">
        <v>107</v>
      </c>
      <c r="H1215" s="234">
        <v>46.172506379232921</v>
      </c>
      <c r="I1215" s="328"/>
      <c r="J1215" s="328"/>
      <c r="K1215" s="328"/>
      <c r="L1215" s="234">
        <v>50.625420412200867</v>
      </c>
      <c r="M1215" s="328">
        <v>2.8508301725643004</v>
      </c>
      <c r="N1215" s="328">
        <v>0.80794242825311557</v>
      </c>
      <c r="O1215" s="328">
        <v>1.6363023895776589E-2</v>
      </c>
      <c r="P1215" s="328">
        <v>0.57397399723246834</v>
      </c>
    </row>
    <row r="1216" spans="2:16" ht="18" customHeight="1">
      <c r="B1216" s="284"/>
      <c r="C1216" s="313"/>
      <c r="D1216" s="314"/>
      <c r="E1216" s="288"/>
      <c r="F1216" s="82">
        <v>4</v>
      </c>
      <c r="G1216" s="180" t="s">
        <v>108</v>
      </c>
      <c r="H1216" s="235">
        <v>22.641202017686236</v>
      </c>
      <c r="I1216" s="329"/>
      <c r="J1216" s="329"/>
      <c r="K1216" s="329"/>
      <c r="L1216" s="235">
        <v>20.245616094777223</v>
      </c>
      <c r="M1216" s="329">
        <v>2.8508301725643004</v>
      </c>
      <c r="N1216" s="329">
        <v>0.80794242825311557</v>
      </c>
      <c r="O1216" s="329">
        <v>1.6363023895776589E-2</v>
      </c>
      <c r="P1216" s="329">
        <v>0.57397399723246834</v>
      </c>
    </row>
    <row r="1217" spans="2:16" ht="18" customHeight="1">
      <c r="B1217" s="284"/>
      <c r="C1217" s="309" t="s">
        <v>280</v>
      </c>
      <c r="D1217" s="310"/>
      <c r="E1217" s="287" t="str">
        <f>HYPERLINK("#LAYOUT_m1!lay중YEDU2A05","YEDU2A05")</f>
        <v>YEDU2A05</v>
      </c>
      <c r="F1217" s="78">
        <v>1</v>
      </c>
      <c r="G1217" s="179" t="s">
        <v>105</v>
      </c>
      <c r="H1217" s="233">
        <v>1.1855767299419164</v>
      </c>
      <c r="I1217" s="327">
        <v>3.2127383457705476</v>
      </c>
      <c r="J1217" s="327">
        <v>1.2054162158870211E-2</v>
      </c>
      <c r="K1217" s="327">
        <v>0.37519900040222942</v>
      </c>
      <c r="L1217" s="233">
        <v>1.3805987879676029</v>
      </c>
      <c r="M1217" s="327">
        <v>3.1398918175749491</v>
      </c>
      <c r="N1217" s="327">
        <v>0.63855993820959345</v>
      </c>
      <c r="O1217" s="327">
        <v>1.2932569403986991E-2</v>
      </c>
      <c r="P1217" s="327">
        <v>0.41187945812653121</v>
      </c>
    </row>
    <row r="1218" spans="2:16" ht="18" customHeight="1">
      <c r="B1218" s="284"/>
      <c r="C1218" s="311"/>
      <c r="D1218" s="312"/>
      <c r="E1218" s="289"/>
      <c r="F1218" s="79">
        <v>2</v>
      </c>
      <c r="G1218" s="178" t="s">
        <v>106</v>
      </c>
      <c r="H1218" s="234">
        <v>6.8786834515669346</v>
      </c>
      <c r="I1218" s="328"/>
      <c r="J1218" s="328"/>
      <c r="K1218" s="328"/>
      <c r="L1218" s="234">
        <v>10.221675955312834</v>
      </c>
      <c r="M1218" s="328">
        <v>3.1398918175749491</v>
      </c>
      <c r="N1218" s="328">
        <v>0.63855993820959345</v>
      </c>
      <c r="O1218" s="328">
        <v>1.2932569403986991E-2</v>
      </c>
      <c r="P1218" s="328">
        <v>0.41187945812653121</v>
      </c>
    </row>
    <row r="1219" spans="2:16" ht="18" customHeight="1">
      <c r="B1219" s="284"/>
      <c r="C1219" s="311"/>
      <c r="D1219" s="312"/>
      <c r="E1219" s="289"/>
      <c r="F1219" s="79">
        <v>3</v>
      </c>
      <c r="G1219" s="178" t="s">
        <v>107</v>
      </c>
      <c r="H1219" s="234">
        <v>61.412068329987406</v>
      </c>
      <c r="I1219" s="328"/>
      <c r="J1219" s="328"/>
      <c r="K1219" s="328"/>
      <c r="L1219" s="234">
        <v>61.425669967975089</v>
      </c>
      <c r="M1219" s="328">
        <v>3.1398918175749491</v>
      </c>
      <c r="N1219" s="328">
        <v>0.63855993820959345</v>
      </c>
      <c r="O1219" s="328">
        <v>1.2932569403986991E-2</v>
      </c>
      <c r="P1219" s="328">
        <v>0.41187945812653121</v>
      </c>
    </row>
    <row r="1220" spans="2:16" ht="18" customHeight="1">
      <c r="B1220" s="284"/>
      <c r="C1220" s="313"/>
      <c r="D1220" s="314"/>
      <c r="E1220" s="288"/>
      <c r="F1220" s="82">
        <v>4</v>
      </c>
      <c r="G1220" s="180" t="s">
        <v>108</v>
      </c>
      <c r="H1220" s="235">
        <v>30.523671488503744</v>
      </c>
      <c r="I1220" s="329"/>
      <c r="J1220" s="329"/>
      <c r="K1220" s="329"/>
      <c r="L1220" s="235">
        <v>26.972055288744457</v>
      </c>
      <c r="M1220" s="329">
        <v>3.1398918175749491</v>
      </c>
      <c r="N1220" s="329">
        <v>0.63855993820959345</v>
      </c>
      <c r="O1220" s="329">
        <v>1.2932569403986991E-2</v>
      </c>
      <c r="P1220" s="329">
        <v>0.41187945812653121</v>
      </c>
    </row>
    <row r="1221" spans="2:16" ht="18" customHeight="1">
      <c r="B1221" s="284"/>
      <c r="C1221" s="309" t="s">
        <v>281</v>
      </c>
      <c r="D1221" s="310"/>
      <c r="E1221" s="287" t="str">
        <f>HYPERLINK("#LAYOUT_m1!lay중YEDU2A06","YEDU2A06")</f>
        <v>YEDU2A06</v>
      </c>
      <c r="F1221" s="78">
        <v>1</v>
      </c>
      <c r="G1221" s="179" t="s">
        <v>105</v>
      </c>
      <c r="H1221" s="233">
        <v>1.4535112922584963</v>
      </c>
      <c r="I1221" s="327">
        <v>3.1219322779357723</v>
      </c>
      <c r="J1221" s="327">
        <v>1.2395160341617011E-2</v>
      </c>
      <c r="K1221" s="327">
        <v>0.39703488859190489</v>
      </c>
      <c r="L1221" s="233">
        <v>1.1381740798158879</v>
      </c>
      <c r="M1221" s="327">
        <v>3.1161084282480807</v>
      </c>
      <c r="N1221" s="327">
        <v>0.60690415665530895</v>
      </c>
      <c r="O1221" s="327">
        <v>1.2291454032521484E-2</v>
      </c>
      <c r="P1221" s="327">
        <v>0.39444885553715847</v>
      </c>
    </row>
    <row r="1222" spans="2:16" ht="18" customHeight="1">
      <c r="B1222" s="284"/>
      <c r="C1222" s="311"/>
      <c r="D1222" s="312"/>
      <c r="E1222" s="289"/>
      <c r="F1222" s="79">
        <v>2</v>
      </c>
      <c r="G1222" s="178" t="s">
        <v>106</v>
      </c>
      <c r="H1222" s="234">
        <v>10.174924232896045</v>
      </c>
      <c r="I1222" s="328"/>
      <c r="J1222" s="328"/>
      <c r="K1222" s="328"/>
      <c r="L1222" s="234">
        <v>9.8631934798223995</v>
      </c>
      <c r="M1222" s="328">
        <v>3.1161084282480807</v>
      </c>
      <c r="N1222" s="328">
        <v>0.60690415665530895</v>
      </c>
      <c r="O1222" s="328">
        <v>1.2291454032521484E-2</v>
      </c>
      <c r="P1222" s="328">
        <v>0.39444885553715847</v>
      </c>
    </row>
    <row r="1223" spans="2:16" ht="18" customHeight="1">
      <c r="B1223" s="284"/>
      <c r="C1223" s="311"/>
      <c r="D1223" s="312"/>
      <c r="E1223" s="289"/>
      <c r="F1223" s="79">
        <v>3</v>
      </c>
      <c r="G1223" s="178" t="s">
        <v>107</v>
      </c>
      <c r="H1223" s="234">
        <v>63.096389863856793</v>
      </c>
      <c r="I1223" s="328"/>
      <c r="J1223" s="328"/>
      <c r="K1223" s="328"/>
      <c r="L1223" s="234">
        <v>65.248247976097446</v>
      </c>
      <c r="M1223" s="328">
        <v>3.1161084282480807</v>
      </c>
      <c r="N1223" s="328">
        <v>0.60690415665530895</v>
      </c>
      <c r="O1223" s="328">
        <v>1.2291454032521484E-2</v>
      </c>
      <c r="P1223" s="328">
        <v>0.39444885553715847</v>
      </c>
    </row>
    <row r="1224" spans="2:16" ht="18" customHeight="1">
      <c r="B1224" s="284"/>
      <c r="C1224" s="313"/>
      <c r="D1224" s="314"/>
      <c r="E1224" s="288"/>
      <c r="F1224" s="82">
        <v>4</v>
      </c>
      <c r="G1224" s="180" t="s">
        <v>108</v>
      </c>
      <c r="H1224" s="235">
        <v>25.275174610988678</v>
      </c>
      <c r="I1224" s="329"/>
      <c r="J1224" s="329"/>
      <c r="K1224" s="329"/>
      <c r="L1224" s="235">
        <v>23.750384464264236</v>
      </c>
      <c r="M1224" s="329">
        <v>3.1161084282480807</v>
      </c>
      <c r="N1224" s="329">
        <v>0.60690415665530895</v>
      </c>
      <c r="O1224" s="329">
        <v>1.2291454032521484E-2</v>
      </c>
      <c r="P1224" s="329">
        <v>0.39444885553715847</v>
      </c>
    </row>
    <row r="1225" spans="2:16" ht="18" customHeight="1">
      <c r="B1225" s="284"/>
      <c r="C1225" s="309" t="s">
        <v>282</v>
      </c>
      <c r="D1225" s="310"/>
      <c r="E1225" s="287" t="str">
        <f>HYPERLINK("#LAYOUT_m1!lay중YEDU2A07","YEDU2A07")</f>
        <v>YEDU2A07</v>
      </c>
      <c r="F1225" s="78">
        <v>1</v>
      </c>
      <c r="G1225" s="179" t="s">
        <v>105</v>
      </c>
      <c r="H1225" s="233">
        <v>1.6070525690783597</v>
      </c>
      <c r="I1225" s="327">
        <v>3.1551139291329204</v>
      </c>
      <c r="J1225" s="327">
        <v>1.228704770181507E-2</v>
      </c>
      <c r="K1225" s="327">
        <v>0.38943277414998945</v>
      </c>
      <c r="L1225" s="233">
        <v>1.277403895994478</v>
      </c>
      <c r="M1225" s="327">
        <v>3.1129567377783132</v>
      </c>
      <c r="N1225" s="327">
        <v>0.61148649726006943</v>
      </c>
      <c r="O1225" s="327">
        <v>1.2384258849043376E-2</v>
      </c>
      <c r="P1225" s="327">
        <v>0.3978294557951968</v>
      </c>
    </row>
    <row r="1226" spans="2:16" ht="18" customHeight="1">
      <c r="B1226" s="284"/>
      <c r="C1226" s="311"/>
      <c r="D1226" s="312"/>
      <c r="E1226" s="289"/>
      <c r="F1226" s="79">
        <v>2</v>
      </c>
      <c r="G1226" s="178" t="s">
        <v>106</v>
      </c>
      <c r="H1226" s="234">
        <v>8.1694283984654259</v>
      </c>
      <c r="I1226" s="328"/>
      <c r="J1226" s="328"/>
      <c r="K1226" s="328"/>
      <c r="L1226" s="234">
        <v>9.8460309767836769</v>
      </c>
      <c r="M1226" s="328">
        <v>3.1129567377783132</v>
      </c>
      <c r="N1226" s="328">
        <v>0.61148649726006943</v>
      </c>
      <c r="O1226" s="328">
        <v>1.2384258849043376E-2</v>
      </c>
      <c r="P1226" s="328">
        <v>0.3978294557951968</v>
      </c>
    </row>
    <row r="1227" spans="2:16" ht="18" customHeight="1">
      <c r="B1227" s="284"/>
      <c r="C1227" s="311"/>
      <c r="D1227" s="312"/>
      <c r="E1227" s="289"/>
      <c r="F1227" s="79">
        <v>3</v>
      </c>
      <c r="G1227" s="178" t="s">
        <v>107</v>
      </c>
      <c r="H1227" s="234">
        <v>63.328592582543514</v>
      </c>
      <c r="I1227" s="328"/>
      <c r="J1227" s="328"/>
      <c r="K1227" s="328"/>
      <c r="L1227" s="234">
        <v>65.180052580616476</v>
      </c>
      <c r="M1227" s="328">
        <v>3.1129567377783132</v>
      </c>
      <c r="N1227" s="328">
        <v>0.61148649726006943</v>
      </c>
      <c r="O1227" s="328">
        <v>1.2384258849043376E-2</v>
      </c>
      <c r="P1227" s="328">
        <v>0.3978294557951968</v>
      </c>
    </row>
    <row r="1228" spans="2:16" ht="18" customHeight="1">
      <c r="B1228" s="284"/>
      <c r="C1228" s="313"/>
      <c r="D1228" s="314"/>
      <c r="E1228" s="288"/>
      <c r="F1228" s="82">
        <v>4</v>
      </c>
      <c r="G1228" s="180" t="s">
        <v>108</v>
      </c>
      <c r="H1228" s="235">
        <v>26.894926449912688</v>
      </c>
      <c r="I1228" s="329"/>
      <c r="J1228" s="329"/>
      <c r="K1228" s="329"/>
      <c r="L1228" s="235">
        <v>23.696512546605373</v>
      </c>
      <c r="M1228" s="329">
        <v>3.1129567377783132</v>
      </c>
      <c r="N1228" s="329">
        <v>0.61148649726006943</v>
      </c>
      <c r="O1228" s="329">
        <v>1.2384258849043376E-2</v>
      </c>
      <c r="P1228" s="329">
        <v>0.3978294557951968</v>
      </c>
    </row>
    <row r="1229" spans="2:16" ht="18" customHeight="1">
      <c r="B1229" s="284"/>
      <c r="C1229" s="309" t="s">
        <v>283</v>
      </c>
      <c r="D1229" s="310"/>
      <c r="E1229" s="287" t="str">
        <f>HYPERLINK("#LAYOUT_m1!lay중YEDU2A08","YEDU2A08")</f>
        <v>YEDU2A08</v>
      </c>
      <c r="F1229" s="78">
        <v>1</v>
      </c>
      <c r="G1229" s="179" t="s">
        <v>105</v>
      </c>
      <c r="H1229" s="233">
        <v>1.6012213399567459</v>
      </c>
      <c r="I1229" s="327">
        <v>3.3147560620661976</v>
      </c>
      <c r="J1229" s="327">
        <v>1.2451863192826032E-2</v>
      </c>
      <c r="K1229" s="327">
        <v>0.37564945835152574</v>
      </c>
      <c r="L1229" s="233">
        <v>1.2570844881940655</v>
      </c>
      <c r="M1229" s="327">
        <v>3.2336375852605959</v>
      </c>
      <c r="N1229" s="327">
        <v>0.62134812548369611</v>
      </c>
      <c r="O1229" s="327">
        <v>1.2583983548021456E-2</v>
      </c>
      <c r="P1229" s="327">
        <v>0.38915874819680307</v>
      </c>
    </row>
    <row r="1230" spans="2:16" ht="18" customHeight="1">
      <c r="B1230" s="284"/>
      <c r="C1230" s="311"/>
      <c r="D1230" s="312"/>
      <c r="E1230" s="289"/>
      <c r="F1230" s="79">
        <v>2</v>
      </c>
      <c r="G1230" s="178" t="s">
        <v>106</v>
      </c>
      <c r="H1230" s="234">
        <v>4.4831815203272392</v>
      </c>
      <c r="I1230" s="328"/>
      <c r="J1230" s="328"/>
      <c r="K1230" s="328"/>
      <c r="L1230" s="234">
        <v>6.5719501547160446</v>
      </c>
      <c r="M1230" s="328">
        <v>3.2336375852605959</v>
      </c>
      <c r="N1230" s="328">
        <v>0.62134812548369611</v>
      </c>
      <c r="O1230" s="328">
        <v>1.2583983548021456E-2</v>
      </c>
      <c r="P1230" s="328">
        <v>0.38915874819680307</v>
      </c>
    </row>
    <row r="1231" spans="2:16" ht="18" customHeight="1">
      <c r="B1231" s="284"/>
      <c r="C1231" s="311"/>
      <c r="D1231" s="312"/>
      <c r="E1231" s="289"/>
      <c r="F1231" s="79">
        <v>3</v>
      </c>
      <c r="G1231" s="178" t="s">
        <v>107</v>
      </c>
      <c r="H1231" s="234">
        <v>54.754366732857086</v>
      </c>
      <c r="I1231" s="328"/>
      <c r="J1231" s="328"/>
      <c r="K1231" s="328"/>
      <c r="L1231" s="234">
        <v>59.721087699925008</v>
      </c>
      <c r="M1231" s="328">
        <v>3.2336375852605959</v>
      </c>
      <c r="N1231" s="328">
        <v>0.62134812548369611</v>
      </c>
      <c r="O1231" s="328">
        <v>1.2583983548021456E-2</v>
      </c>
      <c r="P1231" s="328">
        <v>0.38915874819680307</v>
      </c>
    </row>
    <row r="1232" spans="2:16" ht="18" customHeight="1">
      <c r="B1232" s="284"/>
      <c r="C1232" s="313"/>
      <c r="D1232" s="314"/>
      <c r="E1232" s="288"/>
      <c r="F1232" s="82">
        <v>4</v>
      </c>
      <c r="G1232" s="180" t="s">
        <v>108</v>
      </c>
      <c r="H1232" s="235">
        <v>39.161230406858941</v>
      </c>
      <c r="I1232" s="329"/>
      <c r="J1232" s="329"/>
      <c r="K1232" s="329"/>
      <c r="L1232" s="235">
        <v>32.449877657164869</v>
      </c>
      <c r="M1232" s="329">
        <v>3.2336375852605959</v>
      </c>
      <c r="N1232" s="329">
        <v>0.62134812548369611</v>
      </c>
      <c r="O1232" s="329">
        <v>1.2583983548021456E-2</v>
      </c>
      <c r="P1232" s="329">
        <v>0.38915874819680307</v>
      </c>
    </row>
    <row r="1233" spans="2:16" ht="18" customHeight="1">
      <c r="B1233" s="284"/>
      <c r="C1233" s="309" t="s">
        <v>284</v>
      </c>
      <c r="D1233" s="310"/>
      <c r="E1233" s="287" t="str">
        <f>HYPERLINK("#LAYOUT_m1!lay중YEDU2A09","YEDU2A09")</f>
        <v>YEDU2A09</v>
      </c>
      <c r="F1233" s="78">
        <v>1</v>
      </c>
      <c r="G1233" s="179" t="s">
        <v>105</v>
      </c>
      <c r="H1233" s="233">
        <v>20.645620033737778</v>
      </c>
      <c r="I1233" s="327">
        <v>2.2036073595634593</v>
      </c>
      <c r="J1233" s="327">
        <v>1.6782997281993374E-2</v>
      </c>
      <c r="K1233" s="327">
        <v>0.76161468644387376</v>
      </c>
      <c r="L1233" s="233">
        <v>23.688609411328656</v>
      </c>
      <c r="M1233" s="327">
        <v>2.1174102628402545</v>
      </c>
      <c r="N1233" s="327">
        <v>0.83366972424495334</v>
      </c>
      <c r="O1233" s="327">
        <v>1.6884071366941544E-2</v>
      </c>
      <c r="P1233" s="327">
        <v>0.79739253479831396</v>
      </c>
    </row>
    <row r="1234" spans="2:16" ht="18" customHeight="1">
      <c r="B1234" s="284"/>
      <c r="C1234" s="311"/>
      <c r="D1234" s="312"/>
      <c r="E1234" s="289"/>
      <c r="F1234" s="79">
        <v>2</v>
      </c>
      <c r="G1234" s="178" t="s">
        <v>106</v>
      </c>
      <c r="H1234" s="234">
        <v>46.056885568677686</v>
      </c>
      <c r="I1234" s="328"/>
      <c r="J1234" s="328"/>
      <c r="K1234" s="328"/>
      <c r="L1234" s="234">
        <v>46.747897693821578</v>
      </c>
      <c r="M1234" s="328">
        <v>2.1174102628402545</v>
      </c>
      <c r="N1234" s="328">
        <v>0.83366972424495334</v>
      </c>
      <c r="O1234" s="328">
        <v>1.6884071366941544E-2</v>
      </c>
      <c r="P1234" s="328">
        <v>0.79739253479831396</v>
      </c>
    </row>
    <row r="1235" spans="2:16" ht="18" customHeight="1">
      <c r="B1235" s="284"/>
      <c r="C1235" s="311"/>
      <c r="D1235" s="312"/>
      <c r="E1235" s="289"/>
      <c r="F1235" s="79">
        <v>3</v>
      </c>
      <c r="G1235" s="178" t="s">
        <v>107</v>
      </c>
      <c r="H1235" s="234">
        <v>25.588632805085311</v>
      </c>
      <c r="I1235" s="328"/>
      <c r="J1235" s="328"/>
      <c r="K1235" s="328"/>
      <c r="L1235" s="234">
        <v>23.697350094344237</v>
      </c>
      <c r="M1235" s="328">
        <v>2.1174102628402545</v>
      </c>
      <c r="N1235" s="328">
        <v>0.83366972424495334</v>
      </c>
      <c r="O1235" s="328">
        <v>1.6884071366941544E-2</v>
      </c>
      <c r="P1235" s="328">
        <v>0.79739253479831396</v>
      </c>
    </row>
    <row r="1236" spans="2:16" ht="18" customHeight="1">
      <c r="B1236" s="284"/>
      <c r="C1236" s="313"/>
      <c r="D1236" s="314"/>
      <c r="E1236" s="288"/>
      <c r="F1236" s="82">
        <v>4</v>
      </c>
      <c r="G1236" s="180" t="s">
        <v>108</v>
      </c>
      <c r="H1236" s="235">
        <v>7.7088615924992387</v>
      </c>
      <c r="I1236" s="329"/>
      <c r="J1236" s="329"/>
      <c r="K1236" s="329"/>
      <c r="L1236" s="235">
        <v>5.8661428005055427</v>
      </c>
      <c r="M1236" s="329">
        <v>2.1174102628402545</v>
      </c>
      <c r="N1236" s="329">
        <v>0.83366972424495334</v>
      </c>
      <c r="O1236" s="329">
        <v>1.6884071366941544E-2</v>
      </c>
      <c r="P1236" s="329">
        <v>0.79739253479831396</v>
      </c>
    </row>
    <row r="1237" spans="2:16" ht="18" customHeight="1">
      <c r="B1237" s="284"/>
      <c r="C1237" s="309" t="s">
        <v>285</v>
      </c>
      <c r="D1237" s="310"/>
      <c r="E1237" s="287" t="str">
        <f>HYPERLINK("#LAYOUT_m1!lay중YEDU2A10","YEDU2A10")</f>
        <v>YEDU2A10</v>
      </c>
      <c r="F1237" s="78">
        <v>1</v>
      </c>
      <c r="G1237" s="179" t="s">
        <v>105</v>
      </c>
      <c r="H1237" s="233">
        <v>41.931713672862372</v>
      </c>
      <c r="I1237" s="327">
        <v>1.7113016312862852</v>
      </c>
      <c r="J1237" s="327">
        <v>1.3994503926285743E-2</v>
      </c>
      <c r="K1237" s="327">
        <v>0.81776956618494512</v>
      </c>
      <c r="L1237" s="233">
        <v>38.846765893839716</v>
      </c>
      <c r="M1237" s="327">
        <v>1.7905189877868588</v>
      </c>
      <c r="N1237" s="327">
        <v>0.74913478438401859</v>
      </c>
      <c r="O1237" s="327">
        <v>1.5172009724179097E-2</v>
      </c>
      <c r="P1237" s="327">
        <v>0.84735262947042</v>
      </c>
    </row>
    <row r="1238" spans="2:16" ht="18" customHeight="1">
      <c r="B1238" s="284"/>
      <c r="C1238" s="311"/>
      <c r="D1238" s="312"/>
      <c r="E1238" s="289"/>
      <c r="F1238" s="79">
        <v>2</v>
      </c>
      <c r="G1238" s="178" t="s">
        <v>106</v>
      </c>
      <c r="H1238" s="234">
        <v>47.029234534858276</v>
      </c>
      <c r="I1238" s="328"/>
      <c r="J1238" s="328"/>
      <c r="K1238" s="328"/>
      <c r="L1238" s="234">
        <v>45.124605639093375</v>
      </c>
      <c r="M1238" s="328">
        <v>1.7905189877868588</v>
      </c>
      <c r="N1238" s="328">
        <v>0.74913478438401859</v>
      </c>
      <c r="O1238" s="328">
        <v>1.5172009724179097E-2</v>
      </c>
      <c r="P1238" s="328">
        <v>0.84735262947042</v>
      </c>
    </row>
    <row r="1239" spans="2:16" ht="18" customHeight="1">
      <c r="B1239" s="284"/>
      <c r="C1239" s="311"/>
      <c r="D1239" s="312"/>
      <c r="E1239" s="289"/>
      <c r="F1239" s="79">
        <v>3</v>
      </c>
      <c r="G1239" s="178" t="s">
        <v>107</v>
      </c>
      <c r="H1239" s="234">
        <v>9.0162267830686105</v>
      </c>
      <c r="I1239" s="328"/>
      <c r="J1239" s="328"/>
      <c r="K1239" s="328"/>
      <c r="L1239" s="234">
        <v>14.158592261607248</v>
      </c>
      <c r="M1239" s="328">
        <v>1.7905189877868588</v>
      </c>
      <c r="N1239" s="328">
        <v>0.74913478438401859</v>
      </c>
      <c r="O1239" s="328">
        <v>1.5172009724179097E-2</v>
      </c>
      <c r="P1239" s="328">
        <v>0.84735262947042</v>
      </c>
    </row>
    <row r="1240" spans="2:16" ht="18" customHeight="1">
      <c r="B1240" s="284"/>
      <c r="C1240" s="313"/>
      <c r="D1240" s="314"/>
      <c r="E1240" s="288"/>
      <c r="F1240" s="82">
        <v>4</v>
      </c>
      <c r="G1240" s="180" t="s">
        <v>108</v>
      </c>
      <c r="H1240" s="235">
        <v>2.0228250092107567</v>
      </c>
      <c r="I1240" s="329"/>
      <c r="J1240" s="329"/>
      <c r="K1240" s="329"/>
      <c r="L1240" s="235">
        <v>1.8700362054596671</v>
      </c>
      <c r="M1240" s="329">
        <v>1.7905189877868588</v>
      </c>
      <c r="N1240" s="329">
        <v>0.74913478438401859</v>
      </c>
      <c r="O1240" s="329">
        <v>1.5172009724179097E-2</v>
      </c>
      <c r="P1240" s="329">
        <v>0.84735262947042</v>
      </c>
    </row>
    <row r="1241" spans="2:16" ht="18" customHeight="1">
      <c r="B1241" s="284"/>
      <c r="C1241" s="309" t="s">
        <v>286</v>
      </c>
      <c r="D1241" s="310"/>
      <c r="E1241" s="287" t="str">
        <f>HYPERLINK("#LAYOUT_m1!lay중YEDU2A11","YEDU2A11")</f>
        <v>YEDU2A11</v>
      </c>
      <c r="F1241" s="78">
        <v>1</v>
      </c>
      <c r="G1241" s="179" t="s">
        <v>105</v>
      </c>
      <c r="H1241" s="233">
        <v>37.010204180520191</v>
      </c>
      <c r="I1241" s="327">
        <v>1.7863592926086889</v>
      </c>
      <c r="J1241" s="327">
        <v>1.4015078525553224E-2</v>
      </c>
      <c r="K1241" s="327">
        <v>0.78456101096473496</v>
      </c>
      <c r="L1241" s="233">
        <v>34.646221995420099</v>
      </c>
      <c r="M1241" s="327">
        <v>1.8373532649350464</v>
      </c>
      <c r="N1241" s="327">
        <v>0.73094687581778583</v>
      </c>
      <c r="O1241" s="327">
        <v>1.480365528198581E-2</v>
      </c>
      <c r="P1241" s="327">
        <v>0.80570544404856981</v>
      </c>
    </row>
    <row r="1242" spans="2:16" ht="18" customHeight="1">
      <c r="B1242" s="284"/>
      <c r="C1242" s="311"/>
      <c r="D1242" s="312"/>
      <c r="E1242" s="289"/>
      <c r="F1242" s="79">
        <v>2</v>
      </c>
      <c r="G1242" s="178" t="s">
        <v>106</v>
      </c>
      <c r="H1242" s="234">
        <v>48.72449421559228</v>
      </c>
      <c r="I1242" s="328"/>
      <c r="J1242" s="328"/>
      <c r="K1242" s="328"/>
      <c r="L1242" s="234">
        <v>48.484251647748799</v>
      </c>
      <c r="M1242" s="328">
        <v>1.8373532649350464</v>
      </c>
      <c r="N1242" s="328">
        <v>0.73094687581778583</v>
      </c>
      <c r="O1242" s="328">
        <v>1.480365528198581E-2</v>
      </c>
      <c r="P1242" s="328">
        <v>0.80570544404856981</v>
      </c>
    </row>
    <row r="1243" spans="2:16" ht="18" customHeight="1">
      <c r="B1243" s="284"/>
      <c r="C1243" s="311"/>
      <c r="D1243" s="312"/>
      <c r="E1243" s="289"/>
      <c r="F1243" s="79">
        <v>3</v>
      </c>
      <c r="G1243" s="178" t="s">
        <v>107</v>
      </c>
      <c r="H1243" s="234">
        <v>12.88446976638653</v>
      </c>
      <c r="I1243" s="328"/>
      <c r="J1243" s="328"/>
      <c r="K1243" s="328"/>
      <c r="L1243" s="234">
        <v>15.357504224736186</v>
      </c>
      <c r="M1243" s="328">
        <v>1.8373532649350464</v>
      </c>
      <c r="N1243" s="328">
        <v>0.73094687581778583</v>
      </c>
      <c r="O1243" s="328">
        <v>1.480365528198581E-2</v>
      </c>
      <c r="P1243" s="328">
        <v>0.80570544404856981</v>
      </c>
    </row>
    <row r="1244" spans="2:16" ht="18" customHeight="1">
      <c r="B1244" s="284"/>
      <c r="C1244" s="313"/>
      <c r="D1244" s="314"/>
      <c r="E1244" s="288"/>
      <c r="F1244" s="82">
        <v>4</v>
      </c>
      <c r="G1244" s="180" t="s">
        <v>108</v>
      </c>
      <c r="H1244" s="235">
        <v>1.380831837500982</v>
      </c>
      <c r="I1244" s="329"/>
      <c r="J1244" s="329"/>
      <c r="K1244" s="329"/>
      <c r="L1244" s="235">
        <v>1.5120221320948828</v>
      </c>
      <c r="M1244" s="329">
        <v>1.8373532649350464</v>
      </c>
      <c r="N1244" s="329">
        <v>0.73094687581778583</v>
      </c>
      <c r="O1244" s="329">
        <v>1.480365528198581E-2</v>
      </c>
      <c r="P1244" s="329">
        <v>0.80570544404856981</v>
      </c>
    </row>
    <row r="1245" spans="2:16" ht="18" customHeight="1">
      <c r="B1245" s="284"/>
      <c r="C1245" s="309" t="s">
        <v>287</v>
      </c>
      <c r="D1245" s="310"/>
      <c r="E1245" s="287" t="str">
        <f>HYPERLINK("#LAYOUT_m1!lay중YEDU2A12","YEDU2A12")</f>
        <v>YEDU2A12</v>
      </c>
      <c r="F1245" s="78">
        <v>1</v>
      </c>
      <c r="G1245" s="179" t="s">
        <v>105</v>
      </c>
      <c r="H1245" s="233">
        <v>45.872569006813386</v>
      </c>
      <c r="I1245" s="327">
        <v>1.6590090207421389</v>
      </c>
      <c r="J1245" s="327">
        <v>1.3860494810947336E-2</v>
      </c>
      <c r="K1245" s="327">
        <v>0.83546832100689816</v>
      </c>
      <c r="L1245" s="233">
        <v>42.100492084942907</v>
      </c>
      <c r="M1245" s="327">
        <v>1.7333353367364503</v>
      </c>
      <c r="N1245" s="327">
        <v>0.73383699143033854</v>
      </c>
      <c r="O1245" s="327">
        <v>1.4862187956067549E-2</v>
      </c>
      <c r="P1245" s="327">
        <v>0.85743292951324135</v>
      </c>
    </row>
    <row r="1246" spans="2:16" ht="18" customHeight="1">
      <c r="B1246" s="284"/>
      <c r="C1246" s="311"/>
      <c r="D1246" s="312"/>
      <c r="E1246" s="289"/>
      <c r="F1246" s="79">
        <v>2</v>
      </c>
      <c r="G1246" s="178" t="s">
        <v>106</v>
      </c>
      <c r="H1246" s="234">
        <v>44.213751073538994</v>
      </c>
      <c r="I1246" s="328"/>
      <c r="J1246" s="328"/>
      <c r="K1246" s="328"/>
      <c r="L1246" s="234">
        <v>44.168517634409369</v>
      </c>
      <c r="M1246" s="328">
        <v>1.7333353367364503</v>
      </c>
      <c r="N1246" s="328">
        <v>0.73383699143033854</v>
      </c>
      <c r="O1246" s="328">
        <v>1.4862187956067549E-2</v>
      </c>
      <c r="P1246" s="328">
        <v>0.85743292951324135</v>
      </c>
    </row>
    <row r="1247" spans="2:16" ht="18" customHeight="1">
      <c r="B1247" s="284"/>
      <c r="C1247" s="311"/>
      <c r="D1247" s="312"/>
      <c r="E1247" s="289"/>
      <c r="F1247" s="79">
        <v>3</v>
      </c>
      <c r="G1247" s="178" t="s">
        <v>107</v>
      </c>
      <c r="H1247" s="234">
        <v>8.0538887582690499</v>
      </c>
      <c r="I1247" s="328"/>
      <c r="J1247" s="328"/>
      <c r="K1247" s="328"/>
      <c r="L1247" s="234">
        <v>12.027954802706461</v>
      </c>
      <c r="M1247" s="328">
        <v>1.7333353367364503</v>
      </c>
      <c r="N1247" s="328">
        <v>0.73383699143033854</v>
      </c>
      <c r="O1247" s="328">
        <v>1.4862187956067549E-2</v>
      </c>
      <c r="P1247" s="328">
        <v>0.85743292951324135</v>
      </c>
    </row>
    <row r="1248" spans="2:16" ht="18" customHeight="1">
      <c r="B1248" s="284"/>
      <c r="C1248" s="313"/>
      <c r="D1248" s="314"/>
      <c r="E1248" s="288"/>
      <c r="F1248" s="82">
        <v>4</v>
      </c>
      <c r="G1248" s="180" t="s">
        <v>108</v>
      </c>
      <c r="H1248" s="235">
        <v>1.8597911613785776</v>
      </c>
      <c r="I1248" s="329"/>
      <c r="J1248" s="329"/>
      <c r="K1248" s="329"/>
      <c r="L1248" s="235">
        <v>1.7030354779412509</v>
      </c>
      <c r="M1248" s="329">
        <v>1.7333353367364503</v>
      </c>
      <c r="N1248" s="329">
        <v>0.73383699143033854</v>
      </c>
      <c r="O1248" s="329">
        <v>1.4862187956067549E-2</v>
      </c>
      <c r="P1248" s="329">
        <v>0.85743292951324135</v>
      </c>
    </row>
    <row r="1249" spans="2:16" ht="18" customHeight="1">
      <c r="B1249" s="284"/>
      <c r="C1249" s="309" t="s">
        <v>288</v>
      </c>
      <c r="D1249" s="310"/>
      <c r="E1249" s="287" t="str">
        <f>HYPERLINK("#LAYOUT_m1!lay중YEDU2A13","YEDU2A13")</f>
        <v>YEDU2A13</v>
      </c>
      <c r="F1249" s="78">
        <v>1</v>
      </c>
      <c r="G1249" s="179" t="s">
        <v>105</v>
      </c>
      <c r="H1249" s="233">
        <v>34.659703964968919</v>
      </c>
      <c r="I1249" s="327">
        <v>1.8164520298639839</v>
      </c>
      <c r="J1249" s="327">
        <v>1.4157678495316536E-2</v>
      </c>
      <c r="K1249" s="327">
        <v>0.77941383876659054</v>
      </c>
      <c r="L1249" s="233">
        <v>35.655407054837674</v>
      </c>
      <c r="M1249" s="327">
        <v>1.8412205668626205</v>
      </c>
      <c r="N1249" s="327">
        <v>0.75942263770118723</v>
      </c>
      <c r="O1249" s="327">
        <v>1.538036663647673E-2</v>
      </c>
      <c r="P1249" s="327">
        <v>0.83533537009552128</v>
      </c>
    </row>
    <row r="1250" spans="2:16" ht="18" customHeight="1">
      <c r="B1250" s="284"/>
      <c r="C1250" s="311"/>
      <c r="D1250" s="312"/>
      <c r="E1250" s="289"/>
      <c r="F1250" s="79">
        <v>2</v>
      </c>
      <c r="G1250" s="178" t="s">
        <v>106</v>
      </c>
      <c r="H1250" s="234">
        <v>51.184516418318935</v>
      </c>
      <c r="I1250" s="328"/>
      <c r="J1250" s="328"/>
      <c r="K1250" s="328"/>
      <c r="L1250" s="234">
        <v>46.935548574220952</v>
      </c>
      <c r="M1250" s="328">
        <v>1.8412205668626205</v>
      </c>
      <c r="N1250" s="328">
        <v>0.75942263770118723</v>
      </c>
      <c r="O1250" s="328">
        <v>1.538036663647673E-2</v>
      </c>
      <c r="P1250" s="328">
        <v>0.83533537009552128</v>
      </c>
    </row>
    <row r="1251" spans="2:16" ht="18" customHeight="1">
      <c r="B1251" s="284"/>
      <c r="C1251" s="311"/>
      <c r="D1251" s="312"/>
      <c r="E1251" s="289"/>
      <c r="F1251" s="79">
        <v>3</v>
      </c>
      <c r="G1251" s="178" t="s">
        <v>107</v>
      </c>
      <c r="H1251" s="234">
        <v>12.006652282057464</v>
      </c>
      <c r="I1251" s="328"/>
      <c r="J1251" s="328"/>
      <c r="K1251" s="328"/>
      <c r="L1251" s="234">
        <v>15.040625000781754</v>
      </c>
      <c r="M1251" s="328">
        <v>1.8412205668626205</v>
      </c>
      <c r="N1251" s="328">
        <v>0.75942263770118723</v>
      </c>
      <c r="O1251" s="328">
        <v>1.538036663647673E-2</v>
      </c>
      <c r="P1251" s="328">
        <v>0.83533537009552128</v>
      </c>
    </row>
    <row r="1252" spans="2:16" ht="18" customHeight="1">
      <c r="B1252" s="286"/>
      <c r="C1252" s="313"/>
      <c r="D1252" s="314"/>
      <c r="E1252" s="288"/>
      <c r="F1252" s="82">
        <v>4</v>
      </c>
      <c r="G1252" s="180" t="s">
        <v>108</v>
      </c>
      <c r="H1252" s="235">
        <v>2.1491273346546969</v>
      </c>
      <c r="I1252" s="329"/>
      <c r="J1252" s="329"/>
      <c r="K1252" s="329"/>
      <c r="L1252" s="235">
        <v>2.3684193701596037</v>
      </c>
      <c r="M1252" s="329">
        <v>1.8412205668626205</v>
      </c>
      <c r="N1252" s="329">
        <v>0.75942263770118723</v>
      </c>
      <c r="O1252" s="329">
        <v>1.538036663647673E-2</v>
      </c>
      <c r="P1252" s="329">
        <v>0.83533537009552128</v>
      </c>
    </row>
    <row r="1253" spans="2:16" ht="18" customHeight="1">
      <c r="B1253" s="282" t="s">
        <v>136</v>
      </c>
      <c r="C1253" s="309" t="s">
        <v>289</v>
      </c>
      <c r="D1253" s="310"/>
      <c r="E1253" s="287" t="str">
        <f>HYPERLINK("#LAYOUT_m1!lay중YEDU3A01","YEDU3A01")</f>
        <v>YEDU3A01</v>
      </c>
      <c r="F1253" s="78">
        <v>1</v>
      </c>
      <c r="G1253" s="179" t="s">
        <v>105</v>
      </c>
      <c r="H1253" s="233">
        <v>15.30288378668728</v>
      </c>
      <c r="I1253" s="327">
        <v>2.2849551233321361</v>
      </c>
      <c r="J1253" s="327">
        <v>1.568220055002751E-2</v>
      </c>
      <c r="K1253" s="327">
        <v>0.68632422535976323</v>
      </c>
      <c r="L1253" s="233">
        <v>13.891596675240919</v>
      </c>
      <c r="M1253" s="327">
        <v>2.335874400482115</v>
      </c>
      <c r="N1253" s="327">
        <v>0.78032875114110389</v>
      </c>
      <c r="O1253" s="327">
        <v>1.5803772094369083E-2</v>
      </c>
      <c r="P1253" s="327">
        <v>0.67656771661640946</v>
      </c>
    </row>
    <row r="1254" spans="2:16" ht="18" customHeight="1">
      <c r="B1254" s="284"/>
      <c r="C1254" s="311"/>
      <c r="D1254" s="312"/>
      <c r="E1254" s="289"/>
      <c r="F1254" s="79">
        <v>2</v>
      </c>
      <c r="G1254" s="178" t="s">
        <v>106</v>
      </c>
      <c r="H1254" s="234">
        <v>47.243872809895748</v>
      </c>
      <c r="I1254" s="328"/>
      <c r="J1254" s="328"/>
      <c r="K1254" s="328"/>
      <c r="L1254" s="234">
        <v>44.017790579170637</v>
      </c>
      <c r="M1254" s="328">
        <v>2.335874400482115</v>
      </c>
      <c r="N1254" s="328">
        <v>0.78032875114110389</v>
      </c>
      <c r="O1254" s="328">
        <v>1.5803772094369083E-2</v>
      </c>
      <c r="P1254" s="328">
        <v>0.67656771661640946</v>
      </c>
    </row>
    <row r="1255" spans="2:16" ht="18" customHeight="1">
      <c r="B1255" s="284"/>
      <c r="C1255" s="311"/>
      <c r="D1255" s="312"/>
      <c r="E1255" s="289"/>
      <c r="F1255" s="79">
        <v>3</v>
      </c>
      <c r="G1255" s="178" t="s">
        <v>107</v>
      </c>
      <c r="H1255" s="234">
        <v>31.1080906869331</v>
      </c>
      <c r="I1255" s="328"/>
      <c r="J1255" s="328"/>
      <c r="K1255" s="328"/>
      <c r="L1255" s="234">
        <v>36.702188767724067</v>
      </c>
      <c r="M1255" s="328">
        <v>2.335874400482115</v>
      </c>
      <c r="N1255" s="328">
        <v>0.78032875114110389</v>
      </c>
      <c r="O1255" s="328">
        <v>1.5803772094369083E-2</v>
      </c>
      <c r="P1255" s="328">
        <v>0.67656771661640946</v>
      </c>
    </row>
    <row r="1256" spans="2:16" ht="18" customHeight="1">
      <c r="B1256" s="284"/>
      <c r="C1256" s="313"/>
      <c r="D1256" s="314"/>
      <c r="E1256" s="288"/>
      <c r="F1256" s="82">
        <v>4</v>
      </c>
      <c r="G1256" s="180" t="s">
        <v>108</v>
      </c>
      <c r="H1256" s="235">
        <v>6.3451527164838684</v>
      </c>
      <c r="I1256" s="329"/>
      <c r="J1256" s="329"/>
      <c r="K1256" s="329"/>
      <c r="L1256" s="235">
        <v>5.3884239778644032</v>
      </c>
      <c r="M1256" s="329">
        <v>2.335874400482115</v>
      </c>
      <c r="N1256" s="329">
        <v>0.78032875114110389</v>
      </c>
      <c r="O1256" s="329">
        <v>1.5803772094369083E-2</v>
      </c>
      <c r="P1256" s="329">
        <v>0.67656771661640946</v>
      </c>
    </row>
    <row r="1257" spans="2:16" ht="18" customHeight="1">
      <c r="B1257" s="284"/>
      <c r="C1257" s="309" t="s">
        <v>290</v>
      </c>
      <c r="D1257" s="310"/>
      <c r="E1257" s="287" t="str">
        <f>HYPERLINK("#LAYOUT_m1!lay중YEDU3A02","YEDU3A02")</f>
        <v>YEDU3A02</v>
      </c>
      <c r="F1257" s="78">
        <v>1</v>
      </c>
      <c r="G1257" s="179" t="s">
        <v>105</v>
      </c>
      <c r="H1257" s="233">
        <v>10.057563316072129</v>
      </c>
      <c r="I1257" s="327">
        <v>2.5065181013914923</v>
      </c>
      <c r="J1257" s="327">
        <v>1.5659414629350242E-2</v>
      </c>
      <c r="K1257" s="327">
        <v>0.62474771758707504</v>
      </c>
      <c r="L1257" s="233">
        <v>8.6841013514581444</v>
      </c>
      <c r="M1257" s="327">
        <v>2.570753575866032</v>
      </c>
      <c r="N1257" s="327">
        <v>0.77803440832232773</v>
      </c>
      <c r="O1257" s="327">
        <v>1.5757305434052814E-2</v>
      </c>
      <c r="P1257" s="327">
        <v>0.61294499721718809</v>
      </c>
    </row>
    <row r="1258" spans="2:16" ht="18" customHeight="1">
      <c r="B1258" s="284"/>
      <c r="C1258" s="311"/>
      <c r="D1258" s="312"/>
      <c r="E1258" s="289"/>
      <c r="F1258" s="79">
        <v>2</v>
      </c>
      <c r="G1258" s="178" t="s">
        <v>106</v>
      </c>
      <c r="H1258" s="234">
        <v>38.42099934773676</v>
      </c>
      <c r="I1258" s="328"/>
      <c r="J1258" s="328"/>
      <c r="K1258" s="328"/>
      <c r="L1258" s="234">
        <v>34.877104176859355</v>
      </c>
      <c r="M1258" s="328">
        <v>2.570753575866032</v>
      </c>
      <c r="N1258" s="328">
        <v>0.77803440832232773</v>
      </c>
      <c r="O1258" s="328">
        <v>1.5757305434052814E-2</v>
      </c>
      <c r="P1258" s="328">
        <v>0.61294499721718809</v>
      </c>
    </row>
    <row r="1259" spans="2:16" ht="18" customHeight="1">
      <c r="B1259" s="284"/>
      <c r="C1259" s="311"/>
      <c r="D1259" s="312"/>
      <c r="E1259" s="289"/>
      <c r="F1259" s="79">
        <v>3</v>
      </c>
      <c r="G1259" s="178" t="s">
        <v>107</v>
      </c>
      <c r="H1259" s="234">
        <v>42.333501217161526</v>
      </c>
      <c r="I1259" s="328"/>
      <c r="J1259" s="328"/>
      <c r="K1259" s="328"/>
      <c r="L1259" s="234">
        <v>47.11813000530303</v>
      </c>
      <c r="M1259" s="328">
        <v>2.570753575866032</v>
      </c>
      <c r="N1259" s="328">
        <v>0.77803440832232773</v>
      </c>
      <c r="O1259" s="328">
        <v>1.5757305434052814E-2</v>
      </c>
      <c r="P1259" s="328">
        <v>0.61294499721718809</v>
      </c>
    </row>
    <row r="1260" spans="2:16" ht="18" customHeight="1">
      <c r="B1260" s="284"/>
      <c r="C1260" s="313"/>
      <c r="D1260" s="314"/>
      <c r="E1260" s="288"/>
      <c r="F1260" s="82">
        <v>4</v>
      </c>
      <c r="G1260" s="180" t="s">
        <v>108</v>
      </c>
      <c r="H1260" s="235">
        <v>9.1879361190295761</v>
      </c>
      <c r="I1260" s="329"/>
      <c r="J1260" s="329"/>
      <c r="K1260" s="329"/>
      <c r="L1260" s="235">
        <v>9.3206644663794798</v>
      </c>
      <c r="M1260" s="329">
        <v>2.570753575866032</v>
      </c>
      <c r="N1260" s="329">
        <v>0.77803440832232773</v>
      </c>
      <c r="O1260" s="329">
        <v>1.5757305434052814E-2</v>
      </c>
      <c r="P1260" s="329">
        <v>0.61294499721718809</v>
      </c>
    </row>
    <row r="1261" spans="2:16" ht="18" customHeight="1">
      <c r="B1261" s="284"/>
      <c r="C1261" s="309" t="s">
        <v>291</v>
      </c>
      <c r="D1261" s="310"/>
      <c r="E1261" s="287" t="str">
        <f>HYPERLINK("#LAYOUT_m1!lay중YEDU3A03","YEDU3A03")</f>
        <v>YEDU3A03</v>
      </c>
      <c r="F1261" s="78">
        <v>1</v>
      </c>
      <c r="G1261" s="179" t="s">
        <v>105</v>
      </c>
      <c r="H1261" s="233">
        <v>2.6830203402911481</v>
      </c>
      <c r="I1261" s="327">
        <v>3.0218381729316555</v>
      </c>
      <c r="J1261" s="327">
        <v>1.3280489834222831E-2</v>
      </c>
      <c r="K1261" s="327">
        <v>0.43948381992072971</v>
      </c>
      <c r="L1261" s="233">
        <v>4.4135477377193375</v>
      </c>
      <c r="M1261" s="327">
        <v>2.8476954631479447</v>
      </c>
      <c r="N1261" s="327">
        <v>0.71596921725206175</v>
      </c>
      <c r="O1261" s="327">
        <v>1.4500317102873684E-2</v>
      </c>
      <c r="P1261" s="327">
        <v>0.50919479595070549</v>
      </c>
    </row>
    <row r="1262" spans="2:16" ht="18" customHeight="1">
      <c r="B1262" s="284"/>
      <c r="C1262" s="311"/>
      <c r="D1262" s="312"/>
      <c r="E1262" s="289"/>
      <c r="F1262" s="79">
        <v>2</v>
      </c>
      <c r="G1262" s="178" t="s">
        <v>106</v>
      </c>
      <c r="H1262" s="234">
        <v>13.714154677560137</v>
      </c>
      <c r="I1262" s="328"/>
      <c r="J1262" s="328"/>
      <c r="K1262" s="328"/>
      <c r="L1262" s="234">
        <v>21.154500269551502</v>
      </c>
      <c r="M1262" s="328">
        <v>2.8476954631479447</v>
      </c>
      <c r="N1262" s="328">
        <v>0.71596921725206175</v>
      </c>
      <c r="O1262" s="328">
        <v>1.4500317102873684E-2</v>
      </c>
      <c r="P1262" s="328">
        <v>0.50919479595070549</v>
      </c>
    </row>
    <row r="1263" spans="2:16" ht="18" customHeight="1">
      <c r="B1263" s="284"/>
      <c r="C1263" s="311"/>
      <c r="D1263" s="312"/>
      <c r="E1263" s="289"/>
      <c r="F1263" s="79">
        <v>3</v>
      </c>
      <c r="G1263" s="178" t="s">
        <v>107</v>
      </c>
      <c r="H1263" s="234">
        <v>62.338812330842302</v>
      </c>
      <c r="I1263" s="328"/>
      <c r="J1263" s="328"/>
      <c r="K1263" s="328"/>
      <c r="L1263" s="234">
        <v>59.680809932943475</v>
      </c>
      <c r="M1263" s="328">
        <v>2.8476954631479447</v>
      </c>
      <c r="N1263" s="328">
        <v>0.71596921725206175</v>
      </c>
      <c r="O1263" s="328">
        <v>1.4500317102873684E-2</v>
      </c>
      <c r="P1263" s="328">
        <v>0.50919479595070549</v>
      </c>
    </row>
    <row r="1264" spans="2:16" ht="18" customHeight="1">
      <c r="B1264" s="284"/>
      <c r="C1264" s="313"/>
      <c r="D1264" s="314"/>
      <c r="E1264" s="288"/>
      <c r="F1264" s="82">
        <v>4</v>
      </c>
      <c r="G1264" s="180" t="s">
        <v>108</v>
      </c>
      <c r="H1264" s="235">
        <v>21.264012651306427</v>
      </c>
      <c r="I1264" s="329"/>
      <c r="J1264" s="329"/>
      <c r="K1264" s="329"/>
      <c r="L1264" s="235">
        <v>14.751142059785677</v>
      </c>
      <c r="M1264" s="329">
        <v>2.8476954631479447</v>
      </c>
      <c r="N1264" s="329">
        <v>0.71596921725206175</v>
      </c>
      <c r="O1264" s="329">
        <v>1.4500317102873684E-2</v>
      </c>
      <c r="P1264" s="329">
        <v>0.50919479595070549</v>
      </c>
    </row>
    <row r="1265" spans="2:16" ht="18" customHeight="1">
      <c r="B1265" s="284"/>
      <c r="C1265" s="309" t="s">
        <v>292</v>
      </c>
      <c r="D1265" s="310"/>
      <c r="E1265" s="287" t="str">
        <f>HYPERLINK("#LAYOUT_m1!lay중YEDU3A04","YEDU3A04")</f>
        <v>YEDU3A04</v>
      </c>
      <c r="F1265" s="78">
        <v>1</v>
      </c>
      <c r="G1265" s="179" t="s">
        <v>105</v>
      </c>
      <c r="H1265" s="233">
        <v>2.4827667137534659</v>
      </c>
      <c r="I1265" s="327">
        <v>3.0201170782583397</v>
      </c>
      <c r="J1265" s="327">
        <v>1.2840081315332872E-2</v>
      </c>
      <c r="K1265" s="327">
        <v>0.42515177334573978</v>
      </c>
      <c r="L1265" s="233">
        <v>3.3074402334319477</v>
      </c>
      <c r="M1265" s="327">
        <v>2.9203619519623443</v>
      </c>
      <c r="N1265" s="327">
        <v>0.69019054228242283</v>
      </c>
      <c r="O1265" s="327">
        <v>1.397822906815852E-2</v>
      </c>
      <c r="P1265" s="327">
        <v>0.47864714367908473</v>
      </c>
    </row>
    <row r="1266" spans="2:16" ht="18" customHeight="1">
      <c r="B1266" s="284"/>
      <c r="C1266" s="311"/>
      <c r="D1266" s="312"/>
      <c r="E1266" s="289"/>
      <c r="F1266" s="79">
        <v>2</v>
      </c>
      <c r="G1266" s="178" t="s">
        <v>106</v>
      </c>
      <c r="H1266" s="234">
        <v>12.908203023171154</v>
      </c>
      <c r="I1266" s="328"/>
      <c r="J1266" s="328"/>
      <c r="K1266" s="328"/>
      <c r="L1266" s="234">
        <v>18.185072324759748</v>
      </c>
      <c r="M1266" s="328">
        <v>2.9203619519623443</v>
      </c>
      <c r="N1266" s="328">
        <v>0.69019054228242283</v>
      </c>
      <c r="O1266" s="328">
        <v>1.397822906815852E-2</v>
      </c>
      <c r="P1266" s="328">
        <v>0.47864714367908473</v>
      </c>
    </row>
    <row r="1267" spans="2:16" ht="18" customHeight="1">
      <c r="B1267" s="284"/>
      <c r="C1267" s="311"/>
      <c r="D1267" s="312"/>
      <c r="E1267" s="289"/>
      <c r="F1267" s="79">
        <v>3</v>
      </c>
      <c r="G1267" s="178" t="s">
        <v>107</v>
      </c>
      <c r="H1267" s="234">
        <v>64.723585986564743</v>
      </c>
      <c r="I1267" s="328"/>
      <c r="J1267" s="328"/>
      <c r="K1267" s="328"/>
      <c r="L1267" s="234">
        <v>61.671339453949123</v>
      </c>
      <c r="M1267" s="328">
        <v>2.9203619519623443</v>
      </c>
      <c r="N1267" s="328">
        <v>0.69019054228242283</v>
      </c>
      <c r="O1267" s="328">
        <v>1.397822906815852E-2</v>
      </c>
      <c r="P1267" s="328">
        <v>0.47864714367908473</v>
      </c>
    </row>
    <row r="1268" spans="2:16" ht="18" customHeight="1">
      <c r="B1268" s="284"/>
      <c r="C1268" s="313"/>
      <c r="D1268" s="314"/>
      <c r="E1268" s="288"/>
      <c r="F1268" s="82">
        <v>4</v>
      </c>
      <c r="G1268" s="180" t="s">
        <v>108</v>
      </c>
      <c r="H1268" s="235">
        <v>19.88544427651065</v>
      </c>
      <c r="I1268" s="329"/>
      <c r="J1268" s="329"/>
      <c r="K1268" s="329"/>
      <c r="L1268" s="235">
        <v>16.836147987859182</v>
      </c>
      <c r="M1268" s="329">
        <v>2.9203619519623443</v>
      </c>
      <c r="N1268" s="329">
        <v>0.69019054228242283</v>
      </c>
      <c r="O1268" s="329">
        <v>1.397822906815852E-2</v>
      </c>
      <c r="P1268" s="329">
        <v>0.47864714367908473</v>
      </c>
    </row>
    <row r="1269" spans="2:16" ht="18" customHeight="1">
      <c r="B1269" s="284"/>
      <c r="C1269" s="309" t="s">
        <v>293</v>
      </c>
      <c r="D1269" s="310"/>
      <c r="E1269" s="287" t="str">
        <f>HYPERLINK("#LAYOUT_m1!lay중YEDU3A05","YEDU3A05")</f>
        <v>YEDU3A05</v>
      </c>
      <c r="F1269" s="78">
        <v>1</v>
      </c>
      <c r="G1269" s="179" t="s">
        <v>105</v>
      </c>
      <c r="H1269" s="233">
        <v>3.1631654822457951</v>
      </c>
      <c r="I1269" s="327">
        <v>2.9047199847001099</v>
      </c>
      <c r="J1269" s="327">
        <v>1.4070382731919611E-2</v>
      </c>
      <c r="K1269" s="327">
        <v>0.48439721577404504</v>
      </c>
      <c r="L1269" s="233">
        <v>3.2911573071854043</v>
      </c>
      <c r="M1269" s="327">
        <v>2.8316519056215661</v>
      </c>
      <c r="N1269" s="327">
        <v>0.70260762324204862</v>
      </c>
      <c r="O1269" s="327">
        <v>1.4229708610949039E-2</v>
      </c>
      <c r="P1269" s="327">
        <v>0.50252322973383001</v>
      </c>
    </row>
    <row r="1270" spans="2:16" ht="18" customHeight="1">
      <c r="B1270" s="284"/>
      <c r="C1270" s="311"/>
      <c r="D1270" s="312"/>
      <c r="E1270" s="289"/>
      <c r="F1270" s="79">
        <v>2</v>
      </c>
      <c r="G1270" s="178" t="s">
        <v>106</v>
      </c>
      <c r="H1270" s="234">
        <v>21.356368894363712</v>
      </c>
      <c r="I1270" s="328"/>
      <c r="J1270" s="328"/>
      <c r="K1270" s="328"/>
      <c r="L1270" s="234">
        <v>24.63373622294068</v>
      </c>
      <c r="M1270" s="328">
        <v>2.8316519056215661</v>
      </c>
      <c r="N1270" s="328">
        <v>0.70260762324204862</v>
      </c>
      <c r="O1270" s="328">
        <v>1.4229708610949039E-2</v>
      </c>
      <c r="P1270" s="328">
        <v>0.50252322973383001</v>
      </c>
    </row>
    <row r="1271" spans="2:16" ht="18" customHeight="1">
      <c r="B1271" s="284"/>
      <c r="C1271" s="311"/>
      <c r="D1271" s="312"/>
      <c r="E1271" s="289"/>
      <c r="F1271" s="79">
        <v>3</v>
      </c>
      <c r="G1271" s="178" t="s">
        <v>107</v>
      </c>
      <c r="H1271" s="234">
        <v>57.325767294525392</v>
      </c>
      <c r="I1271" s="328"/>
      <c r="J1271" s="328"/>
      <c r="K1271" s="328"/>
      <c r="L1271" s="234">
        <v>57.693865070404861</v>
      </c>
      <c r="M1271" s="328">
        <v>2.8316519056215661</v>
      </c>
      <c r="N1271" s="328">
        <v>0.70260762324204862</v>
      </c>
      <c r="O1271" s="328">
        <v>1.4229708610949039E-2</v>
      </c>
      <c r="P1271" s="328">
        <v>0.50252322973383001</v>
      </c>
    </row>
    <row r="1272" spans="2:16" ht="18" customHeight="1">
      <c r="B1272" s="284"/>
      <c r="C1272" s="313"/>
      <c r="D1272" s="314"/>
      <c r="E1272" s="288"/>
      <c r="F1272" s="82">
        <v>4</v>
      </c>
      <c r="G1272" s="180" t="s">
        <v>108</v>
      </c>
      <c r="H1272" s="235">
        <v>18.154698328865095</v>
      </c>
      <c r="I1272" s="329"/>
      <c r="J1272" s="329"/>
      <c r="K1272" s="329"/>
      <c r="L1272" s="235">
        <v>14.381241399469062</v>
      </c>
      <c r="M1272" s="329">
        <v>2.8316519056215661</v>
      </c>
      <c r="N1272" s="329">
        <v>0.70260762324204862</v>
      </c>
      <c r="O1272" s="329">
        <v>1.4229708610949039E-2</v>
      </c>
      <c r="P1272" s="329">
        <v>0.50252322973383001</v>
      </c>
    </row>
    <row r="1273" spans="2:16" ht="18" customHeight="1">
      <c r="B1273" s="284"/>
      <c r="C1273" s="309" t="s">
        <v>294</v>
      </c>
      <c r="D1273" s="310"/>
      <c r="E1273" s="287" t="str">
        <f>HYPERLINK("#LAYOUT_m1!lay중YEDU3A06","YEDU3A06")</f>
        <v>YEDU3A06</v>
      </c>
      <c r="F1273" s="78">
        <v>1</v>
      </c>
      <c r="G1273" s="179" t="s">
        <v>105</v>
      </c>
      <c r="H1273" s="233">
        <v>3.1091013710891193</v>
      </c>
      <c r="I1273" s="327">
        <v>2.8768147753072162</v>
      </c>
      <c r="J1273" s="327">
        <v>1.363162233305003E-2</v>
      </c>
      <c r="K1273" s="327">
        <v>0.47384428257444228</v>
      </c>
      <c r="L1273" s="233">
        <v>4.5398523976598968</v>
      </c>
      <c r="M1273" s="327">
        <v>2.7788188677461392</v>
      </c>
      <c r="N1273" s="327">
        <v>0.69876653009555878</v>
      </c>
      <c r="O1273" s="327">
        <v>1.4151916064420927E-2</v>
      </c>
      <c r="P1273" s="327">
        <v>0.50927810476180313</v>
      </c>
    </row>
    <row r="1274" spans="2:16" ht="18" customHeight="1">
      <c r="B1274" s="284"/>
      <c r="C1274" s="311"/>
      <c r="D1274" s="312"/>
      <c r="E1274" s="289"/>
      <c r="F1274" s="79">
        <v>2</v>
      </c>
      <c r="G1274" s="178" t="s">
        <v>106</v>
      </c>
      <c r="H1274" s="234">
        <v>21.645232046433954</v>
      </c>
      <c r="I1274" s="328"/>
      <c r="J1274" s="328"/>
      <c r="K1274" s="328"/>
      <c r="L1274" s="234">
        <v>24.289273425640484</v>
      </c>
      <c r="M1274" s="328">
        <v>2.7788188677461392</v>
      </c>
      <c r="N1274" s="328">
        <v>0.69876653009555878</v>
      </c>
      <c r="O1274" s="328">
        <v>1.4151916064420927E-2</v>
      </c>
      <c r="P1274" s="328">
        <v>0.50927810476180313</v>
      </c>
    </row>
    <row r="1275" spans="2:16" ht="18" customHeight="1">
      <c r="B1275" s="284"/>
      <c r="C1275" s="311"/>
      <c r="D1275" s="312"/>
      <c r="E1275" s="289"/>
      <c r="F1275" s="79">
        <v>3</v>
      </c>
      <c r="G1275" s="178" t="s">
        <v>107</v>
      </c>
      <c r="H1275" s="234">
        <v>59.700754263144219</v>
      </c>
      <c r="I1275" s="328"/>
      <c r="J1275" s="328"/>
      <c r="K1275" s="328"/>
      <c r="L1275" s="234">
        <v>59.92000918112425</v>
      </c>
      <c r="M1275" s="328">
        <v>2.7788188677461392</v>
      </c>
      <c r="N1275" s="328">
        <v>0.69876653009555878</v>
      </c>
      <c r="O1275" s="328">
        <v>1.4151916064420927E-2</v>
      </c>
      <c r="P1275" s="328">
        <v>0.50927810476180313</v>
      </c>
    </row>
    <row r="1276" spans="2:16" ht="18" customHeight="1">
      <c r="B1276" s="284"/>
      <c r="C1276" s="313"/>
      <c r="D1276" s="314"/>
      <c r="E1276" s="288"/>
      <c r="F1276" s="82">
        <v>4</v>
      </c>
      <c r="G1276" s="180" t="s">
        <v>108</v>
      </c>
      <c r="H1276" s="235">
        <v>15.544912319332717</v>
      </c>
      <c r="I1276" s="329"/>
      <c r="J1276" s="329"/>
      <c r="K1276" s="329"/>
      <c r="L1276" s="235">
        <v>11.250864995575331</v>
      </c>
      <c r="M1276" s="329">
        <v>2.7788188677461392</v>
      </c>
      <c r="N1276" s="329">
        <v>0.69876653009555878</v>
      </c>
      <c r="O1276" s="329">
        <v>1.4151916064420927E-2</v>
      </c>
      <c r="P1276" s="329">
        <v>0.50927810476180313</v>
      </c>
    </row>
    <row r="1277" spans="2:16" ht="18" customHeight="1">
      <c r="B1277" s="284"/>
      <c r="C1277" s="309" t="s">
        <v>295</v>
      </c>
      <c r="D1277" s="310"/>
      <c r="E1277" s="287" t="str">
        <f>HYPERLINK("#LAYOUT_m1!lay중YEDU3A07","YEDU3A07")</f>
        <v>YEDU3A07</v>
      </c>
      <c r="F1277" s="78">
        <v>1</v>
      </c>
      <c r="G1277" s="179" t="s">
        <v>105</v>
      </c>
      <c r="H1277" s="233">
        <v>1.9465532738921596</v>
      </c>
      <c r="I1277" s="327">
        <v>3.0189428124821127</v>
      </c>
      <c r="J1277" s="327">
        <v>1.3057625339215997E-2</v>
      </c>
      <c r="K1277" s="327">
        <v>0.43252310991874254</v>
      </c>
      <c r="L1277" s="233">
        <v>2.5040143782787796</v>
      </c>
      <c r="M1277" s="327">
        <v>2.9467841927546194</v>
      </c>
      <c r="N1277" s="327">
        <v>0.66575568521397699</v>
      </c>
      <c r="O1277" s="327">
        <v>1.3483356988021149E-2</v>
      </c>
      <c r="P1277" s="327">
        <v>0.4575617386971616</v>
      </c>
    </row>
    <row r="1278" spans="2:16" ht="18" customHeight="1">
      <c r="B1278" s="284"/>
      <c r="C1278" s="311"/>
      <c r="D1278" s="312"/>
      <c r="E1278" s="289"/>
      <c r="F1278" s="79">
        <v>2</v>
      </c>
      <c r="G1278" s="178" t="s">
        <v>106</v>
      </c>
      <c r="H1278" s="234">
        <v>15.302570527644221</v>
      </c>
      <c r="I1278" s="328"/>
      <c r="J1278" s="328"/>
      <c r="K1278" s="328"/>
      <c r="L1278" s="234">
        <v>17.442784908424638</v>
      </c>
      <c r="M1278" s="328">
        <v>2.9467841927546194</v>
      </c>
      <c r="N1278" s="328">
        <v>0.66575568521397699</v>
      </c>
      <c r="O1278" s="328">
        <v>1.3483356988021149E-2</v>
      </c>
      <c r="P1278" s="328">
        <v>0.4575617386971616</v>
      </c>
    </row>
    <row r="1279" spans="2:16" ht="18" customHeight="1">
      <c r="B1279" s="284"/>
      <c r="C1279" s="311"/>
      <c r="D1279" s="312"/>
      <c r="E1279" s="289"/>
      <c r="F1279" s="79">
        <v>3</v>
      </c>
      <c r="G1279" s="178" t="s">
        <v>107</v>
      </c>
      <c r="H1279" s="234">
        <v>61.660917874825103</v>
      </c>
      <c r="I1279" s="328"/>
      <c r="J1279" s="328"/>
      <c r="K1279" s="328"/>
      <c r="L1279" s="234">
        <v>62.923967772851711</v>
      </c>
      <c r="M1279" s="328">
        <v>2.9467841927546194</v>
      </c>
      <c r="N1279" s="328">
        <v>0.66575568521397699</v>
      </c>
      <c r="O1279" s="328">
        <v>1.3483356988021149E-2</v>
      </c>
      <c r="P1279" s="328">
        <v>0.4575617386971616</v>
      </c>
    </row>
    <row r="1280" spans="2:16" ht="18" customHeight="1">
      <c r="B1280" s="284"/>
      <c r="C1280" s="313"/>
      <c r="D1280" s="314"/>
      <c r="E1280" s="288"/>
      <c r="F1280" s="82">
        <v>4</v>
      </c>
      <c r="G1280" s="180" t="s">
        <v>108</v>
      </c>
      <c r="H1280" s="235">
        <v>21.089958323638527</v>
      </c>
      <c r="I1280" s="329"/>
      <c r="J1280" s="329"/>
      <c r="K1280" s="329"/>
      <c r="L1280" s="235">
        <v>17.129232940444851</v>
      </c>
      <c r="M1280" s="329">
        <v>2.9467841927546194</v>
      </c>
      <c r="N1280" s="329">
        <v>0.66575568521397699</v>
      </c>
      <c r="O1280" s="329">
        <v>1.3483356988021149E-2</v>
      </c>
      <c r="P1280" s="329">
        <v>0.4575617386971616</v>
      </c>
    </row>
    <row r="1281" spans="2:16" ht="18" customHeight="1">
      <c r="B1281" s="284"/>
      <c r="C1281" s="309" t="s">
        <v>296</v>
      </c>
      <c r="D1281" s="310"/>
      <c r="E1281" s="287" t="str">
        <f>HYPERLINK("#LAYOUT_m1!lay중YEDU3A08","YEDU3A08")</f>
        <v>YEDU3A08</v>
      </c>
      <c r="F1281" s="78">
        <v>1</v>
      </c>
      <c r="G1281" s="179" t="s">
        <v>105</v>
      </c>
      <c r="H1281" s="233">
        <v>2.2126424700025935</v>
      </c>
      <c r="I1281" s="327">
        <v>3.0960455755398848</v>
      </c>
      <c r="J1281" s="327">
        <v>1.2414944174028856E-2</v>
      </c>
      <c r="K1281" s="327">
        <v>0.40099358588621403</v>
      </c>
      <c r="L1281" s="233">
        <v>2.1605158505176369</v>
      </c>
      <c r="M1281" s="327">
        <v>2.9966912525977336</v>
      </c>
      <c r="N1281" s="327">
        <v>0.64220077147424304</v>
      </c>
      <c r="O1281" s="327">
        <v>1.3006306145154077E-2</v>
      </c>
      <c r="P1281" s="327">
        <v>0.43402222814510277</v>
      </c>
    </row>
    <row r="1282" spans="2:16" ht="18" customHeight="1">
      <c r="B1282" s="284"/>
      <c r="C1282" s="311"/>
      <c r="D1282" s="312"/>
      <c r="E1282" s="289"/>
      <c r="F1282" s="79">
        <v>2</v>
      </c>
      <c r="G1282" s="178" t="s">
        <v>106</v>
      </c>
      <c r="H1282" s="234">
        <v>8.973268530426175</v>
      </c>
      <c r="I1282" s="328"/>
      <c r="J1282" s="328"/>
      <c r="K1282" s="328"/>
      <c r="L1282" s="234">
        <v>14.2970705531575</v>
      </c>
      <c r="M1282" s="328">
        <v>2.9966912525977336</v>
      </c>
      <c r="N1282" s="328">
        <v>0.64220077147424304</v>
      </c>
      <c r="O1282" s="328">
        <v>1.3006306145154077E-2</v>
      </c>
      <c r="P1282" s="328">
        <v>0.43402222814510277</v>
      </c>
    </row>
    <row r="1283" spans="2:16" ht="18" customHeight="1">
      <c r="B1283" s="284"/>
      <c r="C1283" s="311"/>
      <c r="D1283" s="312"/>
      <c r="E1283" s="289"/>
      <c r="F1283" s="79">
        <v>3</v>
      </c>
      <c r="G1283" s="178" t="s">
        <v>107</v>
      </c>
      <c r="H1283" s="234">
        <v>65.810977975152497</v>
      </c>
      <c r="I1283" s="328"/>
      <c r="J1283" s="328"/>
      <c r="K1283" s="328"/>
      <c r="L1283" s="234">
        <v>65.255186082357426</v>
      </c>
      <c r="M1283" s="328">
        <v>2.9966912525977336</v>
      </c>
      <c r="N1283" s="328">
        <v>0.64220077147424304</v>
      </c>
      <c r="O1283" s="328">
        <v>1.3006306145154077E-2</v>
      </c>
      <c r="P1283" s="328">
        <v>0.43402222814510277</v>
      </c>
    </row>
    <row r="1284" spans="2:16" ht="18" customHeight="1">
      <c r="B1284" s="284"/>
      <c r="C1284" s="313"/>
      <c r="D1284" s="314"/>
      <c r="E1284" s="288"/>
      <c r="F1284" s="82">
        <v>4</v>
      </c>
      <c r="G1284" s="180" t="s">
        <v>108</v>
      </c>
      <c r="H1284" s="235">
        <v>23.003111024418736</v>
      </c>
      <c r="I1284" s="329"/>
      <c r="J1284" s="329"/>
      <c r="K1284" s="329"/>
      <c r="L1284" s="235">
        <v>18.287227513967419</v>
      </c>
      <c r="M1284" s="329">
        <v>2.9966912525977336</v>
      </c>
      <c r="N1284" s="329">
        <v>0.64220077147424304</v>
      </c>
      <c r="O1284" s="329">
        <v>1.3006306145154077E-2</v>
      </c>
      <c r="P1284" s="329">
        <v>0.43402222814510277</v>
      </c>
    </row>
    <row r="1285" spans="2:16" ht="18" customHeight="1">
      <c r="B1285" s="284"/>
      <c r="C1285" s="309" t="s">
        <v>297</v>
      </c>
      <c r="D1285" s="310"/>
      <c r="E1285" s="287" t="str">
        <f>HYPERLINK("#LAYOUT_m1!lay중YEDU3A09","YEDU3A09")</f>
        <v>YEDU3A09</v>
      </c>
      <c r="F1285" s="78">
        <v>1</v>
      </c>
      <c r="G1285" s="179" t="s">
        <v>105</v>
      </c>
      <c r="H1285" s="233">
        <v>2.9358188561796577</v>
      </c>
      <c r="I1285" s="327">
        <v>2.9713881293053244</v>
      </c>
      <c r="J1285" s="327">
        <v>1.3559233545017528E-2</v>
      </c>
      <c r="K1285" s="327">
        <v>0.45632657044327363</v>
      </c>
      <c r="L1285" s="233">
        <v>3.1300021531060325</v>
      </c>
      <c r="M1285" s="327">
        <v>2.8694399335686049</v>
      </c>
      <c r="N1285" s="327">
        <v>0.70605285568057596</v>
      </c>
      <c r="O1285" s="327">
        <v>1.4299483905260564E-2</v>
      </c>
      <c r="P1285" s="327">
        <v>0.49833710536943987</v>
      </c>
    </row>
    <row r="1286" spans="2:16" ht="18" customHeight="1">
      <c r="B1286" s="284"/>
      <c r="C1286" s="311"/>
      <c r="D1286" s="312"/>
      <c r="E1286" s="289"/>
      <c r="F1286" s="79">
        <v>2</v>
      </c>
      <c r="G1286" s="178" t="s">
        <v>106</v>
      </c>
      <c r="H1286" s="234">
        <v>16.463815738229794</v>
      </c>
      <c r="I1286" s="328"/>
      <c r="J1286" s="328"/>
      <c r="K1286" s="328"/>
      <c r="L1286" s="234">
        <v>22.905601398316207</v>
      </c>
      <c r="M1286" s="328">
        <v>2.8694399335686049</v>
      </c>
      <c r="N1286" s="328">
        <v>0.70605285568057596</v>
      </c>
      <c r="O1286" s="328">
        <v>1.4299483905260564E-2</v>
      </c>
      <c r="P1286" s="328">
        <v>0.49833710536943987</v>
      </c>
    </row>
    <row r="1287" spans="2:16" ht="18" customHeight="1">
      <c r="B1287" s="284"/>
      <c r="C1287" s="311"/>
      <c r="D1287" s="312"/>
      <c r="E1287" s="289"/>
      <c r="F1287" s="79">
        <v>3</v>
      </c>
      <c r="G1287" s="178" t="s">
        <v>107</v>
      </c>
      <c r="H1287" s="234">
        <v>61.12609902447025</v>
      </c>
      <c r="I1287" s="328"/>
      <c r="J1287" s="328"/>
      <c r="K1287" s="328"/>
      <c r="L1287" s="234">
        <v>57.854797387187851</v>
      </c>
      <c r="M1287" s="328">
        <v>2.8694399335686049</v>
      </c>
      <c r="N1287" s="328">
        <v>0.70605285568057596</v>
      </c>
      <c r="O1287" s="328">
        <v>1.4299483905260564E-2</v>
      </c>
      <c r="P1287" s="328">
        <v>0.49833710536943987</v>
      </c>
    </row>
    <row r="1288" spans="2:16" ht="18" customHeight="1">
      <c r="B1288" s="284"/>
      <c r="C1288" s="313"/>
      <c r="D1288" s="314"/>
      <c r="E1288" s="288"/>
      <c r="F1288" s="82">
        <v>4</v>
      </c>
      <c r="G1288" s="180" t="s">
        <v>108</v>
      </c>
      <c r="H1288" s="235">
        <v>19.47426638112028</v>
      </c>
      <c r="I1288" s="329"/>
      <c r="J1288" s="329"/>
      <c r="K1288" s="329"/>
      <c r="L1288" s="235">
        <v>16.109599061389904</v>
      </c>
      <c r="M1288" s="329">
        <v>2.8694399335686049</v>
      </c>
      <c r="N1288" s="329">
        <v>0.70605285568057596</v>
      </c>
      <c r="O1288" s="329">
        <v>1.4299483905260564E-2</v>
      </c>
      <c r="P1288" s="329">
        <v>0.49833710536943987</v>
      </c>
    </row>
    <row r="1289" spans="2:16" ht="18" customHeight="1">
      <c r="B1289" s="284"/>
      <c r="C1289" s="309" t="s">
        <v>298</v>
      </c>
      <c r="D1289" s="310"/>
      <c r="E1289" s="287" t="str">
        <f>HYPERLINK("#LAYOUT_m1!lay중YEDU3A10","YEDU3A10")</f>
        <v>YEDU3A10</v>
      </c>
      <c r="F1289" s="78">
        <v>1</v>
      </c>
      <c r="G1289" s="179" t="s">
        <v>105</v>
      </c>
      <c r="H1289" s="233">
        <v>2.4692062795584517</v>
      </c>
      <c r="I1289" s="327">
        <v>2.8587307535494513</v>
      </c>
      <c r="J1289" s="327">
        <v>1.3711334022480899E-2</v>
      </c>
      <c r="K1289" s="327">
        <v>0.47963012975099717</v>
      </c>
      <c r="L1289" s="233">
        <v>3.6382800927254193</v>
      </c>
      <c r="M1289" s="327">
        <v>2.768794015635613</v>
      </c>
      <c r="N1289" s="327">
        <v>0.71843754989287278</v>
      </c>
      <c r="O1289" s="327">
        <v>1.4550307528641577E-2</v>
      </c>
      <c r="P1289" s="327">
        <v>0.52551065360856641</v>
      </c>
    </row>
    <row r="1290" spans="2:16" ht="18" customHeight="1">
      <c r="B1290" s="284"/>
      <c r="C1290" s="311"/>
      <c r="D1290" s="312"/>
      <c r="E1290" s="289"/>
      <c r="F1290" s="79">
        <v>2</v>
      </c>
      <c r="G1290" s="178" t="s">
        <v>106</v>
      </c>
      <c r="H1290" s="234">
        <v>24.990381597002376</v>
      </c>
      <c r="I1290" s="328"/>
      <c r="J1290" s="328"/>
      <c r="K1290" s="328"/>
      <c r="L1290" s="234">
        <v>29.115309382680959</v>
      </c>
      <c r="M1290" s="328">
        <v>2.768794015635613</v>
      </c>
      <c r="N1290" s="328">
        <v>0.71843754989287278</v>
      </c>
      <c r="O1290" s="328">
        <v>1.4550307528641577E-2</v>
      </c>
      <c r="P1290" s="328">
        <v>0.52551065360856641</v>
      </c>
    </row>
    <row r="1291" spans="2:16" ht="18" customHeight="1">
      <c r="B1291" s="284"/>
      <c r="C1291" s="311"/>
      <c r="D1291" s="312"/>
      <c r="E1291" s="289"/>
      <c r="F1291" s="79">
        <v>3</v>
      </c>
      <c r="G1291" s="178" t="s">
        <v>107</v>
      </c>
      <c r="H1291" s="234">
        <v>56.738542612375895</v>
      </c>
      <c r="I1291" s="328"/>
      <c r="J1291" s="328"/>
      <c r="K1291" s="328"/>
      <c r="L1291" s="234">
        <v>53.975139392899891</v>
      </c>
      <c r="M1291" s="328">
        <v>2.768794015635613</v>
      </c>
      <c r="N1291" s="328">
        <v>0.71843754989287278</v>
      </c>
      <c r="O1291" s="328">
        <v>1.4550307528641577E-2</v>
      </c>
      <c r="P1291" s="328">
        <v>0.52551065360856641</v>
      </c>
    </row>
    <row r="1292" spans="2:16" ht="18" customHeight="1">
      <c r="B1292" s="284"/>
      <c r="C1292" s="313"/>
      <c r="D1292" s="314"/>
      <c r="E1292" s="288"/>
      <c r="F1292" s="82">
        <v>4</v>
      </c>
      <c r="G1292" s="180" t="s">
        <v>108</v>
      </c>
      <c r="H1292" s="235">
        <v>15.801869511063297</v>
      </c>
      <c r="I1292" s="329"/>
      <c r="J1292" s="329"/>
      <c r="K1292" s="329"/>
      <c r="L1292" s="235">
        <v>13.271271131693743</v>
      </c>
      <c r="M1292" s="329">
        <v>2.768794015635613</v>
      </c>
      <c r="N1292" s="329">
        <v>0.71843754989287278</v>
      </c>
      <c r="O1292" s="329">
        <v>1.4550307528641577E-2</v>
      </c>
      <c r="P1292" s="329">
        <v>0.52551065360856641</v>
      </c>
    </row>
    <row r="1293" spans="2:16" ht="18" customHeight="1">
      <c r="B1293" s="284"/>
      <c r="C1293" s="309" t="s">
        <v>299</v>
      </c>
      <c r="D1293" s="310"/>
      <c r="E1293" s="287" t="str">
        <f>HYPERLINK("#LAYOUT_m1!lay중YEDU3A11","YEDU3A11")</f>
        <v>YEDU3A11</v>
      </c>
      <c r="F1293" s="78">
        <v>1</v>
      </c>
      <c r="G1293" s="179" t="s">
        <v>105</v>
      </c>
      <c r="H1293" s="233">
        <v>8.5259254507059001</v>
      </c>
      <c r="I1293" s="327">
        <v>2.5600793694197779</v>
      </c>
      <c r="J1293" s="327">
        <v>1.5712952886391622E-2</v>
      </c>
      <c r="K1293" s="327">
        <v>0.61376819305226615</v>
      </c>
      <c r="L1293" s="233">
        <v>7.6403877189465144</v>
      </c>
      <c r="M1293" s="327">
        <v>2.5535792688837913</v>
      </c>
      <c r="N1293" s="327">
        <v>0.77497988853381483</v>
      </c>
      <c r="O1293" s="327">
        <v>1.569544312983193E-2</v>
      </c>
      <c r="P1293" s="327">
        <v>0.61464483680166493</v>
      </c>
    </row>
    <row r="1294" spans="2:16" ht="18" customHeight="1">
      <c r="B1294" s="284"/>
      <c r="C1294" s="311"/>
      <c r="D1294" s="312"/>
      <c r="E1294" s="289"/>
      <c r="F1294" s="79">
        <v>2</v>
      </c>
      <c r="G1294" s="178" t="s">
        <v>106</v>
      </c>
      <c r="H1294" s="234">
        <v>38.055565442068549</v>
      </c>
      <c r="I1294" s="328"/>
      <c r="J1294" s="328"/>
      <c r="K1294" s="328"/>
      <c r="L1294" s="234">
        <v>39.381820892328506</v>
      </c>
      <c r="M1294" s="328">
        <v>2.5535792688837913</v>
      </c>
      <c r="N1294" s="328">
        <v>0.77497988853381483</v>
      </c>
      <c r="O1294" s="328">
        <v>1.569544312983193E-2</v>
      </c>
      <c r="P1294" s="328">
        <v>0.61464483680166493</v>
      </c>
    </row>
    <row r="1295" spans="2:16" ht="18" customHeight="1">
      <c r="B1295" s="284"/>
      <c r="C1295" s="311"/>
      <c r="D1295" s="312"/>
      <c r="E1295" s="289"/>
      <c r="F1295" s="79">
        <v>3</v>
      </c>
      <c r="G1295" s="178" t="s">
        <v>107</v>
      </c>
      <c r="H1295" s="234">
        <v>42.30315582176793</v>
      </c>
      <c r="I1295" s="328"/>
      <c r="J1295" s="328"/>
      <c r="K1295" s="328"/>
      <c r="L1295" s="234">
        <v>42.957268170123456</v>
      </c>
      <c r="M1295" s="328">
        <v>2.5535792688837913</v>
      </c>
      <c r="N1295" s="328">
        <v>0.77497988853381483</v>
      </c>
      <c r="O1295" s="328">
        <v>1.569544312983193E-2</v>
      </c>
      <c r="P1295" s="328">
        <v>0.61464483680166493</v>
      </c>
    </row>
    <row r="1296" spans="2:16" ht="18" customHeight="1">
      <c r="B1296" s="284"/>
      <c r="C1296" s="313"/>
      <c r="D1296" s="314"/>
      <c r="E1296" s="288"/>
      <c r="F1296" s="82">
        <v>4</v>
      </c>
      <c r="G1296" s="180" t="s">
        <v>108</v>
      </c>
      <c r="H1296" s="235">
        <v>11.115353285457644</v>
      </c>
      <c r="I1296" s="329"/>
      <c r="J1296" s="329"/>
      <c r="K1296" s="329"/>
      <c r="L1296" s="235">
        <v>10.0205232186015</v>
      </c>
      <c r="M1296" s="329">
        <v>2.5535792688837913</v>
      </c>
      <c r="N1296" s="329">
        <v>0.77497988853381483</v>
      </c>
      <c r="O1296" s="329">
        <v>1.569544312983193E-2</v>
      </c>
      <c r="P1296" s="329">
        <v>0.61464483680166493</v>
      </c>
    </row>
    <row r="1297" spans="2:16" ht="18" customHeight="1">
      <c r="B1297" s="284"/>
      <c r="C1297" s="309" t="s">
        <v>300</v>
      </c>
      <c r="D1297" s="310"/>
      <c r="E1297" s="287" t="str">
        <f>HYPERLINK("#LAYOUT_m1!lay중YEDU3A12","YEDU3A12")</f>
        <v>YEDU3A12</v>
      </c>
      <c r="F1297" s="78">
        <v>1</v>
      </c>
      <c r="G1297" s="179" t="s">
        <v>105</v>
      </c>
      <c r="H1297" s="233">
        <v>6.9429142582497549</v>
      </c>
      <c r="I1297" s="327">
        <v>2.6287035796453484</v>
      </c>
      <c r="J1297" s="327">
        <v>1.512412606128619E-2</v>
      </c>
      <c r="K1297" s="327">
        <v>0.57534543561304285</v>
      </c>
      <c r="L1297" s="233">
        <v>6.1712995458235982</v>
      </c>
      <c r="M1297" s="327">
        <v>2.6293254242146604</v>
      </c>
      <c r="N1297" s="327">
        <v>0.7410544688608085</v>
      </c>
      <c r="O1297" s="327">
        <v>1.500836143518209E-2</v>
      </c>
      <c r="P1297" s="327">
        <v>0.57080653832208139</v>
      </c>
    </row>
    <row r="1298" spans="2:16" ht="18" customHeight="1">
      <c r="B1298" s="284"/>
      <c r="C1298" s="311"/>
      <c r="D1298" s="312"/>
      <c r="E1298" s="289"/>
      <c r="F1298" s="79">
        <v>2</v>
      </c>
      <c r="G1298" s="178" t="s">
        <v>106</v>
      </c>
      <c r="H1298" s="234">
        <v>34.239417862675609</v>
      </c>
      <c r="I1298" s="328"/>
      <c r="J1298" s="328"/>
      <c r="K1298" s="328"/>
      <c r="L1298" s="234">
        <v>34.336635953757792</v>
      </c>
      <c r="M1298" s="328">
        <v>2.6293254242146604</v>
      </c>
      <c r="N1298" s="328">
        <v>0.7410544688608085</v>
      </c>
      <c r="O1298" s="328">
        <v>1.500836143518209E-2</v>
      </c>
      <c r="P1298" s="328">
        <v>0.57080653832208139</v>
      </c>
    </row>
    <row r="1299" spans="2:16" ht="18" customHeight="1">
      <c r="B1299" s="284"/>
      <c r="C1299" s="311"/>
      <c r="D1299" s="312"/>
      <c r="E1299" s="289"/>
      <c r="F1299" s="79">
        <v>3</v>
      </c>
      <c r="G1299" s="178" t="s">
        <v>107</v>
      </c>
      <c r="H1299" s="234">
        <v>47.822063535364997</v>
      </c>
      <c r="I1299" s="328"/>
      <c r="J1299" s="328"/>
      <c r="K1299" s="328"/>
      <c r="L1299" s="234">
        <v>49.880287033546942</v>
      </c>
      <c r="M1299" s="328">
        <v>2.6293254242146604</v>
      </c>
      <c r="N1299" s="328">
        <v>0.7410544688608085</v>
      </c>
      <c r="O1299" s="328">
        <v>1.500836143518209E-2</v>
      </c>
      <c r="P1299" s="328">
        <v>0.57080653832208139</v>
      </c>
    </row>
    <row r="1300" spans="2:16" ht="18" customHeight="1">
      <c r="B1300" s="284"/>
      <c r="C1300" s="313"/>
      <c r="D1300" s="314"/>
      <c r="E1300" s="288"/>
      <c r="F1300" s="82">
        <v>4</v>
      </c>
      <c r="G1300" s="180" t="s">
        <v>108</v>
      </c>
      <c r="H1300" s="235">
        <v>10.99560434370968</v>
      </c>
      <c r="I1300" s="329"/>
      <c r="J1300" s="329"/>
      <c r="K1300" s="329"/>
      <c r="L1300" s="235">
        <v>9.6117774668716418</v>
      </c>
      <c r="M1300" s="329">
        <v>2.6293254242146604</v>
      </c>
      <c r="N1300" s="329">
        <v>0.7410544688608085</v>
      </c>
      <c r="O1300" s="329">
        <v>1.500836143518209E-2</v>
      </c>
      <c r="P1300" s="329">
        <v>0.57080653832208139</v>
      </c>
    </row>
    <row r="1301" spans="2:16" ht="18" customHeight="1">
      <c r="B1301" s="284"/>
      <c r="C1301" s="309" t="s">
        <v>301</v>
      </c>
      <c r="D1301" s="310"/>
      <c r="E1301" s="287" t="str">
        <f>HYPERLINK("#LAYOUT_m1!lay중YEDU3A13","YEDU3A13")</f>
        <v>YEDU3A13</v>
      </c>
      <c r="F1301" s="78">
        <v>1</v>
      </c>
      <c r="G1301" s="179" t="s">
        <v>105</v>
      </c>
      <c r="H1301" s="233">
        <v>3.9186696885843193</v>
      </c>
      <c r="I1301" s="327">
        <v>2.8273687941966004</v>
      </c>
      <c r="J1301" s="327">
        <v>1.439248872446287E-2</v>
      </c>
      <c r="K1301" s="327">
        <v>0.50904179016209694</v>
      </c>
      <c r="L1301" s="233">
        <v>4.3007351956506792</v>
      </c>
      <c r="M1301" s="327">
        <v>2.7704719846944026</v>
      </c>
      <c r="N1301" s="327">
        <v>0.71986667735337051</v>
      </c>
      <c r="O1301" s="327">
        <v>1.4579251233005252E-2</v>
      </c>
      <c r="P1301" s="327">
        <v>0.52623709294116638</v>
      </c>
    </row>
    <row r="1302" spans="2:16" ht="18" customHeight="1">
      <c r="B1302" s="284"/>
      <c r="C1302" s="311"/>
      <c r="D1302" s="312"/>
      <c r="E1302" s="289"/>
      <c r="F1302" s="79">
        <v>2</v>
      </c>
      <c r="G1302" s="178" t="s">
        <v>106</v>
      </c>
      <c r="H1302" s="234">
        <v>25.180383951741778</v>
      </c>
      <c r="I1302" s="328"/>
      <c r="J1302" s="328"/>
      <c r="K1302" s="328"/>
      <c r="L1302" s="234">
        <v>27.108124598697064</v>
      </c>
      <c r="M1302" s="328">
        <v>2.7704719846944026</v>
      </c>
      <c r="N1302" s="328">
        <v>0.71986667735337051</v>
      </c>
      <c r="O1302" s="328">
        <v>1.4579251233005252E-2</v>
      </c>
      <c r="P1302" s="328">
        <v>0.52623709294116638</v>
      </c>
    </row>
    <row r="1303" spans="2:16" ht="18" customHeight="1">
      <c r="B1303" s="284"/>
      <c r="C1303" s="311"/>
      <c r="D1303" s="312"/>
      <c r="E1303" s="289"/>
      <c r="F1303" s="79">
        <v>3</v>
      </c>
      <c r="G1303" s="178" t="s">
        <v>107</v>
      </c>
      <c r="H1303" s="234">
        <v>55.146343611104392</v>
      </c>
      <c r="I1303" s="328"/>
      <c r="J1303" s="328"/>
      <c r="K1303" s="328"/>
      <c r="L1303" s="234">
        <v>55.834346746213136</v>
      </c>
      <c r="M1303" s="328">
        <v>2.7704719846944026</v>
      </c>
      <c r="N1303" s="328">
        <v>0.71986667735337051</v>
      </c>
      <c r="O1303" s="328">
        <v>1.4579251233005252E-2</v>
      </c>
      <c r="P1303" s="328">
        <v>0.52623709294116638</v>
      </c>
    </row>
    <row r="1304" spans="2:16" ht="18" customHeight="1">
      <c r="B1304" s="284"/>
      <c r="C1304" s="313"/>
      <c r="D1304" s="314"/>
      <c r="E1304" s="288"/>
      <c r="F1304" s="82">
        <v>4</v>
      </c>
      <c r="G1304" s="180" t="s">
        <v>108</v>
      </c>
      <c r="H1304" s="235">
        <v>15.754602748569503</v>
      </c>
      <c r="I1304" s="329"/>
      <c r="J1304" s="329"/>
      <c r="K1304" s="329"/>
      <c r="L1304" s="235">
        <v>12.756793459439155</v>
      </c>
      <c r="M1304" s="329">
        <v>2.7704719846944026</v>
      </c>
      <c r="N1304" s="329">
        <v>0.71986667735337051</v>
      </c>
      <c r="O1304" s="329">
        <v>1.4579251233005252E-2</v>
      </c>
      <c r="P1304" s="329">
        <v>0.52623709294116638</v>
      </c>
    </row>
    <row r="1305" spans="2:16" ht="18" customHeight="1">
      <c r="B1305" s="284"/>
      <c r="C1305" s="309" t="s">
        <v>302</v>
      </c>
      <c r="D1305" s="310"/>
      <c r="E1305" s="287" t="str">
        <f>HYPERLINK("#LAYOUT_m1!lay중YEDU3A14","YEDU3A14")</f>
        <v>YEDU3A14</v>
      </c>
      <c r="F1305" s="78">
        <v>1</v>
      </c>
      <c r="G1305" s="179" t="s">
        <v>105</v>
      </c>
      <c r="H1305" s="233">
        <v>3.920973961361744</v>
      </c>
      <c r="I1305" s="327">
        <v>2.7955846576380461</v>
      </c>
      <c r="J1305" s="327">
        <v>1.4686342013011399E-2</v>
      </c>
      <c r="K1305" s="327">
        <v>0.52534062858320696</v>
      </c>
      <c r="L1305" s="233">
        <v>3.9960733079031439</v>
      </c>
      <c r="M1305" s="327">
        <v>2.7900047519489006</v>
      </c>
      <c r="N1305" s="327">
        <v>0.71913067075028869</v>
      </c>
      <c r="O1305" s="327">
        <v>1.4564345104533062E-2</v>
      </c>
      <c r="P1305" s="327">
        <v>0.52201864869081105</v>
      </c>
    </row>
    <row r="1306" spans="2:16" ht="18" customHeight="1">
      <c r="B1306" s="284"/>
      <c r="C1306" s="311"/>
      <c r="D1306" s="312"/>
      <c r="E1306" s="289"/>
      <c r="F1306" s="79">
        <v>2</v>
      </c>
      <c r="G1306" s="178" t="s">
        <v>106</v>
      </c>
      <c r="H1306" s="234">
        <v>28.468021514721723</v>
      </c>
      <c r="I1306" s="328"/>
      <c r="J1306" s="328"/>
      <c r="K1306" s="328"/>
      <c r="L1306" s="234">
        <v>26.563282762318593</v>
      </c>
      <c r="M1306" s="328">
        <v>2.7900047519489006</v>
      </c>
      <c r="N1306" s="328">
        <v>0.71913067075028869</v>
      </c>
      <c r="O1306" s="328">
        <v>1.4564345104533062E-2</v>
      </c>
      <c r="P1306" s="328">
        <v>0.52201864869081105</v>
      </c>
    </row>
    <row r="1307" spans="2:16" ht="18" customHeight="1">
      <c r="B1307" s="284"/>
      <c r="C1307" s="311"/>
      <c r="D1307" s="312"/>
      <c r="E1307" s="289"/>
      <c r="F1307" s="79">
        <v>3</v>
      </c>
      <c r="G1307" s="178" t="s">
        <v>107</v>
      </c>
      <c r="H1307" s="234">
        <v>51.742569322667848</v>
      </c>
      <c r="I1307" s="328"/>
      <c r="J1307" s="328"/>
      <c r="K1307" s="328"/>
      <c r="L1307" s="234">
        <v>55.884739356762203</v>
      </c>
      <c r="M1307" s="328">
        <v>2.7900047519489006</v>
      </c>
      <c r="N1307" s="328">
        <v>0.71913067075028869</v>
      </c>
      <c r="O1307" s="328">
        <v>1.4564345104533062E-2</v>
      </c>
      <c r="P1307" s="328">
        <v>0.52201864869081105</v>
      </c>
    </row>
    <row r="1308" spans="2:16" ht="18" customHeight="1">
      <c r="B1308" s="286"/>
      <c r="C1308" s="313"/>
      <c r="D1308" s="314"/>
      <c r="E1308" s="288"/>
      <c r="F1308" s="82">
        <v>4</v>
      </c>
      <c r="G1308" s="180" t="s">
        <v>108</v>
      </c>
      <c r="H1308" s="235">
        <v>15.868435201248698</v>
      </c>
      <c r="I1308" s="329"/>
      <c r="J1308" s="329"/>
      <c r="K1308" s="329"/>
      <c r="L1308" s="235">
        <v>13.555904573016077</v>
      </c>
      <c r="M1308" s="329">
        <v>2.7900047519489006</v>
      </c>
      <c r="N1308" s="329">
        <v>0.71913067075028869</v>
      </c>
      <c r="O1308" s="329">
        <v>1.4564345104533062E-2</v>
      </c>
      <c r="P1308" s="329">
        <v>0.52201864869081105</v>
      </c>
    </row>
    <row r="1309" spans="2:16" ht="18" customHeight="1">
      <c r="B1309" s="282" t="s">
        <v>416</v>
      </c>
      <c r="C1309" s="309" t="s">
        <v>417</v>
      </c>
      <c r="D1309" s="310"/>
      <c r="E1309" s="287" t="str">
        <f>HYPERLINK("#LAYOUT_m1!lay중YDLQ1A01","YDLQ1A01")</f>
        <v>YDLQ1A01</v>
      </c>
      <c r="F1309" s="78">
        <v>1</v>
      </c>
      <c r="G1309" s="179" t="s">
        <v>418</v>
      </c>
      <c r="H1309" s="233">
        <v>98.743369661867376</v>
      </c>
      <c r="I1309" s="327"/>
      <c r="J1309" s="327"/>
      <c r="K1309" s="327"/>
      <c r="L1309" s="233">
        <v>96.486521771755008</v>
      </c>
      <c r="M1309" s="327"/>
      <c r="N1309" s="327"/>
      <c r="O1309" s="327"/>
      <c r="P1309" s="327"/>
    </row>
    <row r="1310" spans="2:16" ht="18" customHeight="1">
      <c r="B1310" s="284"/>
      <c r="C1310" s="311"/>
      <c r="D1310" s="312"/>
      <c r="E1310" s="289"/>
      <c r="F1310" s="79">
        <v>2</v>
      </c>
      <c r="G1310" s="178" t="s">
        <v>345</v>
      </c>
      <c r="H1310" s="234">
        <v>0.68960151716279006</v>
      </c>
      <c r="I1310" s="328"/>
      <c r="J1310" s="328"/>
      <c r="K1310" s="328"/>
      <c r="L1310" s="234">
        <v>1.176152729561396</v>
      </c>
      <c r="M1310" s="328"/>
      <c r="N1310" s="328"/>
      <c r="O1310" s="328"/>
      <c r="P1310" s="328"/>
    </row>
    <row r="1311" spans="2:16" ht="18" customHeight="1">
      <c r="B1311" s="284"/>
      <c r="C1311" s="311"/>
      <c r="D1311" s="312"/>
      <c r="E1311" s="289"/>
      <c r="F1311" s="79">
        <v>3</v>
      </c>
      <c r="G1311" s="178" t="s">
        <v>419</v>
      </c>
      <c r="H1311" s="234">
        <v>9.7559037202729126E-2</v>
      </c>
      <c r="I1311" s="328"/>
      <c r="J1311" s="328"/>
      <c r="K1311" s="328"/>
      <c r="L1311" s="234">
        <v>0.3506685586525714</v>
      </c>
      <c r="M1311" s="328"/>
      <c r="N1311" s="328"/>
      <c r="O1311" s="328"/>
      <c r="P1311" s="328"/>
    </row>
    <row r="1312" spans="2:16" ht="18" customHeight="1">
      <c r="B1312" s="284"/>
      <c r="C1312" s="311"/>
      <c r="D1312" s="312"/>
      <c r="E1312" s="289"/>
      <c r="F1312" s="79">
        <v>4</v>
      </c>
      <c r="G1312" s="178" t="s">
        <v>347</v>
      </c>
      <c r="H1312" s="234">
        <v>0.26619168280322808</v>
      </c>
      <c r="I1312" s="328"/>
      <c r="J1312" s="328"/>
      <c r="K1312" s="328"/>
      <c r="L1312" s="234">
        <v>0.88129192451831317</v>
      </c>
      <c r="M1312" s="328"/>
      <c r="N1312" s="328"/>
      <c r="O1312" s="328"/>
      <c r="P1312" s="328"/>
    </row>
    <row r="1313" spans="2:16" ht="18" customHeight="1">
      <c r="B1313" s="284"/>
      <c r="C1313" s="311"/>
      <c r="D1313" s="312"/>
      <c r="E1313" s="289"/>
      <c r="F1313" s="79">
        <v>5</v>
      </c>
      <c r="G1313" s="178" t="s">
        <v>348</v>
      </c>
      <c r="H1313" s="234">
        <v>9.0114380063164398E-2</v>
      </c>
      <c r="I1313" s="328"/>
      <c r="J1313" s="328"/>
      <c r="K1313" s="328"/>
      <c r="L1313" s="234">
        <v>0.69844173685468081</v>
      </c>
      <c r="M1313" s="328"/>
      <c r="N1313" s="328"/>
      <c r="O1313" s="328"/>
      <c r="P1313" s="328"/>
    </row>
    <row r="1314" spans="2:16" ht="18" customHeight="1">
      <c r="B1314" s="284"/>
      <c r="C1314" s="313"/>
      <c r="D1314" s="314"/>
      <c r="E1314" s="288"/>
      <c r="F1314" s="82">
        <v>6</v>
      </c>
      <c r="G1314" s="180" t="s">
        <v>349</v>
      </c>
      <c r="H1314" s="235">
        <v>0.11316372090070816</v>
      </c>
      <c r="I1314" s="329"/>
      <c r="J1314" s="329"/>
      <c r="K1314" s="329"/>
      <c r="L1314" s="235">
        <v>0.40692327865801636</v>
      </c>
      <c r="M1314" s="329"/>
      <c r="N1314" s="329"/>
      <c r="O1314" s="329"/>
      <c r="P1314" s="329"/>
    </row>
    <row r="1315" spans="2:16" ht="18" customHeight="1">
      <c r="B1315" s="284"/>
      <c r="C1315" s="309" t="s">
        <v>420</v>
      </c>
      <c r="D1315" s="310"/>
      <c r="E1315" s="287" t="str">
        <f>HYPERLINK("#LAYOUT_m1!lay중YDLQ1A02","YDLQ1A02")</f>
        <v>YDLQ1A02</v>
      </c>
      <c r="F1315" s="78">
        <v>1</v>
      </c>
      <c r="G1315" s="179" t="s">
        <v>418</v>
      </c>
      <c r="H1315" s="233">
        <v>96.021106433521581</v>
      </c>
      <c r="I1315" s="327"/>
      <c r="J1315" s="327"/>
      <c r="K1315" s="327"/>
      <c r="L1315" s="233">
        <v>94.627453870902784</v>
      </c>
      <c r="M1315" s="327"/>
      <c r="N1315" s="327"/>
      <c r="O1315" s="327"/>
      <c r="P1315" s="327"/>
    </row>
    <row r="1316" spans="2:16" ht="18" customHeight="1">
      <c r="B1316" s="284"/>
      <c r="C1316" s="311"/>
      <c r="D1316" s="312"/>
      <c r="E1316" s="289"/>
      <c r="F1316" s="79">
        <v>2</v>
      </c>
      <c r="G1316" s="178" t="s">
        <v>345</v>
      </c>
      <c r="H1316" s="234">
        <v>3.1043699738597992</v>
      </c>
      <c r="I1316" s="328"/>
      <c r="J1316" s="328"/>
      <c r="K1316" s="328"/>
      <c r="L1316" s="234">
        <v>3.0648748809069324</v>
      </c>
      <c r="M1316" s="328"/>
      <c r="N1316" s="328"/>
      <c r="O1316" s="328"/>
      <c r="P1316" s="328"/>
    </row>
    <row r="1317" spans="2:16" ht="18" customHeight="1">
      <c r="B1317" s="284"/>
      <c r="C1317" s="311"/>
      <c r="D1317" s="312"/>
      <c r="E1317" s="289"/>
      <c r="F1317" s="79">
        <v>3</v>
      </c>
      <c r="G1317" s="178" t="s">
        <v>419</v>
      </c>
      <c r="H1317" s="234">
        <v>0.52859176838469746</v>
      </c>
      <c r="I1317" s="328"/>
      <c r="J1317" s="328"/>
      <c r="K1317" s="328"/>
      <c r="L1317" s="234">
        <v>1.2139763433777344</v>
      </c>
      <c r="M1317" s="328"/>
      <c r="N1317" s="328"/>
      <c r="O1317" s="328"/>
      <c r="P1317" s="328"/>
    </row>
    <row r="1318" spans="2:16" ht="18" customHeight="1">
      <c r="B1318" s="284"/>
      <c r="C1318" s="311"/>
      <c r="D1318" s="312"/>
      <c r="E1318" s="289"/>
      <c r="F1318" s="79">
        <v>4</v>
      </c>
      <c r="G1318" s="178" t="s">
        <v>347</v>
      </c>
      <c r="H1318" s="234">
        <v>0.21707911876841995</v>
      </c>
      <c r="I1318" s="328"/>
      <c r="J1318" s="328"/>
      <c r="K1318" s="328"/>
      <c r="L1318" s="234">
        <v>0.8501390471400404</v>
      </c>
      <c r="M1318" s="328"/>
      <c r="N1318" s="328"/>
      <c r="O1318" s="328"/>
      <c r="P1318" s="328"/>
    </row>
    <row r="1319" spans="2:16" ht="18" customHeight="1">
      <c r="B1319" s="284"/>
      <c r="C1319" s="311"/>
      <c r="D1319" s="312"/>
      <c r="E1319" s="289"/>
      <c r="F1319" s="79">
        <v>5</v>
      </c>
      <c r="G1319" s="178" t="s">
        <v>348</v>
      </c>
      <c r="H1319" s="234">
        <v>0.12885270546550098</v>
      </c>
      <c r="I1319" s="328"/>
      <c r="J1319" s="328"/>
      <c r="K1319" s="328"/>
      <c r="L1319" s="234">
        <v>0.21282730419532775</v>
      </c>
      <c r="M1319" s="328"/>
      <c r="N1319" s="328"/>
      <c r="O1319" s="328"/>
      <c r="P1319" s="328"/>
    </row>
    <row r="1320" spans="2:16" ht="18" customHeight="1">
      <c r="B1320" s="284"/>
      <c r="C1320" s="313"/>
      <c r="D1320" s="314"/>
      <c r="E1320" s="288"/>
      <c r="F1320" s="82">
        <v>6</v>
      </c>
      <c r="G1320" s="180" t="s">
        <v>349</v>
      </c>
      <c r="H1320" s="235">
        <v>0</v>
      </c>
      <c r="I1320" s="329"/>
      <c r="J1320" s="329"/>
      <c r="K1320" s="329"/>
      <c r="L1320" s="235">
        <v>3.0728553477175975E-2</v>
      </c>
      <c r="M1320" s="329"/>
      <c r="N1320" s="329"/>
      <c r="O1320" s="329"/>
      <c r="P1320" s="329"/>
    </row>
    <row r="1321" spans="2:16" ht="18" customHeight="1">
      <c r="B1321" s="284"/>
      <c r="C1321" s="309" t="s">
        <v>421</v>
      </c>
      <c r="D1321" s="310"/>
      <c r="E1321" s="287" t="str">
        <f>HYPERLINK("#LAYOUT_m1!lay중YDLQ1A03","YDLQ1A03")</f>
        <v>YDLQ1A03</v>
      </c>
      <c r="F1321" s="78">
        <v>1</v>
      </c>
      <c r="G1321" s="179" t="s">
        <v>418</v>
      </c>
      <c r="H1321" s="233">
        <v>98.256888486872811</v>
      </c>
      <c r="I1321" s="327"/>
      <c r="J1321" s="327"/>
      <c r="K1321" s="327"/>
      <c r="L1321" s="233">
        <v>97.366724351869195</v>
      </c>
      <c r="M1321" s="327"/>
      <c r="N1321" s="327"/>
      <c r="O1321" s="327"/>
      <c r="P1321" s="327"/>
    </row>
    <row r="1322" spans="2:16" ht="18" customHeight="1">
      <c r="B1322" s="284"/>
      <c r="C1322" s="311"/>
      <c r="D1322" s="312"/>
      <c r="E1322" s="289"/>
      <c r="F1322" s="79">
        <v>2</v>
      </c>
      <c r="G1322" s="178" t="s">
        <v>345</v>
      </c>
      <c r="H1322" s="234">
        <v>1.4816872565434573</v>
      </c>
      <c r="I1322" s="328"/>
      <c r="J1322" s="328"/>
      <c r="K1322" s="328"/>
      <c r="L1322" s="234">
        <v>1.0267519342434124</v>
      </c>
      <c r="M1322" s="328"/>
      <c r="N1322" s="328"/>
      <c r="O1322" s="328"/>
      <c r="P1322" s="328"/>
    </row>
    <row r="1323" spans="2:16" ht="18" customHeight="1">
      <c r="B1323" s="284"/>
      <c r="C1323" s="311"/>
      <c r="D1323" s="312"/>
      <c r="E1323" s="289"/>
      <c r="F1323" s="79">
        <v>3</v>
      </c>
      <c r="G1323" s="178" t="s">
        <v>419</v>
      </c>
      <c r="H1323" s="234">
        <v>5.1706633066068673E-2</v>
      </c>
      <c r="I1323" s="328"/>
      <c r="J1323" s="328"/>
      <c r="K1323" s="328"/>
      <c r="L1323" s="234">
        <v>0.44260399818113955</v>
      </c>
      <c r="M1323" s="328"/>
      <c r="N1323" s="328"/>
      <c r="O1323" s="328"/>
      <c r="P1323" s="328"/>
    </row>
    <row r="1324" spans="2:16" ht="18" customHeight="1">
      <c r="B1324" s="284"/>
      <c r="C1324" s="311"/>
      <c r="D1324" s="312"/>
      <c r="E1324" s="289"/>
      <c r="F1324" s="79">
        <v>4</v>
      </c>
      <c r="G1324" s="178" t="s">
        <v>347</v>
      </c>
      <c r="H1324" s="234">
        <v>6.5878013073042599E-2</v>
      </c>
      <c r="I1324" s="328"/>
      <c r="J1324" s="328"/>
      <c r="K1324" s="328"/>
      <c r="L1324" s="234">
        <v>1.0634890125395344</v>
      </c>
      <c r="M1324" s="328"/>
      <c r="N1324" s="328"/>
      <c r="O1324" s="328"/>
      <c r="P1324" s="328"/>
    </row>
    <row r="1325" spans="2:16" ht="18" customHeight="1">
      <c r="B1325" s="284"/>
      <c r="C1325" s="311"/>
      <c r="D1325" s="312"/>
      <c r="E1325" s="289"/>
      <c r="F1325" s="79">
        <v>5</v>
      </c>
      <c r="G1325" s="178" t="s">
        <v>348</v>
      </c>
      <c r="H1325" s="234">
        <v>7.8543194824544693E-2</v>
      </c>
      <c r="I1325" s="328"/>
      <c r="J1325" s="328"/>
      <c r="K1325" s="328"/>
      <c r="L1325" s="234">
        <v>6.9061608907147826E-2</v>
      </c>
      <c r="M1325" s="328"/>
      <c r="N1325" s="328"/>
      <c r="O1325" s="328"/>
      <c r="P1325" s="328"/>
    </row>
    <row r="1326" spans="2:16" ht="18" customHeight="1">
      <c r="B1326" s="284"/>
      <c r="C1326" s="313"/>
      <c r="D1326" s="314"/>
      <c r="E1326" s="288"/>
      <c r="F1326" s="82">
        <v>6</v>
      </c>
      <c r="G1326" s="180" t="s">
        <v>349</v>
      </c>
      <c r="H1326" s="235">
        <v>6.529641562006859E-2</v>
      </c>
      <c r="I1326" s="329"/>
      <c r="J1326" s="329"/>
      <c r="K1326" s="329"/>
      <c r="L1326" s="235">
        <v>3.136909425958994E-2</v>
      </c>
      <c r="M1326" s="329"/>
      <c r="N1326" s="329"/>
      <c r="O1326" s="329"/>
      <c r="P1326" s="329"/>
    </row>
    <row r="1327" spans="2:16" ht="18" customHeight="1">
      <c r="B1327" s="284"/>
      <c r="C1327" s="309" t="s">
        <v>422</v>
      </c>
      <c r="D1327" s="310"/>
      <c r="E1327" s="287" t="str">
        <f>HYPERLINK("#LAYOUT_m1!lay중YDLQ1A04","YDLQ1A04")</f>
        <v>YDLQ1A04</v>
      </c>
      <c r="F1327" s="78">
        <v>1</v>
      </c>
      <c r="G1327" s="179" t="s">
        <v>418</v>
      </c>
      <c r="H1327" s="233">
        <v>98.665943902293378</v>
      </c>
      <c r="I1327" s="327"/>
      <c r="J1327" s="327"/>
      <c r="K1327" s="327"/>
      <c r="L1327" s="233">
        <v>97.487738901686967</v>
      </c>
      <c r="M1327" s="327"/>
      <c r="N1327" s="327"/>
      <c r="O1327" s="327"/>
      <c r="P1327" s="327"/>
    </row>
    <row r="1328" spans="2:16" ht="18" customHeight="1">
      <c r="B1328" s="284"/>
      <c r="C1328" s="311"/>
      <c r="D1328" s="312"/>
      <c r="E1328" s="289"/>
      <c r="F1328" s="79">
        <v>2</v>
      </c>
      <c r="G1328" s="178" t="s">
        <v>345</v>
      </c>
      <c r="H1328" s="234">
        <v>1.1407755150260124</v>
      </c>
      <c r="I1328" s="328"/>
      <c r="J1328" s="328"/>
      <c r="K1328" s="328"/>
      <c r="L1328" s="234">
        <v>0.86828236719526242</v>
      </c>
      <c r="M1328" s="328"/>
      <c r="N1328" s="328"/>
      <c r="O1328" s="328"/>
      <c r="P1328" s="328"/>
    </row>
    <row r="1329" spans="2:16" ht="18" customHeight="1">
      <c r="B1329" s="284"/>
      <c r="C1329" s="311"/>
      <c r="D1329" s="312"/>
      <c r="E1329" s="289"/>
      <c r="F1329" s="79">
        <v>3</v>
      </c>
      <c r="G1329" s="178" t="s">
        <v>419</v>
      </c>
      <c r="H1329" s="234">
        <v>7.4074465780914686E-2</v>
      </c>
      <c r="I1329" s="328"/>
      <c r="J1329" s="328"/>
      <c r="K1329" s="328"/>
      <c r="L1329" s="234">
        <v>0.47286445787348702</v>
      </c>
      <c r="M1329" s="328"/>
      <c r="N1329" s="328"/>
      <c r="O1329" s="328"/>
      <c r="P1329" s="328"/>
    </row>
    <row r="1330" spans="2:16" ht="18" customHeight="1">
      <c r="B1330" s="284"/>
      <c r="C1330" s="311"/>
      <c r="D1330" s="312"/>
      <c r="E1330" s="289"/>
      <c r="F1330" s="79">
        <v>4</v>
      </c>
      <c r="G1330" s="178" t="s">
        <v>347</v>
      </c>
      <c r="H1330" s="234">
        <v>0.10023280418664049</v>
      </c>
      <c r="I1330" s="328"/>
      <c r="J1330" s="328"/>
      <c r="K1330" s="328"/>
      <c r="L1330" s="234">
        <v>0.91416631530823178</v>
      </c>
      <c r="M1330" s="328"/>
      <c r="N1330" s="328"/>
      <c r="O1330" s="328"/>
      <c r="P1330" s="328"/>
    </row>
    <row r="1331" spans="2:16" ht="18" customHeight="1">
      <c r="B1331" s="284"/>
      <c r="C1331" s="311"/>
      <c r="D1331" s="312"/>
      <c r="E1331" s="289"/>
      <c r="F1331" s="79">
        <v>5</v>
      </c>
      <c r="G1331" s="178" t="s">
        <v>348</v>
      </c>
      <c r="H1331" s="234">
        <v>0</v>
      </c>
      <c r="I1331" s="328"/>
      <c r="J1331" s="328"/>
      <c r="K1331" s="328"/>
      <c r="L1331" s="234">
        <v>0.25694795793610337</v>
      </c>
      <c r="M1331" s="328"/>
      <c r="N1331" s="328"/>
      <c r="O1331" s="328"/>
      <c r="P1331" s="328"/>
    </row>
    <row r="1332" spans="2:16" ht="18" customHeight="1">
      <c r="B1332" s="284"/>
      <c r="C1332" s="313"/>
      <c r="D1332" s="314"/>
      <c r="E1332" s="288"/>
      <c r="F1332" s="82">
        <v>6</v>
      </c>
      <c r="G1332" s="180" t="s">
        <v>349</v>
      </c>
      <c r="H1332" s="235">
        <v>1.8973312712993191E-2</v>
      </c>
      <c r="I1332" s="329"/>
      <c r="J1332" s="329"/>
      <c r="K1332" s="329"/>
      <c r="L1332" s="235">
        <v>0</v>
      </c>
      <c r="M1332" s="329"/>
      <c r="N1332" s="329"/>
      <c r="O1332" s="329"/>
      <c r="P1332" s="329"/>
    </row>
    <row r="1333" spans="2:16" ht="18" customHeight="1">
      <c r="B1333" s="284"/>
      <c r="C1333" s="309" t="s">
        <v>423</v>
      </c>
      <c r="D1333" s="310"/>
      <c r="E1333" s="287" t="str">
        <f>HYPERLINK("#LAYOUT_m1!lay중YDLQ1A05","YDLQ1A05")</f>
        <v>YDLQ1A05</v>
      </c>
      <c r="F1333" s="78">
        <v>1</v>
      </c>
      <c r="G1333" s="179" t="s">
        <v>418</v>
      </c>
      <c r="H1333" s="233">
        <v>91.537310633186024</v>
      </c>
      <c r="I1333" s="327"/>
      <c r="J1333" s="327"/>
      <c r="K1333" s="327"/>
      <c r="L1333" s="233">
        <v>93.581257331275182</v>
      </c>
      <c r="M1333" s="327"/>
      <c r="N1333" s="327"/>
      <c r="O1333" s="327"/>
      <c r="P1333" s="327"/>
    </row>
    <row r="1334" spans="2:16" ht="18" customHeight="1">
      <c r="B1334" s="284"/>
      <c r="C1334" s="311"/>
      <c r="D1334" s="312"/>
      <c r="E1334" s="289"/>
      <c r="F1334" s="79">
        <v>2</v>
      </c>
      <c r="G1334" s="178" t="s">
        <v>345</v>
      </c>
      <c r="H1334" s="234">
        <v>4.9336056787812801</v>
      </c>
      <c r="I1334" s="328"/>
      <c r="J1334" s="328"/>
      <c r="K1334" s="328"/>
      <c r="L1334" s="234">
        <v>3.3643473452121504</v>
      </c>
      <c r="M1334" s="328"/>
      <c r="N1334" s="328"/>
      <c r="O1334" s="328"/>
      <c r="P1334" s="328"/>
    </row>
    <row r="1335" spans="2:16" ht="18" customHeight="1">
      <c r="B1335" s="284"/>
      <c r="C1335" s="311"/>
      <c r="D1335" s="312"/>
      <c r="E1335" s="289"/>
      <c r="F1335" s="79">
        <v>3</v>
      </c>
      <c r="G1335" s="178" t="s">
        <v>419</v>
      </c>
      <c r="H1335" s="234">
        <v>1.1985697945610205</v>
      </c>
      <c r="I1335" s="328"/>
      <c r="J1335" s="328"/>
      <c r="K1335" s="328"/>
      <c r="L1335" s="234">
        <v>1.132487472566492</v>
      </c>
      <c r="M1335" s="328"/>
      <c r="N1335" s="328"/>
      <c r="O1335" s="328"/>
      <c r="P1335" s="328"/>
    </row>
    <row r="1336" spans="2:16" ht="18" customHeight="1">
      <c r="B1336" s="284"/>
      <c r="C1336" s="311"/>
      <c r="D1336" s="312"/>
      <c r="E1336" s="289"/>
      <c r="F1336" s="79">
        <v>4</v>
      </c>
      <c r="G1336" s="178" t="s">
        <v>347</v>
      </c>
      <c r="H1336" s="234">
        <v>0.7241430098968975</v>
      </c>
      <c r="I1336" s="328"/>
      <c r="J1336" s="328"/>
      <c r="K1336" s="328"/>
      <c r="L1336" s="234">
        <v>0.93258923618365852</v>
      </c>
      <c r="M1336" s="328"/>
      <c r="N1336" s="328"/>
      <c r="O1336" s="328"/>
      <c r="P1336" s="328"/>
    </row>
    <row r="1337" spans="2:16" ht="18" customHeight="1">
      <c r="B1337" s="284"/>
      <c r="C1337" s="311"/>
      <c r="D1337" s="312"/>
      <c r="E1337" s="289"/>
      <c r="F1337" s="79">
        <v>5</v>
      </c>
      <c r="G1337" s="178" t="s">
        <v>348</v>
      </c>
      <c r="H1337" s="234">
        <v>0.73381235835746816</v>
      </c>
      <c r="I1337" s="328"/>
      <c r="J1337" s="328"/>
      <c r="K1337" s="328"/>
      <c r="L1337" s="234">
        <v>0.4639479346671932</v>
      </c>
      <c r="M1337" s="328"/>
      <c r="N1337" s="328"/>
      <c r="O1337" s="328"/>
      <c r="P1337" s="328"/>
    </row>
    <row r="1338" spans="2:16" ht="18" customHeight="1">
      <c r="B1338" s="284"/>
      <c r="C1338" s="313"/>
      <c r="D1338" s="314"/>
      <c r="E1338" s="288"/>
      <c r="F1338" s="82">
        <v>6</v>
      </c>
      <c r="G1338" s="180" t="s">
        <v>349</v>
      </c>
      <c r="H1338" s="235">
        <v>0.87255852521732025</v>
      </c>
      <c r="I1338" s="329"/>
      <c r="J1338" s="329"/>
      <c r="K1338" s="329"/>
      <c r="L1338" s="235">
        <v>0.52537068009532173</v>
      </c>
      <c r="M1338" s="329"/>
      <c r="N1338" s="329"/>
      <c r="O1338" s="329"/>
      <c r="P1338" s="329"/>
    </row>
    <row r="1339" spans="2:16" ht="18" customHeight="1">
      <c r="B1339" s="284"/>
      <c r="C1339" s="309" t="s">
        <v>424</v>
      </c>
      <c r="D1339" s="310"/>
      <c r="E1339" s="287" t="str">
        <f>HYPERLINK("#LAYOUT_m1!lay중YDLQ1A06","YDLQ1A06")</f>
        <v>YDLQ1A06</v>
      </c>
      <c r="F1339" s="78">
        <v>1</v>
      </c>
      <c r="G1339" s="179" t="s">
        <v>418</v>
      </c>
      <c r="H1339" s="233">
        <v>97.586518606188477</v>
      </c>
      <c r="I1339" s="327"/>
      <c r="J1339" s="327"/>
      <c r="K1339" s="327"/>
      <c r="L1339" s="233">
        <v>97.609178303008889</v>
      </c>
      <c r="M1339" s="327"/>
      <c r="N1339" s="327"/>
      <c r="O1339" s="327"/>
      <c r="P1339" s="327"/>
    </row>
    <row r="1340" spans="2:16" ht="18" customHeight="1">
      <c r="B1340" s="284"/>
      <c r="C1340" s="311"/>
      <c r="D1340" s="312"/>
      <c r="E1340" s="289"/>
      <c r="F1340" s="79">
        <v>2</v>
      </c>
      <c r="G1340" s="178" t="s">
        <v>345</v>
      </c>
      <c r="H1340" s="234">
        <v>1.617702269624967</v>
      </c>
      <c r="I1340" s="328"/>
      <c r="J1340" s="328"/>
      <c r="K1340" s="328"/>
      <c r="L1340" s="234">
        <v>0.83447354997030476</v>
      </c>
      <c r="M1340" s="328"/>
      <c r="N1340" s="328"/>
      <c r="O1340" s="328"/>
      <c r="P1340" s="328"/>
    </row>
    <row r="1341" spans="2:16" ht="18" customHeight="1">
      <c r="B1341" s="284"/>
      <c r="C1341" s="311"/>
      <c r="D1341" s="312"/>
      <c r="E1341" s="289"/>
      <c r="F1341" s="79">
        <v>3</v>
      </c>
      <c r="G1341" s="178" t="s">
        <v>419</v>
      </c>
      <c r="H1341" s="234">
        <v>0.28584554128909645</v>
      </c>
      <c r="I1341" s="328"/>
      <c r="J1341" s="328"/>
      <c r="K1341" s="328"/>
      <c r="L1341" s="234">
        <v>0.56485414457015415</v>
      </c>
      <c r="M1341" s="328"/>
      <c r="N1341" s="328"/>
      <c r="O1341" s="328"/>
      <c r="P1341" s="328"/>
    </row>
    <row r="1342" spans="2:16" ht="18" customHeight="1">
      <c r="B1342" s="284"/>
      <c r="C1342" s="311"/>
      <c r="D1342" s="312"/>
      <c r="E1342" s="289"/>
      <c r="F1342" s="79">
        <v>4</v>
      </c>
      <c r="G1342" s="178" t="s">
        <v>347</v>
      </c>
      <c r="H1342" s="234">
        <v>5.8278113523216886E-2</v>
      </c>
      <c r="I1342" s="328"/>
      <c r="J1342" s="328"/>
      <c r="K1342" s="328"/>
      <c r="L1342" s="234">
        <v>0.72805558019349115</v>
      </c>
      <c r="M1342" s="328"/>
      <c r="N1342" s="328"/>
      <c r="O1342" s="328"/>
      <c r="P1342" s="328"/>
    </row>
    <row r="1343" spans="2:16" ht="18" customHeight="1">
      <c r="B1343" s="284"/>
      <c r="C1343" s="311"/>
      <c r="D1343" s="312"/>
      <c r="E1343" s="289"/>
      <c r="F1343" s="79">
        <v>5</v>
      </c>
      <c r="G1343" s="178" t="s">
        <v>348</v>
      </c>
      <c r="H1343" s="234">
        <v>0.36947667411795404</v>
      </c>
      <c r="I1343" s="328"/>
      <c r="J1343" s="328"/>
      <c r="K1343" s="328"/>
      <c r="L1343" s="234">
        <v>0.13814450990022659</v>
      </c>
      <c r="M1343" s="328"/>
      <c r="N1343" s="328"/>
      <c r="O1343" s="328"/>
      <c r="P1343" s="328"/>
    </row>
    <row r="1344" spans="2:16" ht="18" customHeight="1">
      <c r="B1344" s="284"/>
      <c r="C1344" s="313"/>
      <c r="D1344" s="314"/>
      <c r="E1344" s="288"/>
      <c r="F1344" s="82">
        <v>6</v>
      </c>
      <c r="G1344" s="180" t="s">
        <v>349</v>
      </c>
      <c r="H1344" s="235">
        <v>8.2178795256275888E-2</v>
      </c>
      <c r="I1344" s="329"/>
      <c r="J1344" s="329"/>
      <c r="K1344" s="329"/>
      <c r="L1344" s="235">
        <v>0.12529391235696674</v>
      </c>
      <c r="M1344" s="329"/>
      <c r="N1344" s="329"/>
      <c r="O1344" s="329"/>
      <c r="P1344" s="329"/>
    </row>
    <row r="1345" spans="2:16" ht="18" customHeight="1">
      <c r="B1345" s="284"/>
      <c r="C1345" s="309" t="s">
        <v>425</v>
      </c>
      <c r="D1345" s="310"/>
      <c r="E1345" s="287" t="str">
        <f>HYPERLINK("#LAYOUT_m1!lay중YDLQ1A07","YDLQ1A07")</f>
        <v>YDLQ1A07</v>
      </c>
      <c r="F1345" s="78">
        <v>1</v>
      </c>
      <c r="G1345" s="179" t="s">
        <v>418</v>
      </c>
      <c r="H1345" s="233">
        <v>98.306006686641481</v>
      </c>
      <c r="I1345" s="327"/>
      <c r="J1345" s="327"/>
      <c r="K1345" s="327"/>
      <c r="L1345" s="233">
        <v>98.047351618818041</v>
      </c>
      <c r="M1345" s="327"/>
      <c r="N1345" s="327"/>
      <c r="O1345" s="327"/>
      <c r="P1345" s="327"/>
    </row>
    <row r="1346" spans="2:16" ht="18" customHeight="1">
      <c r="B1346" s="284"/>
      <c r="C1346" s="311"/>
      <c r="D1346" s="312"/>
      <c r="E1346" s="289"/>
      <c r="F1346" s="79">
        <v>2</v>
      </c>
      <c r="G1346" s="178" t="s">
        <v>345</v>
      </c>
      <c r="H1346" s="234">
        <v>1.2127456942422268</v>
      </c>
      <c r="I1346" s="328"/>
      <c r="J1346" s="328"/>
      <c r="K1346" s="328"/>
      <c r="L1346" s="234">
        <v>0.50692985540444324</v>
      </c>
      <c r="M1346" s="328"/>
      <c r="N1346" s="328"/>
      <c r="O1346" s="328"/>
      <c r="P1346" s="328"/>
    </row>
    <row r="1347" spans="2:16" ht="18" customHeight="1">
      <c r="B1347" s="284"/>
      <c r="C1347" s="311"/>
      <c r="D1347" s="312"/>
      <c r="E1347" s="289"/>
      <c r="F1347" s="79">
        <v>3</v>
      </c>
      <c r="G1347" s="178" t="s">
        <v>419</v>
      </c>
      <c r="H1347" s="234">
        <v>0.38521029191687106</v>
      </c>
      <c r="I1347" s="328"/>
      <c r="J1347" s="328"/>
      <c r="K1347" s="328"/>
      <c r="L1347" s="234">
        <v>0.50062983325470511</v>
      </c>
      <c r="M1347" s="328"/>
      <c r="N1347" s="328"/>
      <c r="O1347" s="328"/>
      <c r="P1347" s="328"/>
    </row>
    <row r="1348" spans="2:16" ht="18" customHeight="1">
      <c r="B1348" s="284"/>
      <c r="C1348" s="311"/>
      <c r="D1348" s="312"/>
      <c r="E1348" s="289"/>
      <c r="F1348" s="79">
        <v>4</v>
      </c>
      <c r="G1348" s="178" t="s">
        <v>347</v>
      </c>
      <c r="H1348" s="234">
        <v>2.7718264585390395E-2</v>
      </c>
      <c r="I1348" s="328"/>
      <c r="J1348" s="328"/>
      <c r="K1348" s="328"/>
      <c r="L1348" s="234">
        <v>0.67671567753457096</v>
      </c>
      <c r="M1348" s="328"/>
      <c r="N1348" s="328"/>
      <c r="O1348" s="328"/>
      <c r="P1348" s="328"/>
    </row>
    <row r="1349" spans="2:16" ht="18" customHeight="1">
      <c r="B1349" s="284"/>
      <c r="C1349" s="311"/>
      <c r="D1349" s="312"/>
      <c r="E1349" s="289"/>
      <c r="F1349" s="79">
        <v>5</v>
      </c>
      <c r="G1349" s="178" t="s">
        <v>348</v>
      </c>
      <c r="H1349" s="234">
        <v>6.8319062614057985E-2</v>
      </c>
      <c r="I1349" s="328"/>
      <c r="J1349" s="328"/>
      <c r="K1349" s="328"/>
      <c r="L1349" s="234">
        <v>0.26837301498822191</v>
      </c>
      <c r="M1349" s="328"/>
      <c r="N1349" s="328"/>
      <c r="O1349" s="328"/>
      <c r="P1349" s="328"/>
    </row>
    <row r="1350" spans="2:16" ht="18" customHeight="1">
      <c r="B1350" s="284"/>
      <c r="C1350" s="313"/>
      <c r="D1350" s="314"/>
      <c r="E1350" s="288"/>
      <c r="F1350" s="82">
        <v>6</v>
      </c>
      <c r="G1350" s="180" t="s">
        <v>349</v>
      </c>
      <c r="H1350" s="235">
        <v>0</v>
      </c>
      <c r="I1350" s="329"/>
      <c r="J1350" s="329"/>
      <c r="K1350" s="329"/>
      <c r="L1350" s="235">
        <v>0</v>
      </c>
      <c r="M1350" s="329"/>
      <c r="N1350" s="329"/>
      <c r="O1350" s="329"/>
      <c r="P1350" s="329"/>
    </row>
    <row r="1351" spans="2:16" ht="18" customHeight="1">
      <c r="B1351" s="284"/>
      <c r="C1351" s="309" t="s">
        <v>426</v>
      </c>
      <c r="D1351" s="310"/>
      <c r="E1351" s="287" t="str">
        <f>HYPERLINK("#LAYOUT_m1!lay중YDLQ1A08","YDLQ1A08")</f>
        <v>YDLQ1A08</v>
      </c>
      <c r="F1351" s="78">
        <v>1</v>
      </c>
      <c r="G1351" s="179" t="s">
        <v>418</v>
      </c>
      <c r="H1351" s="233">
        <v>97.357568771754501</v>
      </c>
      <c r="I1351" s="327"/>
      <c r="J1351" s="327"/>
      <c r="K1351" s="327"/>
      <c r="L1351" s="233">
        <v>97.70810135300826</v>
      </c>
      <c r="M1351" s="327"/>
      <c r="N1351" s="327"/>
      <c r="O1351" s="327"/>
      <c r="P1351" s="327"/>
    </row>
    <row r="1352" spans="2:16" ht="18" customHeight="1">
      <c r="B1352" s="284"/>
      <c r="C1352" s="311"/>
      <c r="D1352" s="312"/>
      <c r="E1352" s="289"/>
      <c r="F1352" s="79">
        <v>2</v>
      </c>
      <c r="G1352" s="178" t="s">
        <v>345</v>
      </c>
      <c r="H1352" s="234">
        <v>2.002283380789768</v>
      </c>
      <c r="I1352" s="328"/>
      <c r="J1352" s="328"/>
      <c r="K1352" s="328"/>
      <c r="L1352" s="234">
        <v>0.69885986680076939</v>
      </c>
      <c r="M1352" s="328"/>
      <c r="N1352" s="328"/>
      <c r="O1352" s="328"/>
      <c r="P1352" s="328"/>
    </row>
    <row r="1353" spans="2:16" ht="18" customHeight="1">
      <c r="B1353" s="284"/>
      <c r="C1353" s="311"/>
      <c r="D1353" s="312"/>
      <c r="E1353" s="289"/>
      <c r="F1353" s="79">
        <v>3</v>
      </c>
      <c r="G1353" s="178" t="s">
        <v>419</v>
      </c>
      <c r="H1353" s="234">
        <v>0.26744191727634642</v>
      </c>
      <c r="I1353" s="328"/>
      <c r="J1353" s="328"/>
      <c r="K1353" s="328"/>
      <c r="L1353" s="234">
        <v>0.75898040956671253</v>
      </c>
      <c r="M1353" s="328"/>
      <c r="N1353" s="328"/>
      <c r="O1353" s="328"/>
      <c r="P1353" s="328"/>
    </row>
    <row r="1354" spans="2:16" ht="18" customHeight="1">
      <c r="B1354" s="284"/>
      <c r="C1354" s="311"/>
      <c r="D1354" s="312"/>
      <c r="E1354" s="289"/>
      <c r="F1354" s="79">
        <v>4</v>
      </c>
      <c r="G1354" s="178" t="s">
        <v>347</v>
      </c>
      <c r="H1354" s="234">
        <v>0.26899943016142458</v>
      </c>
      <c r="I1354" s="328"/>
      <c r="J1354" s="328"/>
      <c r="K1354" s="328"/>
      <c r="L1354" s="234">
        <v>0.67044088679725522</v>
      </c>
      <c r="M1354" s="328"/>
      <c r="N1354" s="328"/>
      <c r="O1354" s="328"/>
      <c r="P1354" s="328"/>
    </row>
    <row r="1355" spans="2:16" ht="18" customHeight="1">
      <c r="B1355" s="284"/>
      <c r="C1355" s="311"/>
      <c r="D1355" s="312"/>
      <c r="E1355" s="289"/>
      <c r="F1355" s="79">
        <v>5</v>
      </c>
      <c r="G1355" s="178" t="s">
        <v>348</v>
      </c>
      <c r="H1355" s="234">
        <v>0</v>
      </c>
      <c r="I1355" s="328"/>
      <c r="J1355" s="328"/>
      <c r="K1355" s="328"/>
      <c r="L1355" s="234">
        <v>0.16361748382702004</v>
      </c>
      <c r="M1355" s="328"/>
      <c r="N1355" s="328"/>
      <c r="O1355" s="328"/>
      <c r="P1355" s="328"/>
    </row>
    <row r="1356" spans="2:16" ht="18" customHeight="1">
      <c r="B1356" s="284"/>
      <c r="C1356" s="313"/>
      <c r="D1356" s="314"/>
      <c r="E1356" s="288"/>
      <c r="F1356" s="82">
        <v>6</v>
      </c>
      <c r="G1356" s="180" t="s">
        <v>349</v>
      </c>
      <c r="H1356" s="235">
        <v>0.10370650001798952</v>
      </c>
      <c r="I1356" s="329"/>
      <c r="J1356" s="329"/>
      <c r="K1356" s="329"/>
      <c r="L1356" s="235">
        <v>0</v>
      </c>
      <c r="M1356" s="329"/>
      <c r="N1356" s="329"/>
      <c r="O1356" s="329"/>
      <c r="P1356" s="329"/>
    </row>
    <row r="1357" spans="2:16" ht="18" customHeight="1">
      <c r="B1357" s="284"/>
      <c r="C1357" s="309" t="s">
        <v>427</v>
      </c>
      <c r="D1357" s="310"/>
      <c r="E1357" s="287" t="str">
        <f>HYPERLINK("#LAYOUT_m1!lay중YDLQ1A09","YDLQ1A09")</f>
        <v>YDLQ1A09</v>
      </c>
      <c r="F1357" s="78">
        <v>1</v>
      </c>
      <c r="G1357" s="179" t="s">
        <v>418</v>
      </c>
      <c r="H1357" s="233">
        <v>97.856999571638312</v>
      </c>
      <c r="I1357" s="327"/>
      <c r="J1357" s="327"/>
      <c r="K1357" s="327"/>
      <c r="L1357" s="233">
        <v>97.108947462517946</v>
      </c>
      <c r="M1357" s="327"/>
      <c r="N1357" s="327"/>
      <c r="O1357" s="327"/>
      <c r="P1357" s="327"/>
    </row>
    <row r="1358" spans="2:16" ht="18" customHeight="1">
      <c r="B1358" s="284"/>
      <c r="C1358" s="311"/>
      <c r="D1358" s="312"/>
      <c r="E1358" s="289"/>
      <c r="F1358" s="79">
        <v>2</v>
      </c>
      <c r="G1358" s="178" t="s">
        <v>345</v>
      </c>
      <c r="H1358" s="234">
        <v>1.648076065374757</v>
      </c>
      <c r="I1358" s="328"/>
      <c r="J1358" s="328"/>
      <c r="K1358" s="328"/>
      <c r="L1358" s="234">
        <v>1.0888413952126481</v>
      </c>
      <c r="M1358" s="328"/>
      <c r="N1358" s="328"/>
      <c r="O1358" s="328"/>
      <c r="P1358" s="328"/>
    </row>
    <row r="1359" spans="2:16" ht="18" customHeight="1">
      <c r="B1359" s="284"/>
      <c r="C1359" s="311"/>
      <c r="D1359" s="312"/>
      <c r="E1359" s="289"/>
      <c r="F1359" s="79">
        <v>3</v>
      </c>
      <c r="G1359" s="178" t="s">
        <v>419</v>
      </c>
      <c r="H1359" s="234">
        <v>0.13606985343981035</v>
      </c>
      <c r="I1359" s="328"/>
      <c r="J1359" s="328"/>
      <c r="K1359" s="328"/>
      <c r="L1359" s="234">
        <v>0.88028831667433904</v>
      </c>
      <c r="M1359" s="328"/>
      <c r="N1359" s="328"/>
      <c r="O1359" s="328"/>
      <c r="P1359" s="328"/>
    </row>
    <row r="1360" spans="2:16" ht="18" customHeight="1">
      <c r="B1360" s="284"/>
      <c r="C1360" s="311"/>
      <c r="D1360" s="312"/>
      <c r="E1360" s="289"/>
      <c r="F1360" s="79">
        <v>4</v>
      </c>
      <c r="G1360" s="178" t="s">
        <v>347</v>
      </c>
      <c r="H1360" s="234">
        <v>9.1264024854851564E-2</v>
      </c>
      <c r="I1360" s="328"/>
      <c r="J1360" s="328"/>
      <c r="K1360" s="328"/>
      <c r="L1360" s="234">
        <v>0.64137112204267388</v>
      </c>
      <c r="M1360" s="328"/>
      <c r="N1360" s="328"/>
      <c r="O1360" s="328"/>
      <c r="P1360" s="328"/>
    </row>
    <row r="1361" spans="2:16" ht="18" customHeight="1">
      <c r="B1361" s="284"/>
      <c r="C1361" s="311"/>
      <c r="D1361" s="312"/>
      <c r="E1361" s="289"/>
      <c r="F1361" s="79">
        <v>5</v>
      </c>
      <c r="G1361" s="178" t="s">
        <v>348</v>
      </c>
      <c r="H1361" s="234">
        <v>0.23656650485261652</v>
      </c>
      <c r="I1361" s="328"/>
      <c r="J1361" s="328"/>
      <c r="K1361" s="328"/>
      <c r="L1361" s="234">
        <v>0.28055170355240255</v>
      </c>
      <c r="M1361" s="328"/>
      <c r="N1361" s="328"/>
      <c r="O1361" s="328"/>
      <c r="P1361" s="328"/>
    </row>
    <row r="1362" spans="2:16" ht="18" customHeight="1">
      <c r="B1362" s="284"/>
      <c r="C1362" s="313"/>
      <c r="D1362" s="314"/>
      <c r="E1362" s="288"/>
      <c r="F1362" s="82">
        <v>6</v>
      </c>
      <c r="G1362" s="180" t="s">
        <v>349</v>
      </c>
      <c r="H1362" s="235">
        <v>3.1023979839641138E-2</v>
      </c>
      <c r="I1362" s="329"/>
      <c r="J1362" s="329"/>
      <c r="K1362" s="329"/>
      <c r="L1362" s="235">
        <v>0</v>
      </c>
      <c r="M1362" s="329"/>
      <c r="N1362" s="329"/>
      <c r="O1362" s="329"/>
      <c r="P1362" s="329"/>
    </row>
    <row r="1363" spans="2:16" ht="18" customHeight="1">
      <c r="B1363" s="284"/>
      <c r="C1363" s="309" t="s">
        <v>428</v>
      </c>
      <c r="D1363" s="310"/>
      <c r="E1363" s="287" t="str">
        <f>HYPERLINK("#LAYOUT_m1!lay중YDLQ1A10","YDLQ1A10")</f>
        <v>YDLQ1A10</v>
      </c>
      <c r="F1363" s="78">
        <v>1</v>
      </c>
      <c r="G1363" s="179" t="s">
        <v>418</v>
      </c>
      <c r="H1363" s="233">
        <v>99.370020309366723</v>
      </c>
      <c r="I1363" s="327"/>
      <c r="J1363" s="327"/>
      <c r="K1363" s="327"/>
      <c r="L1363" s="233">
        <v>98.120323322546625</v>
      </c>
      <c r="M1363" s="327"/>
      <c r="N1363" s="327"/>
      <c r="O1363" s="327"/>
      <c r="P1363" s="327"/>
    </row>
    <row r="1364" spans="2:16" ht="18" customHeight="1">
      <c r="B1364" s="284"/>
      <c r="C1364" s="311"/>
      <c r="D1364" s="312"/>
      <c r="E1364" s="289"/>
      <c r="F1364" s="79">
        <v>2</v>
      </c>
      <c r="G1364" s="178" t="s">
        <v>345</v>
      </c>
      <c r="H1364" s="234">
        <v>0.26576890008684473</v>
      </c>
      <c r="I1364" s="328"/>
      <c r="J1364" s="328"/>
      <c r="K1364" s="328"/>
      <c r="L1364" s="234">
        <v>0.41104653159648591</v>
      </c>
      <c r="M1364" s="328"/>
      <c r="N1364" s="328"/>
      <c r="O1364" s="328"/>
      <c r="P1364" s="328"/>
    </row>
    <row r="1365" spans="2:16" ht="18" customHeight="1">
      <c r="B1365" s="284"/>
      <c r="C1365" s="311"/>
      <c r="D1365" s="312"/>
      <c r="E1365" s="289"/>
      <c r="F1365" s="79">
        <v>3</v>
      </c>
      <c r="G1365" s="178" t="s">
        <v>419</v>
      </c>
      <c r="H1365" s="234">
        <v>0.21535736953733337</v>
      </c>
      <c r="I1365" s="328"/>
      <c r="J1365" s="328"/>
      <c r="K1365" s="328"/>
      <c r="L1365" s="234">
        <v>0.77289756428377099</v>
      </c>
      <c r="M1365" s="328"/>
      <c r="N1365" s="328"/>
      <c r="O1365" s="328"/>
      <c r="P1365" s="328"/>
    </row>
    <row r="1366" spans="2:16" ht="18" customHeight="1">
      <c r="B1366" s="284"/>
      <c r="C1366" s="311"/>
      <c r="D1366" s="312"/>
      <c r="E1366" s="289"/>
      <c r="F1366" s="79">
        <v>4</v>
      </c>
      <c r="G1366" s="178" t="s">
        <v>347</v>
      </c>
      <c r="H1366" s="234">
        <v>0.14885342100910176</v>
      </c>
      <c r="I1366" s="328"/>
      <c r="J1366" s="328"/>
      <c r="K1366" s="328"/>
      <c r="L1366" s="234">
        <v>0.63763713724582638</v>
      </c>
      <c r="M1366" s="328"/>
      <c r="N1366" s="328"/>
      <c r="O1366" s="328"/>
      <c r="P1366" s="328"/>
    </row>
    <row r="1367" spans="2:16" ht="18" customHeight="1">
      <c r="B1367" s="284"/>
      <c r="C1367" s="311"/>
      <c r="D1367" s="312"/>
      <c r="E1367" s="289"/>
      <c r="F1367" s="79">
        <v>5</v>
      </c>
      <c r="G1367" s="178" t="s">
        <v>348</v>
      </c>
      <c r="H1367" s="234">
        <v>0</v>
      </c>
      <c r="I1367" s="328"/>
      <c r="J1367" s="328"/>
      <c r="K1367" s="328"/>
      <c r="L1367" s="234">
        <v>5.8095444327309891E-2</v>
      </c>
      <c r="M1367" s="328"/>
      <c r="N1367" s="328"/>
      <c r="O1367" s="328"/>
      <c r="P1367" s="328"/>
    </row>
    <row r="1368" spans="2:16" ht="18" customHeight="1">
      <c r="B1368" s="284"/>
      <c r="C1368" s="313"/>
      <c r="D1368" s="314"/>
      <c r="E1368" s="288"/>
      <c r="F1368" s="82">
        <v>6</v>
      </c>
      <c r="G1368" s="180" t="s">
        <v>349</v>
      </c>
      <c r="H1368" s="235">
        <v>0</v>
      </c>
      <c r="I1368" s="329"/>
      <c r="J1368" s="329"/>
      <c r="K1368" s="329"/>
      <c r="L1368" s="235">
        <v>0</v>
      </c>
      <c r="M1368" s="329"/>
      <c r="N1368" s="329"/>
      <c r="O1368" s="329"/>
      <c r="P1368" s="329"/>
    </row>
    <row r="1369" spans="2:16" ht="18" customHeight="1">
      <c r="B1369" s="284"/>
      <c r="C1369" s="309" t="s">
        <v>429</v>
      </c>
      <c r="D1369" s="310"/>
      <c r="E1369" s="287" t="str">
        <f>HYPERLINK("#LAYOUT_m1!lay중YDLQ1A11","YDLQ1A11")</f>
        <v>YDLQ1A11</v>
      </c>
      <c r="F1369" s="78">
        <v>1</v>
      </c>
      <c r="G1369" s="179" t="s">
        <v>418</v>
      </c>
      <c r="H1369" s="233">
        <v>99.400500329033562</v>
      </c>
      <c r="I1369" s="327"/>
      <c r="J1369" s="327"/>
      <c r="K1369" s="327"/>
      <c r="L1369" s="233">
        <v>98.374703988953883</v>
      </c>
      <c r="M1369" s="327"/>
      <c r="N1369" s="327"/>
      <c r="O1369" s="327"/>
      <c r="P1369" s="327"/>
    </row>
    <row r="1370" spans="2:16" ht="18" customHeight="1">
      <c r="B1370" s="284"/>
      <c r="C1370" s="311"/>
      <c r="D1370" s="312"/>
      <c r="E1370" s="289"/>
      <c r="F1370" s="79">
        <v>2</v>
      </c>
      <c r="G1370" s="178" t="s">
        <v>345</v>
      </c>
      <c r="H1370" s="234">
        <v>0.43124906348634695</v>
      </c>
      <c r="I1370" s="328"/>
      <c r="J1370" s="328"/>
      <c r="K1370" s="328"/>
      <c r="L1370" s="234">
        <v>0.30882317672685672</v>
      </c>
      <c r="M1370" s="328"/>
      <c r="N1370" s="328"/>
      <c r="O1370" s="328"/>
      <c r="P1370" s="328"/>
    </row>
    <row r="1371" spans="2:16" ht="18" customHeight="1">
      <c r="B1371" s="284"/>
      <c r="C1371" s="311"/>
      <c r="D1371" s="312"/>
      <c r="E1371" s="289"/>
      <c r="F1371" s="79">
        <v>3</v>
      </c>
      <c r="G1371" s="178" t="s">
        <v>419</v>
      </c>
      <c r="H1371" s="234">
        <v>6.831906261405811E-2</v>
      </c>
      <c r="I1371" s="328"/>
      <c r="J1371" s="328"/>
      <c r="K1371" s="328"/>
      <c r="L1371" s="234">
        <v>0.26423996308778047</v>
      </c>
      <c r="M1371" s="328"/>
      <c r="N1371" s="328"/>
      <c r="O1371" s="328"/>
      <c r="P1371" s="328"/>
    </row>
    <row r="1372" spans="2:16" ht="18" customHeight="1">
      <c r="B1372" s="284"/>
      <c r="C1372" s="311"/>
      <c r="D1372" s="312"/>
      <c r="E1372" s="289"/>
      <c r="F1372" s="79">
        <v>4</v>
      </c>
      <c r="G1372" s="178" t="s">
        <v>347</v>
      </c>
      <c r="H1372" s="234">
        <v>7.9558312240850804E-2</v>
      </c>
      <c r="I1372" s="328"/>
      <c r="J1372" s="328"/>
      <c r="K1372" s="328"/>
      <c r="L1372" s="234">
        <v>0.64464666352190247</v>
      </c>
      <c r="M1372" s="328"/>
      <c r="N1372" s="328"/>
      <c r="O1372" s="328"/>
      <c r="P1372" s="328"/>
    </row>
    <row r="1373" spans="2:16" ht="18" customHeight="1">
      <c r="B1373" s="284"/>
      <c r="C1373" s="311"/>
      <c r="D1373" s="312"/>
      <c r="E1373" s="289"/>
      <c r="F1373" s="79">
        <v>5</v>
      </c>
      <c r="G1373" s="178" t="s">
        <v>348</v>
      </c>
      <c r="H1373" s="234">
        <v>2.0373232625217733E-2</v>
      </c>
      <c r="I1373" s="328"/>
      <c r="J1373" s="328"/>
      <c r="K1373" s="328"/>
      <c r="L1373" s="234">
        <v>0.40758620770952259</v>
      </c>
      <c r="M1373" s="328"/>
      <c r="N1373" s="328"/>
      <c r="O1373" s="328"/>
      <c r="P1373" s="328"/>
    </row>
    <row r="1374" spans="2:16" ht="18" customHeight="1">
      <c r="B1374" s="284"/>
      <c r="C1374" s="313"/>
      <c r="D1374" s="314"/>
      <c r="E1374" s="288"/>
      <c r="F1374" s="82">
        <v>6</v>
      </c>
      <c r="G1374" s="180" t="s">
        <v>349</v>
      </c>
      <c r="H1374" s="235">
        <v>0</v>
      </c>
      <c r="I1374" s="329"/>
      <c r="J1374" s="329"/>
      <c r="K1374" s="329"/>
      <c r="L1374" s="235">
        <v>0</v>
      </c>
      <c r="M1374" s="329"/>
      <c r="N1374" s="329"/>
      <c r="O1374" s="329"/>
      <c r="P1374" s="329"/>
    </row>
    <row r="1375" spans="2:16" ht="18" customHeight="1">
      <c r="B1375" s="284"/>
      <c r="C1375" s="309" t="s">
        <v>430</v>
      </c>
      <c r="D1375" s="310"/>
      <c r="E1375" s="287" t="str">
        <f>HYPERLINK("#LAYOUT_m1!lay중YDLQ1A12","YDLQ1A12")</f>
        <v>YDLQ1A12</v>
      </c>
      <c r="F1375" s="78">
        <v>1</v>
      </c>
      <c r="G1375" s="179" t="s">
        <v>418</v>
      </c>
      <c r="H1375" s="233">
        <v>99.976441702546879</v>
      </c>
      <c r="I1375" s="327"/>
      <c r="J1375" s="327"/>
      <c r="K1375" s="327"/>
      <c r="L1375" s="233">
        <v>98.429144252554238</v>
      </c>
      <c r="M1375" s="327"/>
      <c r="N1375" s="327"/>
      <c r="O1375" s="327"/>
      <c r="P1375" s="327"/>
    </row>
    <row r="1376" spans="2:16" ht="18" customHeight="1">
      <c r="B1376" s="284"/>
      <c r="C1376" s="311"/>
      <c r="D1376" s="312"/>
      <c r="E1376" s="289"/>
      <c r="F1376" s="79">
        <v>2</v>
      </c>
      <c r="G1376" s="178" t="s">
        <v>345</v>
      </c>
      <c r="H1376" s="234">
        <v>2.3558297453123517E-2</v>
      </c>
      <c r="I1376" s="328"/>
      <c r="J1376" s="328"/>
      <c r="K1376" s="328"/>
      <c r="L1376" s="234">
        <v>0.18814355025883941</v>
      </c>
      <c r="M1376" s="328"/>
      <c r="N1376" s="328"/>
      <c r="O1376" s="328"/>
      <c r="P1376" s="328"/>
    </row>
    <row r="1377" spans="2:16" ht="18" customHeight="1">
      <c r="B1377" s="284"/>
      <c r="C1377" s="311"/>
      <c r="D1377" s="312"/>
      <c r="E1377" s="289"/>
      <c r="F1377" s="79">
        <v>3</v>
      </c>
      <c r="G1377" s="178" t="s">
        <v>419</v>
      </c>
      <c r="H1377" s="234">
        <v>0</v>
      </c>
      <c r="I1377" s="328"/>
      <c r="J1377" s="328"/>
      <c r="K1377" s="328"/>
      <c r="L1377" s="234">
        <v>0.59310367083237447</v>
      </c>
      <c r="M1377" s="328"/>
      <c r="N1377" s="328"/>
      <c r="O1377" s="328"/>
      <c r="P1377" s="328"/>
    </row>
    <row r="1378" spans="2:16" ht="18" customHeight="1">
      <c r="B1378" s="284"/>
      <c r="C1378" s="311"/>
      <c r="D1378" s="312"/>
      <c r="E1378" s="289"/>
      <c r="F1378" s="79">
        <v>4</v>
      </c>
      <c r="G1378" s="178" t="s">
        <v>347</v>
      </c>
      <c r="H1378" s="234">
        <v>0</v>
      </c>
      <c r="I1378" s="328"/>
      <c r="J1378" s="328"/>
      <c r="K1378" s="328"/>
      <c r="L1378" s="234">
        <v>0.715681347515285</v>
      </c>
      <c r="M1378" s="328"/>
      <c r="N1378" s="328"/>
      <c r="O1378" s="328"/>
      <c r="P1378" s="328"/>
    </row>
    <row r="1379" spans="2:16" ht="18" customHeight="1">
      <c r="B1379" s="284"/>
      <c r="C1379" s="311"/>
      <c r="D1379" s="312"/>
      <c r="E1379" s="289"/>
      <c r="F1379" s="79">
        <v>5</v>
      </c>
      <c r="G1379" s="178" t="s">
        <v>348</v>
      </c>
      <c r="H1379" s="234">
        <v>0</v>
      </c>
      <c r="I1379" s="328"/>
      <c r="J1379" s="328"/>
      <c r="K1379" s="328"/>
      <c r="L1379" s="234">
        <v>7.3927178839284888E-2</v>
      </c>
      <c r="M1379" s="328"/>
      <c r="N1379" s="328"/>
      <c r="O1379" s="328"/>
      <c r="P1379" s="328"/>
    </row>
    <row r="1380" spans="2:16" ht="18" customHeight="1">
      <c r="B1380" s="284"/>
      <c r="C1380" s="313"/>
      <c r="D1380" s="314"/>
      <c r="E1380" s="288"/>
      <c r="F1380" s="82">
        <v>6</v>
      </c>
      <c r="G1380" s="180" t="s">
        <v>349</v>
      </c>
      <c r="H1380" s="235">
        <v>0</v>
      </c>
      <c r="I1380" s="329"/>
      <c r="J1380" s="329"/>
      <c r="K1380" s="329"/>
      <c r="L1380" s="235">
        <v>0</v>
      </c>
      <c r="M1380" s="329"/>
      <c r="N1380" s="329"/>
      <c r="O1380" s="329"/>
      <c r="P1380" s="329"/>
    </row>
    <row r="1381" spans="2:16" ht="18" customHeight="1">
      <c r="B1381" s="284"/>
      <c r="C1381" s="309" t="s">
        <v>431</v>
      </c>
      <c r="D1381" s="310"/>
      <c r="E1381" s="287" t="str">
        <f>HYPERLINK("#LAYOUT_m1!lay중YDLQ1A13","YDLQ1A13")</f>
        <v>YDLQ1A13</v>
      </c>
      <c r="F1381" s="78">
        <v>1</v>
      </c>
      <c r="G1381" s="179" t="s">
        <v>418</v>
      </c>
      <c r="H1381" s="233">
        <v>99.664219650689105</v>
      </c>
      <c r="I1381" s="327"/>
      <c r="J1381" s="327"/>
      <c r="K1381" s="327"/>
      <c r="L1381" s="233">
        <v>98.553568055798138</v>
      </c>
      <c r="M1381" s="327"/>
      <c r="N1381" s="327"/>
      <c r="O1381" s="327"/>
      <c r="P1381" s="327"/>
    </row>
    <row r="1382" spans="2:16" ht="18" customHeight="1">
      <c r="B1382" s="284"/>
      <c r="C1382" s="311"/>
      <c r="D1382" s="312"/>
      <c r="E1382" s="289"/>
      <c r="F1382" s="79">
        <v>2</v>
      </c>
      <c r="G1382" s="178" t="s">
        <v>345</v>
      </c>
      <c r="H1382" s="234">
        <v>0.21063235900212376</v>
      </c>
      <c r="I1382" s="328"/>
      <c r="J1382" s="328"/>
      <c r="K1382" s="328"/>
      <c r="L1382" s="234">
        <v>0.13661102921092444</v>
      </c>
      <c r="M1382" s="328"/>
      <c r="N1382" s="328"/>
      <c r="O1382" s="328"/>
      <c r="P1382" s="328"/>
    </row>
    <row r="1383" spans="2:16" ht="18" customHeight="1">
      <c r="B1383" s="284"/>
      <c r="C1383" s="311"/>
      <c r="D1383" s="312"/>
      <c r="E1383" s="289"/>
      <c r="F1383" s="79">
        <v>3</v>
      </c>
      <c r="G1383" s="178" t="s">
        <v>419</v>
      </c>
      <c r="H1383" s="234">
        <v>5.3640378582398222E-2</v>
      </c>
      <c r="I1383" s="328"/>
      <c r="J1383" s="328"/>
      <c r="K1383" s="328"/>
      <c r="L1383" s="234">
        <v>0.56827854374694076</v>
      </c>
      <c r="M1383" s="328"/>
      <c r="N1383" s="328"/>
      <c r="O1383" s="328"/>
      <c r="P1383" s="328"/>
    </row>
    <row r="1384" spans="2:16" ht="18" customHeight="1">
      <c r="B1384" s="284"/>
      <c r="C1384" s="311"/>
      <c r="D1384" s="312"/>
      <c r="E1384" s="289"/>
      <c r="F1384" s="79">
        <v>4</v>
      </c>
      <c r="G1384" s="178" t="s">
        <v>347</v>
      </c>
      <c r="H1384" s="234">
        <v>4.3698893009145139E-2</v>
      </c>
      <c r="I1384" s="328"/>
      <c r="J1384" s="328"/>
      <c r="K1384" s="328"/>
      <c r="L1384" s="234">
        <v>0.52552282196644096</v>
      </c>
      <c r="M1384" s="328"/>
      <c r="N1384" s="328"/>
      <c r="O1384" s="328"/>
      <c r="P1384" s="328"/>
    </row>
    <row r="1385" spans="2:16" ht="18" customHeight="1">
      <c r="B1385" s="284"/>
      <c r="C1385" s="311"/>
      <c r="D1385" s="312"/>
      <c r="E1385" s="289"/>
      <c r="F1385" s="79">
        <v>5</v>
      </c>
      <c r="G1385" s="178" t="s">
        <v>348</v>
      </c>
      <c r="H1385" s="234">
        <v>0</v>
      </c>
      <c r="I1385" s="328"/>
      <c r="J1385" s="328"/>
      <c r="K1385" s="328"/>
      <c r="L1385" s="234">
        <v>0.21601954927752995</v>
      </c>
      <c r="M1385" s="328"/>
      <c r="N1385" s="328"/>
      <c r="O1385" s="328"/>
      <c r="P1385" s="328"/>
    </row>
    <row r="1386" spans="2:16" ht="18" customHeight="1">
      <c r="B1386" s="284"/>
      <c r="C1386" s="313"/>
      <c r="D1386" s="314"/>
      <c r="E1386" s="288"/>
      <c r="F1386" s="82">
        <v>6</v>
      </c>
      <c r="G1386" s="180" t="s">
        <v>349</v>
      </c>
      <c r="H1386" s="235">
        <v>2.7808718717218656E-2</v>
      </c>
      <c r="I1386" s="329"/>
      <c r="J1386" s="329"/>
      <c r="K1386" s="329"/>
      <c r="L1386" s="235">
        <v>0</v>
      </c>
      <c r="M1386" s="329"/>
      <c r="N1386" s="329"/>
      <c r="O1386" s="329"/>
      <c r="P1386" s="329"/>
    </row>
    <row r="1387" spans="2:16" ht="18" customHeight="1">
      <c r="B1387" s="284"/>
      <c r="C1387" s="309" t="s">
        <v>432</v>
      </c>
      <c r="D1387" s="310"/>
      <c r="E1387" s="287" t="str">
        <f>HYPERLINK("#LAYOUT_m1!lay중YDLQ1A14","YDLQ1A14")</f>
        <v>YDLQ1A14</v>
      </c>
      <c r="F1387" s="78">
        <v>1</v>
      </c>
      <c r="G1387" s="179" t="s">
        <v>418</v>
      </c>
      <c r="H1387" s="233">
        <v>98.707348709184643</v>
      </c>
      <c r="I1387" s="327"/>
      <c r="J1387" s="327"/>
      <c r="K1387" s="327"/>
      <c r="L1387" s="233">
        <v>97.641431582628414</v>
      </c>
      <c r="M1387" s="327"/>
      <c r="N1387" s="327"/>
      <c r="O1387" s="327"/>
      <c r="P1387" s="327"/>
    </row>
    <row r="1388" spans="2:16" ht="18" customHeight="1">
      <c r="B1388" s="284"/>
      <c r="C1388" s="311"/>
      <c r="D1388" s="312"/>
      <c r="E1388" s="289"/>
      <c r="F1388" s="79">
        <v>2</v>
      </c>
      <c r="G1388" s="178" t="s">
        <v>345</v>
      </c>
      <c r="H1388" s="234">
        <v>0.98959662837680062</v>
      </c>
      <c r="I1388" s="328"/>
      <c r="J1388" s="328"/>
      <c r="K1388" s="328"/>
      <c r="L1388" s="234">
        <v>0.97027692511611363</v>
      </c>
      <c r="M1388" s="328"/>
      <c r="N1388" s="328"/>
      <c r="O1388" s="328"/>
      <c r="P1388" s="328"/>
    </row>
    <row r="1389" spans="2:16" ht="18" customHeight="1">
      <c r="B1389" s="284"/>
      <c r="C1389" s="311"/>
      <c r="D1389" s="312"/>
      <c r="E1389" s="289"/>
      <c r="F1389" s="79">
        <v>3</v>
      </c>
      <c r="G1389" s="178" t="s">
        <v>419</v>
      </c>
      <c r="H1389" s="234">
        <v>0.12281307693438653</v>
      </c>
      <c r="I1389" s="328"/>
      <c r="J1389" s="328"/>
      <c r="K1389" s="328"/>
      <c r="L1389" s="234">
        <v>0.70453854255612791</v>
      </c>
      <c r="M1389" s="328"/>
      <c r="N1389" s="328"/>
      <c r="O1389" s="328"/>
      <c r="P1389" s="328"/>
    </row>
    <row r="1390" spans="2:16" ht="18" customHeight="1">
      <c r="B1390" s="284"/>
      <c r="C1390" s="311"/>
      <c r="D1390" s="312"/>
      <c r="E1390" s="289"/>
      <c r="F1390" s="79">
        <v>4</v>
      </c>
      <c r="G1390" s="178" t="s">
        <v>347</v>
      </c>
      <c r="H1390" s="234">
        <v>0.13173462247975112</v>
      </c>
      <c r="I1390" s="328"/>
      <c r="J1390" s="328"/>
      <c r="K1390" s="328"/>
      <c r="L1390" s="234">
        <v>0.65206987305393982</v>
      </c>
      <c r="M1390" s="328"/>
      <c r="N1390" s="328"/>
      <c r="O1390" s="328"/>
      <c r="P1390" s="328"/>
    </row>
    <row r="1391" spans="2:16" ht="18" customHeight="1">
      <c r="B1391" s="284"/>
      <c r="C1391" s="311"/>
      <c r="D1391" s="312"/>
      <c r="E1391" s="289"/>
      <c r="F1391" s="79">
        <v>5</v>
      </c>
      <c r="G1391" s="178" t="s">
        <v>348</v>
      </c>
      <c r="H1391" s="234">
        <v>4.8506963024433379E-2</v>
      </c>
      <c r="I1391" s="328"/>
      <c r="J1391" s="328"/>
      <c r="K1391" s="328"/>
      <c r="L1391" s="234">
        <v>3.168307664540787E-2</v>
      </c>
      <c r="M1391" s="328"/>
      <c r="N1391" s="328"/>
      <c r="O1391" s="328"/>
      <c r="P1391" s="328"/>
    </row>
    <row r="1392" spans="2:16" ht="18" customHeight="1">
      <c r="B1392" s="284"/>
      <c r="C1392" s="313"/>
      <c r="D1392" s="314"/>
      <c r="E1392" s="288"/>
      <c r="F1392" s="82">
        <v>6</v>
      </c>
      <c r="G1392" s="180" t="s">
        <v>349</v>
      </c>
      <c r="H1392" s="235">
        <v>0</v>
      </c>
      <c r="I1392" s="329"/>
      <c r="J1392" s="329"/>
      <c r="K1392" s="329"/>
      <c r="L1392" s="235">
        <v>0</v>
      </c>
      <c r="M1392" s="329"/>
      <c r="N1392" s="329"/>
      <c r="O1392" s="329"/>
      <c r="P1392" s="329"/>
    </row>
    <row r="1393" spans="2:16" ht="18" customHeight="1">
      <c r="B1393" s="284"/>
      <c r="C1393" s="309" t="s">
        <v>433</v>
      </c>
      <c r="D1393" s="310"/>
      <c r="E1393" s="287" t="str">
        <f>HYPERLINK("#LAYOUT_m1!lay중YDLQ1A15","YDLQ1A15")</f>
        <v>YDLQ1A15</v>
      </c>
      <c r="F1393" s="78">
        <v>1</v>
      </c>
      <c r="G1393" s="179" t="s">
        <v>418</v>
      </c>
      <c r="H1393" s="233">
        <v>88.695830347921728</v>
      </c>
      <c r="I1393" s="327"/>
      <c r="J1393" s="327"/>
      <c r="K1393" s="327"/>
      <c r="L1393" s="233">
        <v>91.568365051248108</v>
      </c>
      <c r="M1393" s="327"/>
      <c r="N1393" s="327"/>
      <c r="O1393" s="327"/>
      <c r="P1393" s="327"/>
    </row>
    <row r="1394" spans="2:16" ht="18" customHeight="1">
      <c r="B1394" s="284"/>
      <c r="C1394" s="311"/>
      <c r="D1394" s="312"/>
      <c r="E1394" s="289"/>
      <c r="F1394" s="79">
        <v>2</v>
      </c>
      <c r="G1394" s="178" t="s">
        <v>345</v>
      </c>
      <c r="H1394" s="234">
        <v>6.5125222907974782</v>
      </c>
      <c r="I1394" s="328"/>
      <c r="J1394" s="328"/>
      <c r="K1394" s="328"/>
      <c r="L1394" s="234">
        <v>3.4376016950404047</v>
      </c>
      <c r="M1394" s="328"/>
      <c r="N1394" s="328"/>
      <c r="O1394" s="328"/>
      <c r="P1394" s="328"/>
    </row>
    <row r="1395" spans="2:16" ht="18" customHeight="1">
      <c r="B1395" s="284"/>
      <c r="C1395" s="311"/>
      <c r="D1395" s="312"/>
      <c r="E1395" s="289"/>
      <c r="F1395" s="79">
        <v>3</v>
      </c>
      <c r="G1395" s="178" t="s">
        <v>419</v>
      </c>
      <c r="H1395" s="234">
        <v>1.137685468833832</v>
      </c>
      <c r="I1395" s="328"/>
      <c r="J1395" s="328"/>
      <c r="K1395" s="328"/>
      <c r="L1395" s="234">
        <v>1.467656983591263</v>
      </c>
      <c r="M1395" s="328"/>
      <c r="N1395" s="328"/>
      <c r="O1395" s="328"/>
      <c r="P1395" s="328"/>
    </row>
    <row r="1396" spans="2:16" ht="18" customHeight="1">
      <c r="B1396" s="284"/>
      <c r="C1396" s="311"/>
      <c r="D1396" s="312"/>
      <c r="E1396" s="289"/>
      <c r="F1396" s="79">
        <v>4</v>
      </c>
      <c r="G1396" s="178" t="s">
        <v>347</v>
      </c>
      <c r="H1396" s="234">
        <v>0.95172561492344898</v>
      </c>
      <c r="I1396" s="328"/>
      <c r="J1396" s="328"/>
      <c r="K1396" s="328"/>
      <c r="L1396" s="234">
        <v>1.5018879076790173</v>
      </c>
      <c r="M1396" s="328"/>
      <c r="N1396" s="328"/>
      <c r="O1396" s="328"/>
      <c r="P1396" s="328"/>
    </row>
    <row r="1397" spans="2:16" ht="18" customHeight="1">
      <c r="B1397" s="284"/>
      <c r="C1397" s="311"/>
      <c r="D1397" s="312"/>
      <c r="E1397" s="289"/>
      <c r="F1397" s="79">
        <v>5</v>
      </c>
      <c r="G1397" s="178" t="s">
        <v>348</v>
      </c>
      <c r="H1397" s="234">
        <v>0.95917404285962271</v>
      </c>
      <c r="I1397" s="328"/>
      <c r="J1397" s="328"/>
      <c r="K1397" s="328"/>
      <c r="L1397" s="234">
        <v>0.7959893965819379</v>
      </c>
      <c r="M1397" s="328"/>
      <c r="N1397" s="328"/>
      <c r="O1397" s="328"/>
      <c r="P1397" s="328"/>
    </row>
    <row r="1398" spans="2:16" ht="18" customHeight="1">
      <c r="B1398" s="286"/>
      <c r="C1398" s="313"/>
      <c r="D1398" s="314"/>
      <c r="E1398" s="288"/>
      <c r="F1398" s="82">
        <v>6</v>
      </c>
      <c r="G1398" s="180" t="s">
        <v>349</v>
      </c>
      <c r="H1398" s="235">
        <v>1.7430622346639455</v>
      </c>
      <c r="I1398" s="329"/>
      <c r="J1398" s="329"/>
      <c r="K1398" s="329"/>
      <c r="L1398" s="235">
        <v>1.2284989658592989</v>
      </c>
      <c r="M1398" s="329"/>
      <c r="N1398" s="329"/>
      <c r="O1398" s="329"/>
      <c r="P1398" s="329"/>
    </row>
    <row r="1399" spans="2:16" ht="18" customHeight="1">
      <c r="B1399" s="282" t="s">
        <v>434</v>
      </c>
      <c r="C1399" s="309" t="s">
        <v>435</v>
      </c>
      <c r="D1399" s="310"/>
      <c r="E1399" s="287" t="str">
        <f>HYPERLINK("#LAYOUT_m1!lay중YDLQ2A01","YDLQ2A01")</f>
        <v>YDLQ2A01</v>
      </c>
      <c r="F1399" s="78">
        <v>1</v>
      </c>
      <c r="G1399" s="179" t="s">
        <v>418</v>
      </c>
      <c r="H1399" s="233">
        <v>69.897202992736581</v>
      </c>
      <c r="I1399" s="327"/>
      <c r="J1399" s="327"/>
      <c r="K1399" s="327"/>
      <c r="L1399" s="233">
        <v>79.129562316080566</v>
      </c>
      <c r="M1399" s="327"/>
      <c r="N1399" s="327"/>
      <c r="O1399" s="327"/>
      <c r="P1399" s="327"/>
    </row>
    <row r="1400" spans="2:16" ht="18" customHeight="1">
      <c r="B1400" s="284"/>
      <c r="C1400" s="311"/>
      <c r="D1400" s="312"/>
      <c r="E1400" s="289"/>
      <c r="F1400" s="79">
        <v>2</v>
      </c>
      <c r="G1400" s="178" t="s">
        <v>345</v>
      </c>
      <c r="H1400" s="234">
        <v>14.965825499115375</v>
      </c>
      <c r="I1400" s="328"/>
      <c r="J1400" s="328"/>
      <c r="K1400" s="328"/>
      <c r="L1400" s="234">
        <v>9.5859194475201637</v>
      </c>
      <c r="M1400" s="328"/>
      <c r="N1400" s="328"/>
      <c r="O1400" s="328"/>
      <c r="P1400" s="328"/>
    </row>
    <row r="1401" spans="2:16" ht="18" customHeight="1">
      <c r="B1401" s="284"/>
      <c r="C1401" s="311"/>
      <c r="D1401" s="312"/>
      <c r="E1401" s="289"/>
      <c r="F1401" s="79">
        <v>3</v>
      </c>
      <c r="G1401" s="178" t="s">
        <v>419</v>
      </c>
      <c r="H1401" s="234">
        <v>3.747543798476876</v>
      </c>
      <c r="I1401" s="328"/>
      <c r="J1401" s="328"/>
      <c r="K1401" s="328"/>
      <c r="L1401" s="234">
        <v>3.1901914495725965</v>
      </c>
      <c r="M1401" s="328"/>
      <c r="N1401" s="328"/>
      <c r="O1401" s="328"/>
      <c r="P1401" s="328"/>
    </row>
    <row r="1402" spans="2:16" ht="18" customHeight="1">
      <c r="B1402" s="284"/>
      <c r="C1402" s="311"/>
      <c r="D1402" s="312"/>
      <c r="E1402" s="289"/>
      <c r="F1402" s="79">
        <v>4</v>
      </c>
      <c r="G1402" s="178" t="s">
        <v>347</v>
      </c>
      <c r="H1402" s="234">
        <v>3.4255204513654629</v>
      </c>
      <c r="I1402" s="328"/>
      <c r="J1402" s="328"/>
      <c r="K1402" s="328"/>
      <c r="L1402" s="234">
        <v>3.0487773817813326</v>
      </c>
      <c r="M1402" s="328"/>
      <c r="N1402" s="328"/>
      <c r="O1402" s="328"/>
      <c r="P1402" s="328"/>
    </row>
    <row r="1403" spans="2:16" ht="18" customHeight="1">
      <c r="B1403" s="284"/>
      <c r="C1403" s="311"/>
      <c r="D1403" s="312"/>
      <c r="E1403" s="289"/>
      <c r="F1403" s="79">
        <v>5</v>
      </c>
      <c r="G1403" s="178" t="s">
        <v>348</v>
      </c>
      <c r="H1403" s="234">
        <v>3.1589049510839007</v>
      </c>
      <c r="I1403" s="328"/>
      <c r="J1403" s="328"/>
      <c r="K1403" s="328"/>
      <c r="L1403" s="234">
        <v>1.7604766362691822</v>
      </c>
      <c r="M1403" s="328"/>
      <c r="N1403" s="328"/>
      <c r="O1403" s="328"/>
      <c r="P1403" s="328"/>
    </row>
    <row r="1404" spans="2:16" ht="18" customHeight="1">
      <c r="B1404" s="284"/>
      <c r="C1404" s="313"/>
      <c r="D1404" s="314"/>
      <c r="E1404" s="288"/>
      <c r="F1404" s="82">
        <v>6</v>
      </c>
      <c r="G1404" s="180" t="s">
        <v>349</v>
      </c>
      <c r="H1404" s="235">
        <v>4.8050023072218302</v>
      </c>
      <c r="I1404" s="329"/>
      <c r="J1404" s="329"/>
      <c r="K1404" s="329"/>
      <c r="L1404" s="235">
        <v>3.2850727687762076</v>
      </c>
      <c r="M1404" s="329"/>
      <c r="N1404" s="329"/>
      <c r="O1404" s="329"/>
      <c r="P1404" s="329"/>
    </row>
    <row r="1405" spans="2:16" ht="18" customHeight="1">
      <c r="B1405" s="284"/>
      <c r="C1405" s="309" t="s">
        <v>436</v>
      </c>
      <c r="D1405" s="310"/>
      <c r="E1405" s="287" t="str">
        <f>HYPERLINK("#LAYOUT_m1!lay중YDLQ2A02","YDLQ2A02")</f>
        <v>YDLQ2A02</v>
      </c>
      <c r="F1405" s="78">
        <v>1</v>
      </c>
      <c r="G1405" s="179" t="s">
        <v>418</v>
      </c>
      <c r="H1405" s="233">
        <v>88.542374731516944</v>
      </c>
      <c r="I1405" s="327"/>
      <c r="J1405" s="327"/>
      <c r="K1405" s="327"/>
      <c r="L1405" s="233">
        <v>92.711785848303521</v>
      </c>
      <c r="M1405" s="327"/>
      <c r="N1405" s="327"/>
      <c r="O1405" s="327"/>
      <c r="P1405" s="327"/>
    </row>
    <row r="1406" spans="2:16" ht="18" customHeight="1">
      <c r="B1406" s="284"/>
      <c r="C1406" s="311"/>
      <c r="D1406" s="312"/>
      <c r="E1406" s="289"/>
      <c r="F1406" s="79">
        <v>2</v>
      </c>
      <c r="G1406" s="178" t="s">
        <v>345</v>
      </c>
      <c r="H1406" s="234">
        <v>7.8452167130500881</v>
      </c>
      <c r="I1406" s="328"/>
      <c r="J1406" s="328"/>
      <c r="K1406" s="328"/>
      <c r="L1406" s="234">
        <v>4.1752712661853941</v>
      </c>
      <c r="M1406" s="328"/>
      <c r="N1406" s="328"/>
      <c r="O1406" s="328"/>
      <c r="P1406" s="328"/>
    </row>
    <row r="1407" spans="2:16" ht="18" customHeight="1">
      <c r="B1407" s="284"/>
      <c r="C1407" s="311"/>
      <c r="D1407" s="312"/>
      <c r="E1407" s="289"/>
      <c r="F1407" s="79">
        <v>3</v>
      </c>
      <c r="G1407" s="178" t="s">
        <v>419</v>
      </c>
      <c r="H1407" s="234">
        <v>1.8902124881719649</v>
      </c>
      <c r="I1407" s="328"/>
      <c r="J1407" s="328"/>
      <c r="K1407" s="328"/>
      <c r="L1407" s="234">
        <v>1.2481204767993022</v>
      </c>
      <c r="M1407" s="328"/>
      <c r="N1407" s="328"/>
      <c r="O1407" s="328"/>
      <c r="P1407" s="328"/>
    </row>
    <row r="1408" spans="2:16" ht="18" customHeight="1">
      <c r="B1408" s="284"/>
      <c r="C1408" s="311"/>
      <c r="D1408" s="312"/>
      <c r="E1408" s="289"/>
      <c r="F1408" s="79">
        <v>4</v>
      </c>
      <c r="G1408" s="178" t="s">
        <v>347</v>
      </c>
      <c r="H1408" s="234">
        <v>0.96051185333672351</v>
      </c>
      <c r="I1408" s="328"/>
      <c r="J1408" s="328"/>
      <c r="K1408" s="328"/>
      <c r="L1408" s="234">
        <v>1.4941959434738803</v>
      </c>
      <c r="M1408" s="328"/>
      <c r="N1408" s="328"/>
      <c r="O1408" s="328"/>
      <c r="P1408" s="328"/>
    </row>
    <row r="1409" spans="2:16" ht="18" customHeight="1">
      <c r="B1409" s="284"/>
      <c r="C1409" s="311"/>
      <c r="D1409" s="312"/>
      <c r="E1409" s="289"/>
      <c r="F1409" s="79">
        <v>5</v>
      </c>
      <c r="G1409" s="178" t="s">
        <v>348</v>
      </c>
      <c r="H1409" s="234">
        <v>0.54034998060388484</v>
      </c>
      <c r="I1409" s="328"/>
      <c r="J1409" s="328"/>
      <c r="K1409" s="328"/>
      <c r="L1409" s="234">
        <v>0.29764219456605862</v>
      </c>
      <c r="M1409" s="328"/>
      <c r="N1409" s="328"/>
      <c r="O1409" s="328"/>
      <c r="P1409" s="328"/>
    </row>
    <row r="1410" spans="2:16" ht="18" customHeight="1">
      <c r="B1410" s="284"/>
      <c r="C1410" s="313"/>
      <c r="D1410" s="314"/>
      <c r="E1410" s="288"/>
      <c r="F1410" s="82">
        <v>6</v>
      </c>
      <c r="G1410" s="180" t="s">
        <v>349</v>
      </c>
      <c r="H1410" s="235">
        <v>0.22133423332040045</v>
      </c>
      <c r="I1410" s="329"/>
      <c r="J1410" s="329"/>
      <c r="K1410" s="329"/>
      <c r="L1410" s="235">
        <v>7.2984270671839116E-2</v>
      </c>
      <c r="M1410" s="329"/>
      <c r="N1410" s="329"/>
      <c r="O1410" s="329"/>
      <c r="P1410" s="329"/>
    </row>
    <row r="1411" spans="2:16" ht="18" customHeight="1">
      <c r="B1411" s="284"/>
      <c r="C1411" s="309" t="s">
        <v>437</v>
      </c>
      <c r="D1411" s="310"/>
      <c r="E1411" s="287" t="str">
        <f>HYPERLINK("#LAYOUT_m1!lay중YDLQ2A03","YDLQ2A03")</f>
        <v>YDLQ2A03</v>
      </c>
      <c r="F1411" s="78">
        <v>1</v>
      </c>
      <c r="G1411" s="179" t="s">
        <v>418</v>
      </c>
      <c r="H1411" s="233">
        <v>98.815181353276657</v>
      </c>
      <c r="I1411" s="327"/>
      <c r="J1411" s="327"/>
      <c r="K1411" s="327"/>
      <c r="L1411" s="233">
        <v>97.623329452714515</v>
      </c>
      <c r="M1411" s="327"/>
      <c r="N1411" s="327"/>
      <c r="O1411" s="327"/>
      <c r="P1411" s="327"/>
    </row>
    <row r="1412" spans="2:16" ht="18" customHeight="1">
      <c r="B1412" s="284"/>
      <c r="C1412" s="311"/>
      <c r="D1412" s="312"/>
      <c r="E1412" s="289"/>
      <c r="F1412" s="79">
        <v>2</v>
      </c>
      <c r="G1412" s="178" t="s">
        <v>345</v>
      </c>
      <c r="H1412" s="234">
        <v>0.82073105158773052</v>
      </c>
      <c r="I1412" s="328"/>
      <c r="J1412" s="328"/>
      <c r="K1412" s="328"/>
      <c r="L1412" s="234">
        <v>0.70005130653280279</v>
      </c>
      <c r="M1412" s="328"/>
      <c r="N1412" s="328"/>
      <c r="O1412" s="328"/>
      <c r="P1412" s="328"/>
    </row>
    <row r="1413" spans="2:16" ht="18" customHeight="1">
      <c r="B1413" s="284"/>
      <c r="C1413" s="311"/>
      <c r="D1413" s="312"/>
      <c r="E1413" s="289"/>
      <c r="F1413" s="79">
        <v>3</v>
      </c>
      <c r="G1413" s="178" t="s">
        <v>419</v>
      </c>
      <c r="H1413" s="234">
        <v>0.14152439293145452</v>
      </c>
      <c r="I1413" s="328"/>
      <c r="J1413" s="328"/>
      <c r="K1413" s="328"/>
      <c r="L1413" s="234">
        <v>0.83963751042872981</v>
      </c>
      <c r="M1413" s="328"/>
      <c r="N1413" s="328"/>
      <c r="O1413" s="328"/>
      <c r="P1413" s="328"/>
    </row>
    <row r="1414" spans="2:16" ht="18" customHeight="1">
      <c r="B1414" s="284"/>
      <c r="C1414" s="311"/>
      <c r="D1414" s="312"/>
      <c r="E1414" s="289"/>
      <c r="F1414" s="79">
        <v>4</v>
      </c>
      <c r="G1414" s="178" t="s">
        <v>347</v>
      </c>
      <c r="H1414" s="234">
        <v>0.20988828903461587</v>
      </c>
      <c r="I1414" s="328"/>
      <c r="J1414" s="328"/>
      <c r="K1414" s="328"/>
      <c r="L1414" s="234">
        <v>0.65507081161115754</v>
      </c>
      <c r="M1414" s="328"/>
      <c r="N1414" s="328"/>
      <c r="O1414" s="328"/>
      <c r="P1414" s="328"/>
    </row>
    <row r="1415" spans="2:16" ht="18" customHeight="1">
      <c r="B1415" s="284"/>
      <c r="C1415" s="311"/>
      <c r="D1415" s="312"/>
      <c r="E1415" s="289"/>
      <c r="F1415" s="79">
        <v>5</v>
      </c>
      <c r="G1415" s="178" t="s">
        <v>348</v>
      </c>
      <c r="H1415" s="234">
        <v>0</v>
      </c>
      <c r="I1415" s="328"/>
      <c r="J1415" s="328"/>
      <c r="K1415" s="328"/>
      <c r="L1415" s="234">
        <v>0.10176227725171326</v>
      </c>
      <c r="M1415" s="328"/>
      <c r="N1415" s="328"/>
      <c r="O1415" s="328"/>
      <c r="P1415" s="328"/>
    </row>
    <row r="1416" spans="2:16" ht="18" customHeight="1">
      <c r="B1416" s="284"/>
      <c r="C1416" s="313"/>
      <c r="D1416" s="314"/>
      <c r="E1416" s="288"/>
      <c r="F1416" s="82">
        <v>6</v>
      </c>
      <c r="G1416" s="180" t="s">
        <v>349</v>
      </c>
      <c r="H1416" s="235">
        <v>1.2674913169503921E-2</v>
      </c>
      <c r="I1416" s="329"/>
      <c r="J1416" s="329"/>
      <c r="K1416" s="329"/>
      <c r="L1416" s="235">
        <v>8.0148641461081707E-2</v>
      </c>
      <c r="M1416" s="329"/>
      <c r="N1416" s="329"/>
      <c r="O1416" s="329"/>
      <c r="P1416" s="329"/>
    </row>
    <row r="1417" spans="2:16" ht="18" customHeight="1">
      <c r="B1417" s="284"/>
      <c r="C1417" s="309" t="s">
        <v>438</v>
      </c>
      <c r="D1417" s="310"/>
      <c r="E1417" s="287" t="str">
        <f>HYPERLINK("#LAYOUT_m1!lay중YDLQ2A04","YDLQ2A04")</f>
        <v>YDLQ2A04</v>
      </c>
      <c r="F1417" s="78">
        <v>1</v>
      </c>
      <c r="G1417" s="179" t="s">
        <v>418</v>
      </c>
      <c r="H1417" s="233">
        <v>94.24541033956929</v>
      </c>
      <c r="I1417" s="327"/>
      <c r="J1417" s="327"/>
      <c r="K1417" s="327"/>
      <c r="L1417" s="233">
        <v>94.932496031081854</v>
      </c>
      <c r="M1417" s="327"/>
      <c r="N1417" s="327"/>
      <c r="O1417" s="327"/>
      <c r="P1417" s="327"/>
    </row>
    <row r="1418" spans="2:16" ht="18" customHeight="1">
      <c r="B1418" s="284"/>
      <c r="C1418" s="311"/>
      <c r="D1418" s="312"/>
      <c r="E1418" s="289"/>
      <c r="F1418" s="79">
        <v>2</v>
      </c>
      <c r="G1418" s="178" t="s">
        <v>345</v>
      </c>
      <c r="H1418" s="234">
        <v>4.4861759675901363</v>
      </c>
      <c r="I1418" s="328"/>
      <c r="J1418" s="328"/>
      <c r="K1418" s="328"/>
      <c r="L1418" s="234">
        <v>2.74233445256194</v>
      </c>
      <c r="M1418" s="328"/>
      <c r="N1418" s="328"/>
      <c r="O1418" s="328"/>
      <c r="P1418" s="328"/>
    </row>
    <row r="1419" spans="2:16" ht="18" customHeight="1">
      <c r="B1419" s="284"/>
      <c r="C1419" s="311"/>
      <c r="D1419" s="312"/>
      <c r="E1419" s="289"/>
      <c r="F1419" s="79">
        <v>3</v>
      </c>
      <c r="G1419" s="178" t="s">
        <v>419</v>
      </c>
      <c r="H1419" s="234">
        <v>0.80487270607077055</v>
      </c>
      <c r="I1419" s="328"/>
      <c r="J1419" s="328"/>
      <c r="K1419" s="328"/>
      <c r="L1419" s="234">
        <v>1.0658435548987519</v>
      </c>
      <c r="M1419" s="328"/>
      <c r="N1419" s="328"/>
      <c r="O1419" s="328"/>
      <c r="P1419" s="328"/>
    </row>
    <row r="1420" spans="2:16" ht="18" customHeight="1">
      <c r="B1420" s="284"/>
      <c r="C1420" s="311"/>
      <c r="D1420" s="312"/>
      <c r="E1420" s="289"/>
      <c r="F1420" s="79">
        <v>4</v>
      </c>
      <c r="G1420" s="178" t="s">
        <v>347</v>
      </c>
      <c r="H1420" s="234">
        <v>0.20544297951812768</v>
      </c>
      <c r="I1420" s="328"/>
      <c r="J1420" s="328"/>
      <c r="K1420" s="328"/>
      <c r="L1420" s="234">
        <v>1.0475277603699913</v>
      </c>
      <c r="M1420" s="328"/>
      <c r="N1420" s="328"/>
      <c r="O1420" s="328"/>
      <c r="P1420" s="328"/>
    </row>
    <row r="1421" spans="2:16" ht="18" customHeight="1">
      <c r="B1421" s="284"/>
      <c r="C1421" s="311"/>
      <c r="D1421" s="312"/>
      <c r="E1421" s="289"/>
      <c r="F1421" s="79">
        <v>5</v>
      </c>
      <c r="G1421" s="178" t="s">
        <v>348</v>
      </c>
      <c r="H1421" s="234">
        <v>0.21225823384487758</v>
      </c>
      <c r="I1421" s="328"/>
      <c r="J1421" s="328"/>
      <c r="K1421" s="328"/>
      <c r="L1421" s="234">
        <v>0.1471849814524579</v>
      </c>
      <c r="M1421" s="328"/>
      <c r="N1421" s="328"/>
      <c r="O1421" s="328"/>
      <c r="P1421" s="328"/>
    </row>
    <row r="1422" spans="2:16" ht="18" customHeight="1">
      <c r="B1422" s="284"/>
      <c r="C1422" s="313"/>
      <c r="D1422" s="314"/>
      <c r="E1422" s="288"/>
      <c r="F1422" s="82">
        <v>6</v>
      </c>
      <c r="G1422" s="180" t="s">
        <v>349</v>
      </c>
      <c r="H1422" s="235">
        <v>4.5839773406739455E-2</v>
      </c>
      <c r="I1422" s="329"/>
      <c r="J1422" s="329"/>
      <c r="K1422" s="329"/>
      <c r="L1422" s="235">
        <v>6.4613219634986119E-2</v>
      </c>
      <c r="M1422" s="329"/>
      <c r="N1422" s="329"/>
      <c r="O1422" s="329"/>
      <c r="P1422" s="329"/>
    </row>
    <row r="1423" spans="2:16" ht="18" customHeight="1">
      <c r="B1423" s="284"/>
      <c r="C1423" s="309" t="s">
        <v>439</v>
      </c>
      <c r="D1423" s="310"/>
      <c r="E1423" s="287" t="str">
        <f>HYPERLINK("#LAYOUT_m1!lay중YDLQ2A05","YDLQ2A05")</f>
        <v>YDLQ2A05</v>
      </c>
      <c r="F1423" s="78">
        <v>1</v>
      </c>
      <c r="G1423" s="179" t="s">
        <v>418</v>
      </c>
      <c r="H1423" s="233">
        <v>99.505487936329033</v>
      </c>
      <c r="I1423" s="327"/>
      <c r="J1423" s="327"/>
      <c r="K1423" s="327"/>
      <c r="L1423" s="233">
        <v>97.778026547556863</v>
      </c>
      <c r="M1423" s="327"/>
      <c r="N1423" s="327"/>
      <c r="O1423" s="327"/>
      <c r="P1423" s="327"/>
    </row>
    <row r="1424" spans="2:16" ht="18" customHeight="1">
      <c r="B1424" s="284"/>
      <c r="C1424" s="311"/>
      <c r="D1424" s="312"/>
      <c r="E1424" s="289"/>
      <c r="F1424" s="79">
        <v>2</v>
      </c>
      <c r="G1424" s="178" t="s">
        <v>345</v>
      </c>
      <c r="H1424" s="234">
        <v>0.3384782454834851</v>
      </c>
      <c r="I1424" s="328"/>
      <c r="J1424" s="328"/>
      <c r="K1424" s="328"/>
      <c r="L1424" s="234">
        <v>0.73862530426494999</v>
      </c>
      <c r="M1424" s="328"/>
      <c r="N1424" s="328"/>
      <c r="O1424" s="328"/>
      <c r="P1424" s="328"/>
    </row>
    <row r="1425" spans="2:16" ht="18" customHeight="1">
      <c r="B1425" s="284"/>
      <c r="C1425" s="311"/>
      <c r="D1425" s="312"/>
      <c r="E1425" s="289"/>
      <c r="F1425" s="79">
        <v>3</v>
      </c>
      <c r="G1425" s="178" t="s">
        <v>419</v>
      </c>
      <c r="H1425" s="234">
        <v>4.6323102907075517E-2</v>
      </c>
      <c r="I1425" s="328"/>
      <c r="J1425" s="328"/>
      <c r="K1425" s="328"/>
      <c r="L1425" s="234">
        <v>0.60661350311967677</v>
      </c>
      <c r="M1425" s="328"/>
      <c r="N1425" s="328"/>
      <c r="O1425" s="328"/>
      <c r="P1425" s="328"/>
    </row>
    <row r="1426" spans="2:16" ht="18" customHeight="1">
      <c r="B1426" s="284"/>
      <c r="C1426" s="311"/>
      <c r="D1426" s="312"/>
      <c r="E1426" s="289"/>
      <c r="F1426" s="79">
        <v>4</v>
      </c>
      <c r="G1426" s="178" t="s">
        <v>347</v>
      </c>
      <c r="H1426" s="234">
        <v>0.10971071528038968</v>
      </c>
      <c r="I1426" s="328"/>
      <c r="J1426" s="328"/>
      <c r="K1426" s="328"/>
      <c r="L1426" s="234">
        <v>0.60460635158817988</v>
      </c>
      <c r="M1426" s="328"/>
      <c r="N1426" s="328"/>
      <c r="O1426" s="328"/>
      <c r="P1426" s="328"/>
    </row>
    <row r="1427" spans="2:16" ht="18" customHeight="1">
      <c r="B1427" s="284"/>
      <c r="C1427" s="311"/>
      <c r="D1427" s="312"/>
      <c r="E1427" s="289"/>
      <c r="F1427" s="79">
        <v>5</v>
      </c>
      <c r="G1427" s="178" t="s">
        <v>348</v>
      </c>
      <c r="H1427" s="234">
        <v>0</v>
      </c>
      <c r="I1427" s="328"/>
      <c r="J1427" s="328"/>
      <c r="K1427" s="328"/>
      <c r="L1427" s="234">
        <v>0.27212829347034168</v>
      </c>
      <c r="M1427" s="328"/>
      <c r="N1427" s="328"/>
      <c r="O1427" s="328"/>
      <c r="P1427" s="328"/>
    </row>
    <row r="1428" spans="2:16" ht="18" customHeight="1">
      <c r="B1428" s="284"/>
      <c r="C1428" s="313"/>
      <c r="D1428" s="314"/>
      <c r="E1428" s="288"/>
      <c r="F1428" s="82">
        <v>6</v>
      </c>
      <c r="G1428" s="180" t="s">
        <v>349</v>
      </c>
      <c r="H1428" s="235">
        <v>0</v>
      </c>
      <c r="I1428" s="329"/>
      <c r="J1428" s="329"/>
      <c r="K1428" s="329"/>
      <c r="L1428" s="235">
        <v>0</v>
      </c>
      <c r="M1428" s="329"/>
      <c r="N1428" s="329"/>
      <c r="O1428" s="329"/>
      <c r="P1428" s="329"/>
    </row>
    <row r="1429" spans="2:16" ht="18" customHeight="1">
      <c r="B1429" s="284"/>
      <c r="C1429" s="309" t="s">
        <v>440</v>
      </c>
      <c r="D1429" s="310"/>
      <c r="E1429" s="287" t="str">
        <f>HYPERLINK("#LAYOUT_m1!lay중YDLQ2A06","YDLQ2A06")</f>
        <v>YDLQ2A06</v>
      </c>
      <c r="F1429" s="78">
        <v>1</v>
      </c>
      <c r="G1429" s="179" t="s">
        <v>418</v>
      </c>
      <c r="H1429" s="233">
        <v>99.813004638447865</v>
      </c>
      <c r="I1429" s="327"/>
      <c r="J1429" s="327"/>
      <c r="K1429" s="327"/>
      <c r="L1429" s="233">
        <v>97.751812729637606</v>
      </c>
      <c r="M1429" s="327"/>
      <c r="N1429" s="327"/>
      <c r="O1429" s="327"/>
      <c r="P1429" s="327"/>
    </row>
    <row r="1430" spans="2:16" ht="18" customHeight="1">
      <c r="B1430" s="284"/>
      <c r="C1430" s="311"/>
      <c r="D1430" s="312"/>
      <c r="E1430" s="289"/>
      <c r="F1430" s="79">
        <v>2</v>
      </c>
      <c r="G1430" s="178" t="s">
        <v>345</v>
      </c>
      <c r="H1430" s="234">
        <v>0.15365734452900628</v>
      </c>
      <c r="I1430" s="328"/>
      <c r="J1430" s="328"/>
      <c r="K1430" s="328"/>
      <c r="L1430" s="234">
        <v>0.56821062675614598</v>
      </c>
      <c r="M1430" s="328"/>
      <c r="N1430" s="328"/>
      <c r="O1430" s="328"/>
      <c r="P1430" s="328"/>
    </row>
    <row r="1431" spans="2:16" ht="18" customHeight="1">
      <c r="B1431" s="284"/>
      <c r="C1431" s="311"/>
      <c r="D1431" s="312"/>
      <c r="E1431" s="289"/>
      <c r="F1431" s="79">
        <v>3</v>
      </c>
      <c r="G1431" s="178" t="s">
        <v>419</v>
      </c>
      <c r="H1431" s="234">
        <v>3.333801702308356E-2</v>
      </c>
      <c r="I1431" s="328"/>
      <c r="J1431" s="328"/>
      <c r="K1431" s="328"/>
      <c r="L1431" s="234">
        <v>0.7304965686976701</v>
      </c>
      <c r="M1431" s="328"/>
      <c r="N1431" s="328"/>
      <c r="O1431" s="328"/>
      <c r="P1431" s="328"/>
    </row>
    <row r="1432" spans="2:16" ht="18" customHeight="1">
      <c r="B1432" s="284"/>
      <c r="C1432" s="311"/>
      <c r="D1432" s="312"/>
      <c r="E1432" s="289"/>
      <c r="F1432" s="79">
        <v>4</v>
      </c>
      <c r="G1432" s="178" t="s">
        <v>347</v>
      </c>
      <c r="H1432" s="234">
        <v>0</v>
      </c>
      <c r="I1432" s="328"/>
      <c r="J1432" s="328"/>
      <c r="K1432" s="328"/>
      <c r="L1432" s="234">
        <v>0.77359288345336674</v>
      </c>
      <c r="M1432" s="328"/>
      <c r="N1432" s="328"/>
      <c r="O1432" s="328"/>
      <c r="P1432" s="328"/>
    </row>
    <row r="1433" spans="2:16" ht="18" customHeight="1">
      <c r="B1433" s="284"/>
      <c r="C1433" s="311"/>
      <c r="D1433" s="312"/>
      <c r="E1433" s="289"/>
      <c r="F1433" s="79">
        <v>5</v>
      </c>
      <c r="G1433" s="178" t="s">
        <v>348</v>
      </c>
      <c r="H1433" s="234">
        <v>0</v>
      </c>
      <c r="I1433" s="328"/>
      <c r="J1433" s="328"/>
      <c r="K1433" s="328"/>
      <c r="L1433" s="234">
        <v>0.17588719145525303</v>
      </c>
      <c r="M1433" s="328"/>
      <c r="N1433" s="328"/>
      <c r="O1433" s="328"/>
      <c r="P1433" s="328"/>
    </row>
    <row r="1434" spans="2:16" ht="18" customHeight="1">
      <c r="B1434" s="284"/>
      <c r="C1434" s="313"/>
      <c r="D1434" s="314"/>
      <c r="E1434" s="288"/>
      <c r="F1434" s="82">
        <v>6</v>
      </c>
      <c r="G1434" s="180" t="s">
        <v>349</v>
      </c>
      <c r="H1434" s="235">
        <v>0</v>
      </c>
      <c r="I1434" s="329"/>
      <c r="J1434" s="329"/>
      <c r="K1434" s="329"/>
      <c r="L1434" s="235">
        <v>0</v>
      </c>
      <c r="M1434" s="329"/>
      <c r="N1434" s="329"/>
      <c r="O1434" s="329"/>
      <c r="P1434" s="329"/>
    </row>
    <row r="1435" spans="2:16" ht="18" customHeight="1">
      <c r="B1435" s="284"/>
      <c r="C1435" s="309" t="s">
        <v>441</v>
      </c>
      <c r="D1435" s="310"/>
      <c r="E1435" s="287" t="str">
        <f>HYPERLINK("#LAYOUT_m1!lay중YDLQ2A07","YDLQ2A07")</f>
        <v>YDLQ2A07</v>
      </c>
      <c r="F1435" s="78">
        <v>1</v>
      </c>
      <c r="G1435" s="179" t="s">
        <v>418</v>
      </c>
      <c r="H1435" s="233">
        <v>99.532782874101883</v>
      </c>
      <c r="I1435" s="327"/>
      <c r="J1435" s="327"/>
      <c r="K1435" s="327"/>
      <c r="L1435" s="233">
        <v>97.975140231939605</v>
      </c>
      <c r="M1435" s="327"/>
      <c r="N1435" s="327"/>
      <c r="O1435" s="327"/>
      <c r="P1435" s="327"/>
    </row>
    <row r="1436" spans="2:16" ht="18" customHeight="1">
      <c r="B1436" s="284"/>
      <c r="C1436" s="311"/>
      <c r="D1436" s="312"/>
      <c r="E1436" s="289"/>
      <c r="F1436" s="79">
        <v>2</v>
      </c>
      <c r="G1436" s="178" t="s">
        <v>345</v>
      </c>
      <c r="H1436" s="234">
        <v>0.4395560418108016</v>
      </c>
      <c r="I1436" s="328"/>
      <c r="J1436" s="328"/>
      <c r="K1436" s="328"/>
      <c r="L1436" s="234">
        <v>0.52193448385592411</v>
      </c>
      <c r="M1436" s="328"/>
      <c r="N1436" s="328"/>
      <c r="O1436" s="328"/>
      <c r="P1436" s="328"/>
    </row>
    <row r="1437" spans="2:16" ht="18" customHeight="1">
      <c r="B1437" s="284"/>
      <c r="C1437" s="311"/>
      <c r="D1437" s="312"/>
      <c r="E1437" s="289"/>
      <c r="F1437" s="79">
        <v>3</v>
      </c>
      <c r="G1437" s="178" t="s">
        <v>419</v>
      </c>
      <c r="H1437" s="234">
        <v>0</v>
      </c>
      <c r="I1437" s="328"/>
      <c r="J1437" s="328"/>
      <c r="K1437" s="328"/>
      <c r="L1437" s="234">
        <v>0.4636291762681381</v>
      </c>
      <c r="M1437" s="328"/>
      <c r="N1437" s="328"/>
      <c r="O1437" s="328"/>
      <c r="P1437" s="328"/>
    </row>
    <row r="1438" spans="2:16" ht="18" customHeight="1">
      <c r="B1438" s="284"/>
      <c r="C1438" s="311"/>
      <c r="D1438" s="312"/>
      <c r="E1438" s="289"/>
      <c r="F1438" s="79">
        <v>4</v>
      </c>
      <c r="G1438" s="178" t="s">
        <v>347</v>
      </c>
      <c r="H1438" s="234">
        <v>2.7661084087307476E-2</v>
      </c>
      <c r="I1438" s="328"/>
      <c r="J1438" s="328"/>
      <c r="K1438" s="328"/>
      <c r="L1438" s="234">
        <v>0.92471548826839856</v>
      </c>
      <c r="M1438" s="328"/>
      <c r="N1438" s="328"/>
      <c r="O1438" s="328"/>
      <c r="P1438" s="328"/>
    </row>
    <row r="1439" spans="2:16" ht="18" customHeight="1">
      <c r="B1439" s="284"/>
      <c r="C1439" s="311"/>
      <c r="D1439" s="312"/>
      <c r="E1439" s="289"/>
      <c r="F1439" s="79">
        <v>5</v>
      </c>
      <c r="G1439" s="178" t="s">
        <v>348</v>
      </c>
      <c r="H1439" s="234">
        <v>0</v>
      </c>
      <c r="I1439" s="328"/>
      <c r="J1439" s="328"/>
      <c r="K1439" s="328"/>
      <c r="L1439" s="234">
        <v>6.2870745704690284E-2</v>
      </c>
      <c r="M1439" s="328"/>
      <c r="N1439" s="328"/>
      <c r="O1439" s="328"/>
      <c r="P1439" s="328"/>
    </row>
    <row r="1440" spans="2:16" ht="18" customHeight="1">
      <c r="B1440" s="284"/>
      <c r="C1440" s="313"/>
      <c r="D1440" s="314"/>
      <c r="E1440" s="288"/>
      <c r="F1440" s="82">
        <v>6</v>
      </c>
      <c r="G1440" s="180" t="s">
        <v>349</v>
      </c>
      <c r="H1440" s="235">
        <v>0</v>
      </c>
      <c r="I1440" s="329"/>
      <c r="J1440" s="329"/>
      <c r="K1440" s="329"/>
      <c r="L1440" s="235">
        <v>5.17098739632482E-2</v>
      </c>
      <c r="M1440" s="329"/>
      <c r="N1440" s="329"/>
      <c r="O1440" s="329"/>
      <c r="P1440" s="329"/>
    </row>
    <row r="1441" spans="2:16" ht="18" customHeight="1">
      <c r="B1441" s="284"/>
      <c r="C1441" s="309" t="s">
        <v>442</v>
      </c>
      <c r="D1441" s="310"/>
      <c r="E1441" s="287" t="str">
        <f>HYPERLINK("#LAYOUT_m1!lay중YDLQ2A08","YDLQ2A08")</f>
        <v>YDLQ2A08</v>
      </c>
      <c r="F1441" s="78">
        <v>1</v>
      </c>
      <c r="G1441" s="179" t="s">
        <v>418</v>
      </c>
      <c r="H1441" s="233">
        <v>99.123631306650694</v>
      </c>
      <c r="I1441" s="327"/>
      <c r="J1441" s="327"/>
      <c r="K1441" s="327"/>
      <c r="L1441" s="233">
        <v>97.719839784718971</v>
      </c>
      <c r="M1441" s="327"/>
      <c r="N1441" s="327"/>
      <c r="O1441" s="327"/>
      <c r="P1441" s="327"/>
    </row>
    <row r="1442" spans="2:16" ht="18" customHeight="1">
      <c r="B1442" s="284"/>
      <c r="C1442" s="311"/>
      <c r="D1442" s="312"/>
      <c r="E1442" s="289"/>
      <c r="F1442" s="79">
        <v>2</v>
      </c>
      <c r="G1442" s="178" t="s">
        <v>345</v>
      </c>
      <c r="H1442" s="234">
        <v>0.47493469547712241</v>
      </c>
      <c r="I1442" s="328"/>
      <c r="J1442" s="328"/>
      <c r="K1442" s="328"/>
      <c r="L1442" s="234">
        <v>0.71026788784503925</v>
      </c>
      <c r="M1442" s="328"/>
      <c r="N1442" s="328"/>
      <c r="O1442" s="328"/>
      <c r="P1442" s="328"/>
    </row>
    <row r="1443" spans="2:16" ht="18" customHeight="1">
      <c r="B1443" s="284"/>
      <c r="C1443" s="311"/>
      <c r="D1443" s="312"/>
      <c r="E1443" s="289"/>
      <c r="F1443" s="79">
        <v>3</v>
      </c>
      <c r="G1443" s="178" t="s">
        <v>419</v>
      </c>
      <c r="H1443" s="234">
        <v>0.34450144569376251</v>
      </c>
      <c r="I1443" s="328"/>
      <c r="J1443" s="328"/>
      <c r="K1443" s="328"/>
      <c r="L1443" s="234">
        <v>0.87021115175795316</v>
      </c>
      <c r="M1443" s="328"/>
      <c r="N1443" s="328"/>
      <c r="O1443" s="328"/>
      <c r="P1443" s="328"/>
    </row>
    <row r="1444" spans="2:16" ht="18" customHeight="1">
      <c r="B1444" s="284"/>
      <c r="C1444" s="311"/>
      <c r="D1444" s="312"/>
      <c r="E1444" s="289"/>
      <c r="F1444" s="79">
        <v>4</v>
      </c>
      <c r="G1444" s="178" t="s">
        <v>347</v>
      </c>
      <c r="H1444" s="234">
        <v>0</v>
      </c>
      <c r="I1444" s="328"/>
      <c r="J1444" s="328"/>
      <c r="K1444" s="328"/>
      <c r="L1444" s="234">
        <v>0.54532774918714355</v>
      </c>
      <c r="M1444" s="328"/>
      <c r="N1444" s="328"/>
      <c r="O1444" s="328"/>
      <c r="P1444" s="328"/>
    </row>
    <row r="1445" spans="2:16" ht="18" customHeight="1">
      <c r="B1445" s="284"/>
      <c r="C1445" s="311"/>
      <c r="D1445" s="312"/>
      <c r="E1445" s="289"/>
      <c r="F1445" s="79">
        <v>5</v>
      </c>
      <c r="G1445" s="178" t="s">
        <v>348</v>
      </c>
      <c r="H1445" s="234">
        <v>5.693255217838164E-2</v>
      </c>
      <c r="I1445" s="328"/>
      <c r="J1445" s="328"/>
      <c r="K1445" s="328"/>
      <c r="L1445" s="234">
        <v>0.14021654084395721</v>
      </c>
      <c r="M1445" s="328"/>
      <c r="N1445" s="328"/>
      <c r="O1445" s="328"/>
      <c r="P1445" s="328"/>
    </row>
    <row r="1446" spans="2:16" ht="18" customHeight="1">
      <c r="B1446" s="284"/>
      <c r="C1446" s="313"/>
      <c r="D1446" s="314"/>
      <c r="E1446" s="288"/>
      <c r="F1446" s="82">
        <v>6</v>
      </c>
      <c r="G1446" s="180" t="s">
        <v>349</v>
      </c>
      <c r="H1446" s="235">
        <v>0</v>
      </c>
      <c r="I1446" s="329"/>
      <c r="J1446" s="329"/>
      <c r="K1446" s="329"/>
      <c r="L1446" s="235">
        <v>1.4136885646906659E-2</v>
      </c>
      <c r="M1446" s="329"/>
      <c r="N1446" s="329"/>
      <c r="O1446" s="329"/>
      <c r="P1446" s="329"/>
    </row>
    <row r="1447" spans="2:16" ht="18" customHeight="1">
      <c r="B1447" s="284"/>
      <c r="C1447" s="309" t="s">
        <v>443</v>
      </c>
      <c r="D1447" s="310"/>
      <c r="E1447" s="287" t="str">
        <f>HYPERLINK("#LAYOUT_m1!lay중YDLQ2A09","YDLQ2A09")</f>
        <v>YDLQ2A09</v>
      </c>
      <c r="F1447" s="78">
        <v>1</v>
      </c>
      <c r="G1447" s="179" t="s">
        <v>418</v>
      </c>
      <c r="H1447" s="233">
        <v>99.533727055509914</v>
      </c>
      <c r="I1447" s="327"/>
      <c r="J1447" s="327"/>
      <c r="K1447" s="327"/>
      <c r="L1447" s="233">
        <v>96.90119969748136</v>
      </c>
      <c r="M1447" s="327"/>
      <c r="N1447" s="327"/>
      <c r="O1447" s="327"/>
      <c r="P1447" s="327"/>
    </row>
    <row r="1448" spans="2:16" ht="18" customHeight="1">
      <c r="B1448" s="284"/>
      <c r="C1448" s="311"/>
      <c r="D1448" s="312"/>
      <c r="E1448" s="289"/>
      <c r="F1448" s="79">
        <v>2</v>
      </c>
      <c r="G1448" s="178" t="s">
        <v>345</v>
      </c>
      <c r="H1448" s="234">
        <v>0.42507677211720268</v>
      </c>
      <c r="I1448" s="328"/>
      <c r="J1448" s="328"/>
      <c r="K1448" s="328"/>
      <c r="L1448" s="234">
        <v>1.1839218734645853</v>
      </c>
      <c r="M1448" s="328"/>
      <c r="N1448" s="328"/>
      <c r="O1448" s="328"/>
      <c r="P1448" s="328"/>
    </row>
    <row r="1449" spans="2:16" ht="18" customHeight="1">
      <c r="B1449" s="284"/>
      <c r="C1449" s="311"/>
      <c r="D1449" s="312"/>
      <c r="E1449" s="289"/>
      <c r="F1449" s="79">
        <v>3</v>
      </c>
      <c r="G1449" s="178" t="s">
        <v>419</v>
      </c>
      <c r="H1449" s="234">
        <v>2.222285965988606E-2</v>
      </c>
      <c r="I1449" s="328"/>
      <c r="J1449" s="328"/>
      <c r="K1449" s="328"/>
      <c r="L1449" s="234">
        <v>0.59755845941840713</v>
      </c>
      <c r="M1449" s="328"/>
      <c r="N1449" s="328"/>
      <c r="O1449" s="328"/>
      <c r="P1449" s="328"/>
    </row>
    <row r="1450" spans="2:16" ht="18" customHeight="1">
      <c r="B1450" s="284"/>
      <c r="C1450" s="311"/>
      <c r="D1450" s="312"/>
      <c r="E1450" s="289"/>
      <c r="F1450" s="79">
        <v>4</v>
      </c>
      <c r="G1450" s="178" t="s">
        <v>347</v>
      </c>
      <c r="H1450" s="234">
        <v>1.8973312712993202E-2</v>
      </c>
      <c r="I1450" s="328"/>
      <c r="J1450" s="328"/>
      <c r="K1450" s="328"/>
      <c r="L1450" s="234">
        <v>1.2130777701283164</v>
      </c>
      <c r="M1450" s="328"/>
      <c r="N1450" s="328"/>
      <c r="O1450" s="328"/>
      <c r="P1450" s="328"/>
    </row>
    <row r="1451" spans="2:16" ht="18" customHeight="1">
      <c r="B1451" s="284"/>
      <c r="C1451" s="311"/>
      <c r="D1451" s="312"/>
      <c r="E1451" s="289"/>
      <c r="F1451" s="79">
        <v>5</v>
      </c>
      <c r="G1451" s="178" t="s">
        <v>348</v>
      </c>
      <c r="H1451" s="234">
        <v>0</v>
      </c>
      <c r="I1451" s="328"/>
      <c r="J1451" s="328"/>
      <c r="K1451" s="328"/>
      <c r="L1451" s="234">
        <v>5.1401339453327193E-2</v>
      </c>
      <c r="M1451" s="328"/>
      <c r="N1451" s="328"/>
      <c r="O1451" s="328"/>
      <c r="P1451" s="328"/>
    </row>
    <row r="1452" spans="2:16" ht="18" customHeight="1">
      <c r="B1452" s="284"/>
      <c r="C1452" s="313"/>
      <c r="D1452" s="314"/>
      <c r="E1452" s="288"/>
      <c r="F1452" s="82">
        <v>6</v>
      </c>
      <c r="G1452" s="180" t="s">
        <v>349</v>
      </c>
      <c r="H1452" s="235">
        <v>0</v>
      </c>
      <c r="I1452" s="329"/>
      <c r="J1452" s="329"/>
      <c r="K1452" s="329"/>
      <c r="L1452" s="235">
        <v>5.2840860053975126E-2</v>
      </c>
      <c r="M1452" s="329"/>
      <c r="N1452" s="329"/>
      <c r="O1452" s="329"/>
      <c r="P1452" s="329"/>
    </row>
    <row r="1453" spans="2:16" ht="18" customHeight="1">
      <c r="B1453" s="284"/>
      <c r="C1453" s="309" t="s">
        <v>444</v>
      </c>
      <c r="D1453" s="310"/>
      <c r="E1453" s="287" t="str">
        <f>HYPERLINK("#LAYOUT_m1!lay중YDLQ2A10","YDLQ2A10")</f>
        <v>YDLQ2A10</v>
      </c>
      <c r="F1453" s="78">
        <v>1</v>
      </c>
      <c r="G1453" s="179" t="s">
        <v>418</v>
      </c>
      <c r="H1453" s="233">
        <v>98.770047957887002</v>
      </c>
      <c r="I1453" s="327"/>
      <c r="J1453" s="327"/>
      <c r="K1453" s="327"/>
      <c r="L1453" s="233">
        <v>97.32066434877197</v>
      </c>
      <c r="M1453" s="327"/>
      <c r="N1453" s="327"/>
      <c r="O1453" s="327"/>
      <c r="P1453" s="327"/>
    </row>
    <row r="1454" spans="2:16" ht="18" customHeight="1">
      <c r="B1454" s="284"/>
      <c r="C1454" s="311"/>
      <c r="D1454" s="312"/>
      <c r="E1454" s="289"/>
      <c r="F1454" s="79">
        <v>2</v>
      </c>
      <c r="G1454" s="178" t="s">
        <v>345</v>
      </c>
      <c r="H1454" s="234">
        <v>0.82680022022529809</v>
      </c>
      <c r="I1454" s="328"/>
      <c r="J1454" s="328"/>
      <c r="K1454" s="328"/>
      <c r="L1454" s="234">
        <v>0.83681328128576871</v>
      </c>
      <c r="M1454" s="328"/>
      <c r="N1454" s="328"/>
      <c r="O1454" s="328"/>
      <c r="P1454" s="328"/>
    </row>
    <row r="1455" spans="2:16" ht="18" customHeight="1">
      <c r="B1455" s="284"/>
      <c r="C1455" s="311"/>
      <c r="D1455" s="312"/>
      <c r="E1455" s="289"/>
      <c r="F1455" s="79">
        <v>3</v>
      </c>
      <c r="G1455" s="178" t="s">
        <v>419</v>
      </c>
      <c r="H1455" s="234">
        <v>0.2181927158680938</v>
      </c>
      <c r="I1455" s="328"/>
      <c r="J1455" s="328"/>
      <c r="K1455" s="328"/>
      <c r="L1455" s="234">
        <v>1.2289221650000199</v>
      </c>
      <c r="M1455" s="328"/>
      <c r="N1455" s="328"/>
      <c r="O1455" s="328"/>
      <c r="P1455" s="328"/>
    </row>
    <row r="1456" spans="2:16" ht="18" customHeight="1">
      <c r="B1456" s="284"/>
      <c r="C1456" s="311"/>
      <c r="D1456" s="312"/>
      <c r="E1456" s="289"/>
      <c r="F1456" s="79">
        <v>4</v>
      </c>
      <c r="G1456" s="178" t="s">
        <v>347</v>
      </c>
      <c r="H1456" s="234">
        <v>6.5374605695702151E-2</v>
      </c>
      <c r="I1456" s="328"/>
      <c r="J1456" s="328"/>
      <c r="K1456" s="328"/>
      <c r="L1456" s="234">
        <v>0.45390805506004839</v>
      </c>
      <c r="M1456" s="328"/>
      <c r="N1456" s="328"/>
      <c r="O1456" s="328"/>
      <c r="P1456" s="328"/>
    </row>
    <row r="1457" spans="2:16" ht="18" customHeight="1">
      <c r="B1457" s="284"/>
      <c r="C1457" s="311"/>
      <c r="D1457" s="312"/>
      <c r="E1457" s="289"/>
      <c r="F1457" s="79">
        <v>5</v>
      </c>
      <c r="G1457" s="178" t="s">
        <v>348</v>
      </c>
      <c r="H1457" s="234">
        <v>0.11958450032390353</v>
      </c>
      <c r="I1457" s="328"/>
      <c r="J1457" s="328"/>
      <c r="K1457" s="328"/>
      <c r="L1457" s="234">
        <v>0.15969214988222813</v>
      </c>
      <c r="M1457" s="328"/>
      <c r="N1457" s="328"/>
      <c r="O1457" s="328"/>
      <c r="P1457" s="328"/>
    </row>
    <row r="1458" spans="2:16" ht="18" customHeight="1">
      <c r="B1458" s="284"/>
      <c r="C1458" s="313"/>
      <c r="D1458" s="314"/>
      <c r="E1458" s="288"/>
      <c r="F1458" s="82">
        <v>6</v>
      </c>
      <c r="G1458" s="180" t="s">
        <v>349</v>
      </c>
      <c r="H1458" s="235">
        <v>0</v>
      </c>
      <c r="I1458" s="329"/>
      <c r="J1458" s="329"/>
      <c r="K1458" s="329"/>
      <c r="L1458" s="235">
        <v>0</v>
      </c>
      <c r="M1458" s="329"/>
      <c r="N1458" s="329"/>
      <c r="O1458" s="329"/>
      <c r="P1458" s="329"/>
    </row>
    <row r="1459" spans="2:16" ht="18" customHeight="1">
      <c r="B1459" s="284"/>
      <c r="C1459" s="309" t="s">
        <v>445</v>
      </c>
      <c r="D1459" s="310"/>
      <c r="E1459" s="287" t="str">
        <f>HYPERLINK("#LAYOUT_m1!lay중YDLQ2A11","YDLQ2A11")</f>
        <v>YDLQ2A11</v>
      </c>
      <c r="F1459" s="78">
        <v>1</v>
      </c>
      <c r="G1459" s="179" t="s">
        <v>418</v>
      </c>
      <c r="H1459" s="233">
        <v>97.765111055672961</v>
      </c>
      <c r="I1459" s="327"/>
      <c r="J1459" s="327"/>
      <c r="K1459" s="327"/>
      <c r="L1459" s="233">
        <v>96.778024444647997</v>
      </c>
      <c r="M1459" s="327"/>
      <c r="N1459" s="327"/>
      <c r="O1459" s="327"/>
      <c r="P1459" s="327"/>
    </row>
    <row r="1460" spans="2:16" ht="18" customHeight="1">
      <c r="B1460" s="284"/>
      <c r="C1460" s="311"/>
      <c r="D1460" s="312"/>
      <c r="E1460" s="289"/>
      <c r="F1460" s="79">
        <v>2</v>
      </c>
      <c r="G1460" s="178" t="s">
        <v>345</v>
      </c>
      <c r="H1460" s="234">
        <v>1.8462104326380544</v>
      </c>
      <c r="I1460" s="328"/>
      <c r="J1460" s="328"/>
      <c r="K1460" s="328"/>
      <c r="L1460" s="234">
        <v>1.3933388665290478</v>
      </c>
      <c r="M1460" s="328"/>
      <c r="N1460" s="328"/>
      <c r="O1460" s="328"/>
      <c r="P1460" s="328"/>
    </row>
    <row r="1461" spans="2:16" ht="18" customHeight="1">
      <c r="B1461" s="284"/>
      <c r="C1461" s="311"/>
      <c r="D1461" s="312"/>
      <c r="E1461" s="289"/>
      <c r="F1461" s="79">
        <v>3</v>
      </c>
      <c r="G1461" s="178" t="s">
        <v>419</v>
      </c>
      <c r="H1461" s="234">
        <v>0.17888170920159349</v>
      </c>
      <c r="I1461" s="328"/>
      <c r="J1461" s="328"/>
      <c r="K1461" s="328"/>
      <c r="L1461" s="234">
        <v>1.1335242085159201</v>
      </c>
      <c r="M1461" s="328"/>
      <c r="N1461" s="328"/>
      <c r="O1461" s="328"/>
      <c r="P1461" s="328"/>
    </row>
    <row r="1462" spans="2:16" ht="18" customHeight="1">
      <c r="B1462" s="284"/>
      <c r="C1462" s="311"/>
      <c r="D1462" s="312"/>
      <c r="E1462" s="289"/>
      <c r="F1462" s="79">
        <v>4</v>
      </c>
      <c r="G1462" s="178" t="s">
        <v>347</v>
      </c>
      <c r="H1462" s="234">
        <v>9.7481727644935443E-2</v>
      </c>
      <c r="I1462" s="328"/>
      <c r="J1462" s="328"/>
      <c r="K1462" s="328"/>
      <c r="L1462" s="234">
        <v>0.59663574203134229</v>
      </c>
      <c r="M1462" s="328"/>
      <c r="N1462" s="328"/>
      <c r="O1462" s="328"/>
      <c r="P1462" s="328"/>
    </row>
    <row r="1463" spans="2:16" ht="18" customHeight="1">
      <c r="B1463" s="284"/>
      <c r="C1463" s="311"/>
      <c r="D1463" s="312"/>
      <c r="E1463" s="289"/>
      <c r="F1463" s="79">
        <v>5</v>
      </c>
      <c r="G1463" s="178" t="s">
        <v>348</v>
      </c>
      <c r="H1463" s="234">
        <v>0.11231507484245437</v>
      </c>
      <c r="I1463" s="328"/>
      <c r="J1463" s="328"/>
      <c r="K1463" s="328"/>
      <c r="L1463" s="234">
        <v>9.8476738275697251E-2</v>
      </c>
      <c r="M1463" s="328"/>
      <c r="N1463" s="328"/>
      <c r="O1463" s="328"/>
      <c r="P1463" s="328"/>
    </row>
    <row r="1464" spans="2:16" ht="18" customHeight="1">
      <c r="B1464" s="284"/>
      <c r="C1464" s="313"/>
      <c r="D1464" s="314"/>
      <c r="E1464" s="288"/>
      <c r="F1464" s="82">
        <v>6</v>
      </c>
      <c r="G1464" s="180" t="s">
        <v>349</v>
      </c>
      <c r="H1464" s="235">
        <v>0</v>
      </c>
      <c r="I1464" s="329"/>
      <c r="J1464" s="329"/>
      <c r="K1464" s="329"/>
      <c r="L1464" s="235">
        <v>0</v>
      </c>
      <c r="M1464" s="329"/>
      <c r="N1464" s="329"/>
      <c r="O1464" s="329"/>
      <c r="P1464" s="329"/>
    </row>
    <row r="1465" spans="2:16" ht="18" customHeight="1">
      <c r="B1465" s="284"/>
      <c r="C1465" s="309" t="s">
        <v>446</v>
      </c>
      <c r="D1465" s="310"/>
      <c r="E1465" s="287" t="str">
        <f>HYPERLINK("#LAYOUT_m1!lay중YDLQ2A12","YDLQ2A12")</f>
        <v>YDLQ2A12</v>
      </c>
      <c r="F1465" s="78">
        <v>1</v>
      </c>
      <c r="G1465" s="179" t="s">
        <v>418</v>
      </c>
      <c r="H1465" s="233">
        <v>99.918358821680371</v>
      </c>
      <c r="I1465" s="327"/>
      <c r="J1465" s="327"/>
      <c r="K1465" s="327"/>
      <c r="L1465" s="233">
        <v>97.835155301967276</v>
      </c>
      <c r="M1465" s="327"/>
      <c r="N1465" s="327"/>
      <c r="O1465" s="327"/>
      <c r="P1465" s="327"/>
    </row>
    <row r="1466" spans="2:16" ht="18" customHeight="1">
      <c r="B1466" s="284"/>
      <c r="C1466" s="311"/>
      <c r="D1466" s="312"/>
      <c r="E1466" s="289"/>
      <c r="F1466" s="79">
        <v>2</v>
      </c>
      <c r="G1466" s="178" t="s">
        <v>345</v>
      </c>
      <c r="H1466" s="234">
        <v>3.3134215295211766E-2</v>
      </c>
      <c r="I1466" s="328"/>
      <c r="J1466" s="328"/>
      <c r="K1466" s="328"/>
      <c r="L1466" s="234">
        <v>0.58897909129098047</v>
      </c>
      <c r="M1466" s="328"/>
      <c r="N1466" s="328"/>
      <c r="O1466" s="328"/>
      <c r="P1466" s="328"/>
    </row>
    <row r="1467" spans="2:16" ht="18" customHeight="1">
      <c r="B1467" s="284"/>
      <c r="C1467" s="311"/>
      <c r="D1467" s="312"/>
      <c r="E1467" s="289"/>
      <c r="F1467" s="79">
        <v>3</v>
      </c>
      <c r="G1467" s="178" t="s">
        <v>419</v>
      </c>
      <c r="H1467" s="234">
        <v>4.8506963024433379E-2</v>
      </c>
      <c r="I1467" s="328"/>
      <c r="J1467" s="328"/>
      <c r="K1467" s="328"/>
      <c r="L1467" s="234">
        <v>0.72469532848736196</v>
      </c>
      <c r="M1467" s="328"/>
      <c r="N1467" s="328"/>
      <c r="O1467" s="328"/>
      <c r="P1467" s="328"/>
    </row>
    <row r="1468" spans="2:16" ht="18" customHeight="1">
      <c r="B1468" s="284"/>
      <c r="C1468" s="311"/>
      <c r="D1468" s="312"/>
      <c r="E1468" s="289"/>
      <c r="F1468" s="79">
        <v>4</v>
      </c>
      <c r="G1468" s="178" t="s">
        <v>347</v>
      </c>
      <c r="H1468" s="234">
        <v>0</v>
      </c>
      <c r="I1468" s="328"/>
      <c r="J1468" s="328"/>
      <c r="K1468" s="328"/>
      <c r="L1468" s="234">
        <v>0.80892617606049266</v>
      </c>
      <c r="M1468" s="328"/>
      <c r="N1468" s="328"/>
      <c r="O1468" s="328"/>
      <c r="P1468" s="328"/>
    </row>
    <row r="1469" spans="2:16" ht="18" customHeight="1">
      <c r="B1469" s="284"/>
      <c r="C1469" s="311"/>
      <c r="D1469" s="312"/>
      <c r="E1469" s="289"/>
      <c r="F1469" s="79">
        <v>5</v>
      </c>
      <c r="G1469" s="178" t="s">
        <v>348</v>
      </c>
      <c r="H1469" s="234">
        <v>0</v>
      </c>
      <c r="I1469" s="328"/>
      <c r="J1469" s="328"/>
      <c r="K1469" s="328"/>
      <c r="L1469" s="234">
        <v>4.2244102193877045E-2</v>
      </c>
      <c r="M1469" s="328"/>
      <c r="N1469" s="328"/>
      <c r="O1469" s="328"/>
      <c r="P1469" s="328"/>
    </row>
    <row r="1470" spans="2:16" ht="18" customHeight="1">
      <c r="B1470" s="284"/>
      <c r="C1470" s="313"/>
      <c r="D1470" s="314"/>
      <c r="E1470" s="288"/>
      <c r="F1470" s="82">
        <v>6</v>
      </c>
      <c r="G1470" s="180" t="s">
        <v>349</v>
      </c>
      <c r="H1470" s="235">
        <v>0</v>
      </c>
      <c r="I1470" s="329"/>
      <c r="J1470" s="329"/>
      <c r="K1470" s="329"/>
      <c r="L1470" s="235">
        <v>0</v>
      </c>
      <c r="M1470" s="329"/>
      <c r="N1470" s="329"/>
      <c r="O1470" s="329"/>
      <c r="P1470" s="329"/>
    </row>
    <row r="1471" spans="2:16" ht="18" customHeight="1">
      <c r="B1471" s="284"/>
      <c r="C1471" s="309" t="s">
        <v>447</v>
      </c>
      <c r="D1471" s="310"/>
      <c r="E1471" s="287" t="str">
        <f>HYPERLINK("#LAYOUT_m1!lay중YDLQ2A13","YDLQ2A13")</f>
        <v>YDLQ2A13</v>
      </c>
      <c r="F1471" s="78">
        <v>1</v>
      </c>
      <c r="G1471" s="179" t="s">
        <v>418</v>
      </c>
      <c r="H1471" s="233">
        <v>98.252383095886955</v>
      </c>
      <c r="I1471" s="327"/>
      <c r="J1471" s="327"/>
      <c r="K1471" s="327"/>
      <c r="L1471" s="233">
        <v>97.115028727021695</v>
      </c>
      <c r="M1471" s="327"/>
      <c r="N1471" s="327"/>
      <c r="O1471" s="327"/>
      <c r="P1471" s="327"/>
    </row>
    <row r="1472" spans="2:16" ht="18" customHeight="1">
      <c r="B1472" s="284"/>
      <c r="C1472" s="311"/>
      <c r="D1472" s="312"/>
      <c r="E1472" s="289"/>
      <c r="F1472" s="79">
        <v>2</v>
      </c>
      <c r="G1472" s="178" t="s">
        <v>345</v>
      </c>
      <c r="H1472" s="234">
        <v>1.1635449153931394</v>
      </c>
      <c r="I1472" s="328"/>
      <c r="J1472" s="328"/>
      <c r="K1472" s="328"/>
      <c r="L1472" s="234">
        <v>0.98555554245488819</v>
      </c>
      <c r="M1472" s="328"/>
      <c r="N1472" s="328"/>
      <c r="O1472" s="328"/>
      <c r="P1472" s="328"/>
    </row>
    <row r="1473" spans="2:16" ht="18" customHeight="1">
      <c r="B1473" s="284"/>
      <c r="C1473" s="311"/>
      <c r="D1473" s="312"/>
      <c r="E1473" s="289"/>
      <c r="F1473" s="79">
        <v>3</v>
      </c>
      <c r="G1473" s="178" t="s">
        <v>419</v>
      </c>
      <c r="H1473" s="234">
        <v>0.25923109264978628</v>
      </c>
      <c r="I1473" s="328"/>
      <c r="J1473" s="328"/>
      <c r="K1473" s="328"/>
      <c r="L1473" s="234">
        <v>0.68898651692679225</v>
      </c>
      <c r="M1473" s="328"/>
      <c r="N1473" s="328"/>
      <c r="O1473" s="328"/>
      <c r="P1473" s="328"/>
    </row>
    <row r="1474" spans="2:16" ht="18" customHeight="1">
      <c r="B1474" s="284"/>
      <c r="C1474" s="311"/>
      <c r="D1474" s="312"/>
      <c r="E1474" s="289"/>
      <c r="F1474" s="79">
        <v>4</v>
      </c>
      <c r="G1474" s="178" t="s">
        <v>347</v>
      </c>
      <c r="H1474" s="234">
        <v>0.27814931877172999</v>
      </c>
      <c r="I1474" s="328"/>
      <c r="J1474" s="328"/>
      <c r="K1474" s="328"/>
      <c r="L1474" s="234">
        <v>0.97729791738938754</v>
      </c>
      <c r="M1474" s="328"/>
      <c r="N1474" s="328"/>
      <c r="O1474" s="328"/>
      <c r="P1474" s="328"/>
    </row>
    <row r="1475" spans="2:16" ht="18" customHeight="1">
      <c r="B1475" s="284"/>
      <c r="C1475" s="311"/>
      <c r="D1475" s="312"/>
      <c r="E1475" s="289"/>
      <c r="F1475" s="79">
        <v>5</v>
      </c>
      <c r="G1475" s="178" t="s">
        <v>348</v>
      </c>
      <c r="H1475" s="234">
        <v>4.6691577298383552E-2</v>
      </c>
      <c r="I1475" s="328"/>
      <c r="J1475" s="328"/>
      <c r="K1475" s="328"/>
      <c r="L1475" s="234">
        <v>0.23313129620724737</v>
      </c>
      <c r="M1475" s="328"/>
      <c r="N1475" s="328"/>
      <c r="O1475" s="328"/>
      <c r="P1475" s="328"/>
    </row>
    <row r="1476" spans="2:16" ht="18" customHeight="1">
      <c r="B1476" s="284"/>
      <c r="C1476" s="313"/>
      <c r="D1476" s="314"/>
      <c r="E1476" s="288"/>
      <c r="F1476" s="82">
        <v>6</v>
      </c>
      <c r="G1476" s="180" t="s">
        <v>349</v>
      </c>
      <c r="H1476" s="235">
        <v>0</v>
      </c>
      <c r="I1476" s="329"/>
      <c r="J1476" s="329"/>
      <c r="K1476" s="329"/>
      <c r="L1476" s="235">
        <v>0</v>
      </c>
      <c r="M1476" s="329"/>
      <c r="N1476" s="329"/>
      <c r="O1476" s="329"/>
      <c r="P1476" s="329"/>
    </row>
    <row r="1477" spans="2:16" ht="18" customHeight="1">
      <c r="B1477" s="284"/>
      <c r="C1477" s="309" t="s">
        <v>448</v>
      </c>
      <c r="D1477" s="310"/>
      <c r="E1477" s="287" t="str">
        <f>HYPERLINK("#LAYOUT_m1!lay중YDLQ2A14","YDLQ2A14")</f>
        <v>YDLQ2A14</v>
      </c>
      <c r="F1477" s="78">
        <v>1</v>
      </c>
      <c r="G1477" s="179" t="s">
        <v>418</v>
      </c>
      <c r="H1477" s="233">
        <v>97.789785492826852</v>
      </c>
      <c r="I1477" s="327"/>
      <c r="J1477" s="327"/>
      <c r="K1477" s="327"/>
      <c r="L1477" s="233">
        <v>96.860781734414971</v>
      </c>
      <c r="M1477" s="327"/>
      <c r="N1477" s="327"/>
      <c r="O1477" s="327"/>
      <c r="P1477" s="327"/>
    </row>
    <row r="1478" spans="2:16" ht="18" customHeight="1">
      <c r="B1478" s="284"/>
      <c r="C1478" s="311"/>
      <c r="D1478" s="312"/>
      <c r="E1478" s="289"/>
      <c r="F1478" s="79">
        <v>2</v>
      </c>
      <c r="G1478" s="178" t="s">
        <v>345</v>
      </c>
      <c r="H1478" s="234">
        <v>1.6327013394285277</v>
      </c>
      <c r="I1478" s="328"/>
      <c r="J1478" s="328"/>
      <c r="K1478" s="328"/>
      <c r="L1478" s="234">
        <v>1.6598066174625956</v>
      </c>
      <c r="M1478" s="328"/>
      <c r="N1478" s="328"/>
      <c r="O1478" s="328"/>
      <c r="P1478" s="328"/>
    </row>
    <row r="1479" spans="2:16" ht="18" customHeight="1">
      <c r="B1479" s="284"/>
      <c r="C1479" s="311"/>
      <c r="D1479" s="312"/>
      <c r="E1479" s="289"/>
      <c r="F1479" s="79">
        <v>3</v>
      </c>
      <c r="G1479" s="178" t="s">
        <v>419</v>
      </c>
      <c r="H1479" s="234">
        <v>0.41195888829131894</v>
      </c>
      <c r="I1479" s="328"/>
      <c r="J1479" s="328"/>
      <c r="K1479" s="328"/>
      <c r="L1479" s="234">
        <v>0.60820129958621005</v>
      </c>
      <c r="M1479" s="328"/>
      <c r="N1479" s="328"/>
      <c r="O1479" s="328"/>
      <c r="P1479" s="328"/>
    </row>
    <row r="1480" spans="2:16" ht="18" customHeight="1">
      <c r="B1480" s="284"/>
      <c r="C1480" s="311"/>
      <c r="D1480" s="312"/>
      <c r="E1480" s="289"/>
      <c r="F1480" s="79">
        <v>4</v>
      </c>
      <c r="G1480" s="178" t="s">
        <v>347</v>
      </c>
      <c r="H1480" s="234">
        <v>0.11626435679416824</v>
      </c>
      <c r="I1480" s="328"/>
      <c r="J1480" s="328"/>
      <c r="K1480" s="328"/>
      <c r="L1480" s="234">
        <v>0.52658692356518755</v>
      </c>
      <c r="M1480" s="328"/>
      <c r="N1480" s="328"/>
      <c r="O1480" s="328"/>
      <c r="P1480" s="328"/>
    </row>
    <row r="1481" spans="2:16" ht="18" customHeight="1">
      <c r="B1481" s="284"/>
      <c r="C1481" s="311"/>
      <c r="D1481" s="312"/>
      <c r="E1481" s="289"/>
      <c r="F1481" s="79">
        <v>5</v>
      </c>
      <c r="G1481" s="178" t="s">
        <v>348</v>
      </c>
      <c r="H1481" s="234">
        <v>2.7718264585390354E-2</v>
      </c>
      <c r="I1481" s="328"/>
      <c r="J1481" s="328"/>
      <c r="K1481" s="328"/>
      <c r="L1481" s="234">
        <v>0.34462342497104875</v>
      </c>
      <c r="M1481" s="328"/>
      <c r="N1481" s="328"/>
      <c r="O1481" s="328"/>
      <c r="P1481" s="328"/>
    </row>
    <row r="1482" spans="2:16" ht="18" customHeight="1">
      <c r="B1482" s="284"/>
      <c r="C1482" s="313"/>
      <c r="D1482" s="314"/>
      <c r="E1482" s="288"/>
      <c r="F1482" s="82">
        <v>6</v>
      </c>
      <c r="G1482" s="180" t="s">
        <v>349</v>
      </c>
      <c r="H1482" s="235">
        <v>2.1571658073759888E-2</v>
      </c>
      <c r="I1482" s="329"/>
      <c r="J1482" s="329"/>
      <c r="K1482" s="329"/>
      <c r="L1482" s="235">
        <v>0</v>
      </c>
      <c r="M1482" s="329"/>
      <c r="N1482" s="329"/>
      <c r="O1482" s="329"/>
      <c r="P1482" s="329"/>
    </row>
    <row r="1483" spans="2:16" ht="18" customHeight="1">
      <c r="B1483" s="284"/>
      <c r="C1483" s="309" t="s">
        <v>449</v>
      </c>
      <c r="D1483" s="310"/>
      <c r="E1483" s="287" t="str">
        <f>HYPERLINK("#LAYOUT_m1!lay중YDLQ2A15","YDLQ2A15")</f>
        <v>YDLQ2A15</v>
      </c>
      <c r="F1483" s="78">
        <v>1</v>
      </c>
      <c r="G1483" s="179" t="s">
        <v>418</v>
      </c>
      <c r="H1483" s="233">
        <v>94.671818675719678</v>
      </c>
      <c r="I1483" s="327"/>
      <c r="J1483" s="327"/>
      <c r="K1483" s="327"/>
      <c r="L1483" s="233">
        <v>94.204089482671748</v>
      </c>
      <c r="M1483" s="327"/>
      <c r="N1483" s="327"/>
      <c r="O1483" s="327"/>
      <c r="P1483" s="327"/>
    </row>
    <row r="1484" spans="2:16" ht="18" customHeight="1">
      <c r="B1484" s="284"/>
      <c r="C1484" s="311"/>
      <c r="D1484" s="312"/>
      <c r="E1484" s="289"/>
      <c r="F1484" s="79">
        <v>2</v>
      </c>
      <c r="G1484" s="178" t="s">
        <v>345</v>
      </c>
      <c r="H1484" s="234">
        <v>3.7076599545717901</v>
      </c>
      <c r="I1484" s="328"/>
      <c r="J1484" s="328"/>
      <c r="K1484" s="328"/>
      <c r="L1484" s="234">
        <v>3.5802189993946376</v>
      </c>
      <c r="M1484" s="328"/>
      <c r="N1484" s="328"/>
      <c r="O1484" s="328"/>
      <c r="P1484" s="328"/>
    </row>
    <row r="1485" spans="2:16" ht="18" customHeight="1">
      <c r="B1485" s="284"/>
      <c r="C1485" s="311"/>
      <c r="D1485" s="312"/>
      <c r="E1485" s="289"/>
      <c r="F1485" s="79">
        <v>3</v>
      </c>
      <c r="G1485" s="178" t="s">
        <v>419</v>
      </c>
      <c r="H1485" s="234">
        <v>0.88419259310399356</v>
      </c>
      <c r="I1485" s="328"/>
      <c r="J1485" s="328"/>
      <c r="K1485" s="328"/>
      <c r="L1485" s="234">
        <v>1.3593378137042236</v>
      </c>
      <c r="M1485" s="328"/>
      <c r="N1485" s="328"/>
      <c r="O1485" s="328"/>
      <c r="P1485" s="328"/>
    </row>
    <row r="1486" spans="2:16" ht="18" customHeight="1">
      <c r="B1486" s="284"/>
      <c r="C1486" s="311"/>
      <c r="D1486" s="312"/>
      <c r="E1486" s="289"/>
      <c r="F1486" s="79">
        <v>4</v>
      </c>
      <c r="G1486" s="178" t="s">
        <v>347</v>
      </c>
      <c r="H1486" s="234">
        <v>0.25965994591788621</v>
      </c>
      <c r="I1486" s="328"/>
      <c r="J1486" s="328"/>
      <c r="K1486" s="328"/>
      <c r="L1486" s="234">
        <v>0.72798544041730751</v>
      </c>
      <c r="M1486" s="328"/>
      <c r="N1486" s="328"/>
      <c r="O1486" s="328"/>
      <c r="P1486" s="328"/>
    </row>
    <row r="1487" spans="2:16" ht="18" customHeight="1">
      <c r="B1487" s="284"/>
      <c r="C1487" s="311"/>
      <c r="D1487" s="312"/>
      <c r="E1487" s="289"/>
      <c r="F1487" s="79">
        <v>5</v>
      </c>
      <c r="G1487" s="178" t="s">
        <v>348</v>
      </c>
      <c r="H1487" s="234">
        <v>0.23964111041326294</v>
      </c>
      <c r="I1487" s="328"/>
      <c r="J1487" s="328"/>
      <c r="K1487" s="328"/>
      <c r="L1487" s="234">
        <v>9.1394870581728099E-2</v>
      </c>
      <c r="M1487" s="328"/>
      <c r="N1487" s="328"/>
      <c r="O1487" s="328"/>
      <c r="P1487" s="328"/>
    </row>
    <row r="1488" spans="2:16" ht="18" customHeight="1">
      <c r="B1488" s="286"/>
      <c r="C1488" s="313"/>
      <c r="D1488" s="314"/>
      <c r="E1488" s="288"/>
      <c r="F1488" s="82">
        <v>6</v>
      </c>
      <c r="G1488" s="180" t="s">
        <v>349</v>
      </c>
      <c r="H1488" s="235">
        <v>0.23702772027338798</v>
      </c>
      <c r="I1488" s="329"/>
      <c r="J1488" s="329"/>
      <c r="K1488" s="329"/>
      <c r="L1488" s="235">
        <v>3.697339323037134E-2</v>
      </c>
      <c r="M1488" s="329"/>
      <c r="N1488" s="329"/>
      <c r="O1488" s="329"/>
      <c r="P1488" s="329"/>
    </row>
    <row r="1489" spans="2:16" ht="18" customHeight="1">
      <c r="B1489" s="281" t="s">
        <v>303</v>
      </c>
      <c r="C1489" s="281"/>
      <c r="D1489" s="282"/>
      <c r="E1489" s="287" t="str">
        <f>HYPERLINK("#LAYOUT_m1!lay중YPHY1A00","YPHY1A00")</f>
        <v>YPHY1A00</v>
      </c>
      <c r="F1489" s="78">
        <v>1</v>
      </c>
      <c r="G1489" s="179" t="s">
        <v>304</v>
      </c>
      <c r="H1489" s="233">
        <v>0.4073246960472412</v>
      </c>
      <c r="I1489" s="327">
        <v>3.2965265728836646</v>
      </c>
      <c r="J1489" s="327">
        <v>1.1966627798063314E-2</v>
      </c>
      <c r="K1489" s="327">
        <v>0.36300716931868721</v>
      </c>
      <c r="L1489" s="233">
        <v>0.70335532014270008</v>
      </c>
      <c r="M1489" s="327">
        <v>3.2077849813325505</v>
      </c>
      <c r="N1489" s="327">
        <v>0.60907633065110989</v>
      </c>
      <c r="O1489" s="327">
        <v>1.2335446443064802E-2</v>
      </c>
      <c r="P1489" s="327">
        <v>0.38454717242115488</v>
      </c>
    </row>
    <row r="1490" spans="2:16" ht="18" customHeight="1">
      <c r="B1490" s="283"/>
      <c r="C1490" s="283"/>
      <c r="D1490" s="284"/>
      <c r="E1490" s="289"/>
      <c r="F1490" s="79">
        <v>2</v>
      </c>
      <c r="G1490" s="178" t="s">
        <v>305</v>
      </c>
      <c r="H1490" s="234">
        <v>6.8853611009699112</v>
      </c>
      <c r="I1490" s="328"/>
      <c r="J1490" s="328"/>
      <c r="K1490" s="328"/>
      <c r="L1490" s="234">
        <v>8.2005055623355183</v>
      </c>
      <c r="M1490" s="328">
        <v>3.2077849813325505</v>
      </c>
      <c r="N1490" s="328">
        <v>0.60907633065110989</v>
      </c>
      <c r="O1490" s="328">
        <v>1.2335446443064802E-2</v>
      </c>
      <c r="P1490" s="328">
        <v>0.38454717242115488</v>
      </c>
    </row>
    <row r="1491" spans="2:16" ht="18" customHeight="1">
      <c r="B1491" s="283"/>
      <c r="C1491" s="283"/>
      <c r="D1491" s="284"/>
      <c r="E1491" s="289"/>
      <c r="F1491" s="79">
        <v>3</v>
      </c>
      <c r="G1491" s="178" t="s">
        <v>306</v>
      </c>
      <c r="H1491" s="234">
        <v>55.354646421553802</v>
      </c>
      <c r="I1491" s="328"/>
      <c r="J1491" s="328"/>
      <c r="K1491" s="328"/>
      <c r="L1491" s="234">
        <v>60.710424781644349</v>
      </c>
      <c r="M1491" s="328">
        <v>3.2077849813325505</v>
      </c>
      <c r="N1491" s="328">
        <v>0.60907633065110989</v>
      </c>
      <c r="O1491" s="328">
        <v>1.2335446443064802E-2</v>
      </c>
      <c r="P1491" s="328">
        <v>0.38454717242115488</v>
      </c>
    </row>
    <row r="1492" spans="2:16" ht="18" customHeight="1">
      <c r="B1492" s="285"/>
      <c r="C1492" s="285"/>
      <c r="D1492" s="286"/>
      <c r="E1492" s="288"/>
      <c r="F1492" s="82">
        <v>4</v>
      </c>
      <c r="G1492" s="180" t="s">
        <v>307</v>
      </c>
      <c r="H1492" s="235">
        <v>37.352667781429048</v>
      </c>
      <c r="I1492" s="329"/>
      <c r="J1492" s="329"/>
      <c r="K1492" s="329"/>
      <c r="L1492" s="235">
        <v>30.385714335877445</v>
      </c>
      <c r="M1492" s="329">
        <v>3.2077849813325505</v>
      </c>
      <c r="N1492" s="329">
        <v>0.60907633065110989</v>
      </c>
      <c r="O1492" s="329">
        <v>1.2335446443064802E-2</v>
      </c>
      <c r="P1492" s="329">
        <v>0.38454717242115488</v>
      </c>
    </row>
    <row r="1493" spans="2:16" ht="18" customHeight="1">
      <c r="B1493" s="281" t="s">
        <v>308</v>
      </c>
      <c r="C1493" s="281"/>
      <c r="D1493" s="282"/>
      <c r="E1493" s="287" t="str">
        <f>HYPERLINK("#LAYOUT_m1!lay중YPHY1B00","YPHY1B00")</f>
        <v>YPHY1B00</v>
      </c>
      <c r="F1493" s="78">
        <v>1</v>
      </c>
      <c r="G1493" s="179" t="s">
        <v>309</v>
      </c>
      <c r="H1493" s="233">
        <v>18.839029474307871</v>
      </c>
      <c r="I1493" s="327"/>
      <c r="J1493" s="327"/>
      <c r="K1493" s="327"/>
      <c r="L1493" s="233">
        <v>21.973596414459422</v>
      </c>
      <c r="M1493" s="327"/>
      <c r="N1493" s="327"/>
      <c r="O1493" s="327"/>
      <c r="P1493" s="327"/>
    </row>
    <row r="1494" spans="2:16" ht="18" customHeight="1">
      <c r="B1494" s="283"/>
      <c r="C1494" s="283"/>
      <c r="D1494" s="284"/>
      <c r="E1494" s="289"/>
      <c r="F1494" s="79">
        <v>2</v>
      </c>
      <c r="G1494" s="178" t="s">
        <v>310</v>
      </c>
      <c r="H1494" s="234">
        <v>24.045939153386438</v>
      </c>
      <c r="I1494" s="328"/>
      <c r="J1494" s="328"/>
      <c r="K1494" s="328"/>
      <c r="L1494" s="234">
        <v>24.360048136046498</v>
      </c>
      <c r="M1494" s="328"/>
      <c r="N1494" s="328"/>
      <c r="O1494" s="328"/>
      <c r="P1494" s="328"/>
    </row>
    <row r="1495" spans="2:16" ht="18" customHeight="1">
      <c r="B1495" s="283"/>
      <c r="C1495" s="283"/>
      <c r="D1495" s="284"/>
      <c r="E1495" s="289"/>
      <c r="F1495" s="79">
        <v>3</v>
      </c>
      <c r="G1495" s="178" t="s">
        <v>311</v>
      </c>
      <c r="H1495" s="234">
        <v>18.663362162639778</v>
      </c>
      <c r="I1495" s="328"/>
      <c r="J1495" s="328"/>
      <c r="K1495" s="328"/>
      <c r="L1495" s="234">
        <v>22.598032963648283</v>
      </c>
      <c r="M1495" s="328"/>
      <c r="N1495" s="328"/>
      <c r="O1495" s="328"/>
      <c r="P1495" s="328"/>
    </row>
    <row r="1496" spans="2:16" ht="18" customHeight="1">
      <c r="B1496" s="283"/>
      <c r="C1496" s="283"/>
      <c r="D1496" s="284"/>
      <c r="E1496" s="289"/>
      <c r="F1496" s="79">
        <v>4</v>
      </c>
      <c r="G1496" s="178" t="s">
        <v>312</v>
      </c>
      <c r="H1496" s="234">
        <v>14.999442193389823</v>
      </c>
      <c r="I1496" s="328"/>
      <c r="J1496" s="328"/>
      <c r="K1496" s="328"/>
      <c r="L1496" s="234">
        <v>13.51579937968817</v>
      </c>
      <c r="M1496" s="328"/>
      <c r="N1496" s="328"/>
      <c r="O1496" s="328"/>
      <c r="P1496" s="328"/>
    </row>
    <row r="1497" spans="2:16" ht="18" customHeight="1">
      <c r="B1497" s="285"/>
      <c r="C1497" s="285"/>
      <c r="D1497" s="286"/>
      <c r="E1497" s="288"/>
      <c r="F1497" s="82">
        <v>5</v>
      </c>
      <c r="G1497" s="180" t="s">
        <v>313</v>
      </c>
      <c r="H1497" s="235">
        <v>23.45222701627608</v>
      </c>
      <c r="I1497" s="329"/>
      <c r="J1497" s="329"/>
      <c r="K1497" s="329"/>
      <c r="L1497" s="235">
        <v>17.55252310615764</v>
      </c>
      <c r="M1497" s="329"/>
      <c r="N1497" s="329"/>
      <c r="O1497" s="329"/>
      <c r="P1497" s="329"/>
    </row>
    <row r="1498" spans="2:16" ht="18" customHeight="1">
      <c r="B1498" s="322" t="s">
        <v>314</v>
      </c>
      <c r="C1498" s="322"/>
      <c r="D1498" s="323"/>
      <c r="E1498" s="197" t="str">
        <f>HYPERLINK("#LAYOUT_m1!lay중YPHY1C00","YPHY1C00")</f>
        <v>YPHY1C00</v>
      </c>
      <c r="F1498" s="121" t="s">
        <v>5</v>
      </c>
      <c r="G1498" s="177" t="s">
        <v>315</v>
      </c>
      <c r="H1498" s="236" t="s">
        <v>1819</v>
      </c>
      <c r="I1498" s="237">
        <v>4.8985216480539151</v>
      </c>
      <c r="J1498" s="237">
        <v>4.9201675068807904E-2</v>
      </c>
      <c r="K1498" s="237">
        <v>1.0044188553980311</v>
      </c>
      <c r="L1498" s="236" t="s">
        <v>1</v>
      </c>
      <c r="M1498" s="237">
        <v>4.6986023833473265</v>
      </c>
      <c r="N1498" s="237">
        <v>2.4120183946926699</v>
      </c>
      <c r="O1498" s="237">
        <v>4.8849909658469082E-2</v>
      </c>
      <c r="P1498" s="237">
        <v>1.0396689413771585</v>
      </c>
    </row>
    <row r="1499" spans="2:16" ht="18" customHeight="1">
      <c r="B1499" s="282" t="s">
        <v>316</v>
      </c>
      <c r="C1499" s="324" t="s">
        <v>317</v>
      </c>
      <c r="D1499" s="323"/>
      <c r="E1499" s="197" t="str">
        <f>HYPERLINK("#LAYOUT_m1!lay중YPHY2A00","YPHY2A00")</f>
        <v>YPHY2A00</v>
      </c>
      <c r="F1499" s="121" t="s">
        <v>0</v>
      </c>
      <c r="G1499" s="177" t="s">
        <v>3</v>
      </c>
      <c r="H1499" s="236" t="s">
        <v>1811</v>
      </c>
      <c r="I1499" s="237">
        <v>161.27120528612102</v>
      </c>
      <c r="J1499" s="237">
        <v>0.13616586281985352</v>
      </c>
      <c r="K1499" s="237">
        <v>8.4432842538922803E-2</v>
      </c>
      <c r="L1499" s="236" t="s">
        <v>1</v>
      </c>
      <c r="M1499" s="237">
        <v>164.44619129816013</v>
      </c>
      <c r="N1499" s="237">
        <v>7.1616805639606902</v>
      </c>
      <c r="O1499" s="237">
        <v>0.14504344134443045</v>
      </c>
      <c r="P1499" s="237">
        <v>8.8201155769822487E-2</v>
      </c>
    </row>
    <row r="1500" spans="2:16" ht="18" customHeight="1">
      <c r="B1500" s="286"/>
      <c r="C1500" s="324" t="s">
        <v>318</v>
      </c>
      <c r="D1500" s="323"/>
      <c r="E1500" s="197" t="str">
        <f>HYPERLINK("#LAYOUT_m1!lay중YPHY2B00","YPHY2B00")</f>
        <v>YPHY2B00</v>
      </c>
      <c r="F1500" s="121" t="s">
        <v>0</v>
      </c>
      <c r="G1500" s="177" t="s">
        <v>4</v>
      </c>
      <c r="H1500" s="236" t="s">
        <v>1</v>
      </c>
      <c r="I1500" s="237">
        <v>53.510152805760391</v>
      </c>
      <c r="J1500" s="237">
        <v>0.22198260959626848</v>
      </c>
      <c r="K1500" s="237">
        <v>0.41484204016769721</v>
      </c>
      <c r="L1500" s="236" t="s">
        <v>1</v>
      </c>
      <c r="M1500" s="237">
        <v>57.195752840253249</v>
      </c>
      <c r="N1500" s="237">
        <v>23.50068206109929</v>
      </c>
      <c r="O1500" s="237">
        <v>0.47595250439347508</v>
      </c>
      <c r="P1500" s="237">
        <v>0.83214658564387123</v>
      </c>
    </row>
    <row r="1501" spans="2:16" ht="18" customHeight="1">
      <c r="B1501" s="281" t="s">
        <v>1460</v>
      </c>
      <c r="C1501" s="320" t="s">
        <v>1458</v>
      </c>
      <c r="D1501" s="282"/>
      <c r="E1501" s="287" t="str">
        <f>HYPERLINK("#LAYOUT_m1!lay중YPHY2C00","YPHY2C00")</f>
        <v>YPHY2C00</v>
      </c>
      <c r="F1501" s="78">
        <v>1</v>
      </c>
      <c r="G1501" s="179" t="s">
        <v>1459</v>
      </c>
      <c r="H1501" s="233" t="s">
        <v>1811</v>
      </c>
      <c r="I1501" s="327" t="s">
        <v>1811</v>
      </c>
      <c r="J1501" s="327" t="s">
        <v>1811</v>
      </c>
      <c r="K1501" s="327" t="s">
        <v>1</v>
      </c>
      <c r="L1501" s="233">
        <v>25.77269115564707</v>
      </c>
      <c r="M1501" s="327"/>
      <c r="N1501" s="327"/>
      <c r="O1501" s="327"/>
      <c r="P1501" s="327"/>
    </row>
    <row r="1502" spans="2:16" ht="18" customHeight="1">
      <c r="B1502" s="283"/>
      <c r="C1502" s="344"/>
      <c r="D1502" s="284"/>
      <c r="E1502" s="289"/>
      <c r="F1502" s="79">
        <v>2</v>
      </c>
      <c r="G1502" s="178" t="s">
        <v>1461</v>
      </c>
      <c r="H1502" s="234" t="s">
        <v>1</v>
      </c>
      <c r="I1502" s="328"/>
      <c r="J1502" s="328"/>
      <c r="K1502" s="328"/>
      <c r="L1502" s="234">
        <v>0.78427625401615497</v>
      </c>
      <c r="M1502" s="328"/>
      <c r="N1502" s="328"/>
      <c r="O1502" s="328"/>
      <c r="P1502" s="328"/>
    </row>
    <row r="1503" spans="2:16" ht="18" customHeight="1">
      <c r="B1503" s="283"/>
      <c r="C1503" s="344"/>
      <c r="D1503" s="284"/>
      <c r="E1503" s="289"/>
      <c r="F1503" s="79">
        <v>3</v>
      </c>
      <c r="G1503" s="178" t="s">
        <v>1607</v>
      </c>
      <c r="H1503" s="234" t="s">
        <v>1813</v>
      </c>
      <c r="I1503" s="328"/>
      <c r="J1503" s="328"/>
      <c r="K1503" s="328"/>
      <c r="L1503" s="234">
        <v>4.7606895323356202</v>
      </c>
      <c r="M1503" s="328"/>
      <c r="N1503" s="328"/>
      <c r="O1503" s="328"/>
      <c r="P1503" s="328"/>
    </row>
    <row r="1504" spans="2:16" ht="18" customHeight="1">
      <c r="B1504" s="283"/>
      <c r="C1504" s="344"/>
      <c r="D1504" s="284"/>
      <c r="E1504" s="289"/>
      <c r="F1504" s="79">
        <v>4</v>
      </c>
      <c r="G1504" s="178" t="s">
        <v>1608</v>
      </c>
      <c r="H1504" s="234" t="s">
        <v>1</v>
      </c>
      <c r="I1504" s="328"/>
      <c r="J1504" s="328"/>
      <c r="K1504" s="328"/>
      <c r="L1504" s="234">
        <v>13.973455559061994</v>
      </c>
      <c r="M1504" s="328"/>
      <c r="N1504" s="328"/>
      <c r="O1504" s="328"/>
      <c r="P1504" s="328"/>
    </row>
    <row r="1505" spans="2:16" ht="18" customHeight="1">
      <c r="B1505" s="283"/>
      <c r="C1505" s="344"/>
      <c r="D1505" s="284"/>
      <c r="E1505" s="289"/>
      <c r="F1505" s="79">
        <v>5</v>
      </c>
      <c r="G1505" s="178" t="s">
        <v>1609</v>
      </c>
      <c r="H1505" s="234" t="s">
        <v>1</v>
      </c>
      <c r="I1505" s="328"/>
      <c r="J1505" s="328"/>
      <c r="K1505" s="328"/>
      <c r="L1505" s="234">
        <v>24.195156513850659</v>
      </c>
      <c r="M1505" s="328"/>
      <c r="N1505" s="328"/>
      <c r="O1505" s="328"/>
      <c r="P1505" s="328"/>
    </row>
    <row r="1506" spans="2:16" ht="18" customHeight="1">
      <c r="B1506" s="283"/>
      <c r="C1506" s="344"/>
      <c r="D1506" s="284"/>
      <c r="E1506" s="289"/>
      <c r="F1506" s="79">
        <v>6</v>
      </c>
      <c r="G1506" s="178" t="s">
        <v>1610</v>
      </c>
      <c r="H1506" s="234" t="s">
        <v>1811</v>
      </c>
      <c r="I1506" s="328"/>
      <c r="J1506" s="328"/>
      <c r="K1506" s="328"/>
      <c r="L1506" s="234">
        <v>23.829138007210425</v>
      </c>
      <c r="M1506" s="328"/>
      <c r="N1506" s="328"/>
      <c r="O1506" s="328"/>
      <c r="P1506" s="328"/>
    </row>
    <row r="1507" spans="2:16" ht="18" customHeight="1">
      <c r="B1507" s="283"/>
      <c r="C1507" s="344"/>
      <c r="D1507" s="284"/>
      <c r="E1507" s="289"/>
      <c r="F1507" s="79">
        <v>7</v>
      </c>
      <c r="G1507" s="178" t="s">
        <v>1611</v>
      </c>
      <c r="H1507" s="234" t="s">
        <v>1</v>
      </c>
      <c r="I1507" s="328"/>
      <c r="J1507" s="328"/>
      <c r="K1507" s="328"/>
      <c r="L1507" s="234">
        <v>6.6845929778780944</v>
      </c>
      <c r="M1507" s="328"/>
      <c r="N1507" s="328"/>
      <c r="O1507" s="328"/>
      <c r="P1507" s="328"/>
    </row>
    <row r="1508" spans="2:16" ht="18" customHeight="1">
      <c r="B1508" s="283"/>
      <c r="C1508" s="344"/>
      <c r="D1508" s="284"/>
      <c r="E1508" s="289"/>
      <c r="F1508" s="79">
        <v>8</v>
      </c>
      <c r="G1508" s="178" t="s">
        <v>1612</v>
      </c>
      <c r="H1508" s="234" t="s">
        <v>1817</v>
      </c>
      <c r="I1508" s="328"/>
      <c r="J1508" s="328"/>
      <c r="K1508" s="328"/>
      <c r="L1508" s="234">
        <v>0</v>
      </c>
      <c r="M1508" s="328"/>
      <c r="N1508" s="328"/>
      <c r="O1508" s="328"/>
      <c r="P1508" s="328"/>
    </row>
    <row r="1509" spans="2:16" ht="18" customHeight="1">
      <c r="B1509" s="283"/>
      <c r="C1509" s="344"/>
      <c r="D1509" s="284"/>
      <c r="E1509" s="289"/>
      <c r="F1509" s="79">
        <v>9</v>
      </c>
      <c r="G1509" s="178" t="s">
        <v>1613</v>
      </c>
      <c r="H1509" s="234" t="s">
        <v>1</v>
      </c>
      <c r="I1509" s="328"/>
      <c r="J1509" s="328"/>
      <c r="K1509" s="328"/>
      <c r="L1509" s="234">
        <v>0</v>
      </c>
      <c r="M1509" s="328"/>
      <c r="N1509" s="328"/>
      <c r="O1509" s="328"/>
      <c r="P1509" s="328"/>
    </row>
    <row r="1510" spans="2:16" ht="18" customHeight="1">
      <c r="B1510" s="285"/>
      <c r="C1510" s="321"/>
      <c r="D1510" s="286"/>
      <c r="E1510" s="288"/>
      <c r="F1510" s="82">
        <v>10</v>
      </c>
      <c r="G1510" s="180" t="s">
        <v>1614</v>
      </c>
      <c r="H1510" s="235" t="s">
        <v>1</v>
      </c>
      <c r="I1510" s="329"/>
      <c r="J1510" s="329"/>
      <c r="K1510" s="329"/>
      <c r="L1510" s="235">
        <v>0</v>
      </c>
      <c r="M1510" s="329"/>
      <c r="N1510" s="329"/>
      <c r="O1510" s="329"/>
      <c r="P1510" s="329"/>
    </row>
    <row r="1511" spans="2:16" ht="18" customHeight="1">
      <c r="H1511" s="77"/>
      <c r="L1511" s="77"/>
    </row>
    <row r="1512" spans="2:16" ht="18" customHeight="1">
      <c r="H1512" s="77"/>
      <c r="L1512" s="77"/>
    </row>
    <row r="1513" spans="2:16" ht="18" customHeight="1">
      <c r="H1513" s="77"/>
      <c r="L1513" s="77"/>
    </row>
    <row r="1514" spans="2:16" ht="18" customHeight="1">
      <c r="H1514" s="77"/>
      <c r="L1514" s="77"/>
    </row>
    <row r="1515" spans="2:16" ht="18" customHeight="1">
      <c r="H1515" s="77"/>
      <c r="L1515" s="77"/>
    </row>
    <row r="1516" spans="2:16" ht="18" customHeight="1">
      <c r="H1516" s="77"/>
      <c r="L1516" s="77"/>
    </row>
    <row r="1517" spans="2:16" ht="18" customHeight="1">
      <c r="H1517" s="77"/>
      <c r="L1517" s="77"/>
    </row>
    <row r="1518" spans="2:16" ht="18" customHeight="1">
      <c r="H1518" s="77"/>
      <c r="L1518" s="77"/>
    </row>
    <row r="1519" spans="2:16" ht="18" customHeight="1">
      <c r="H1519" s="77"/>
      <c r="L1519" s="77"/>
    </row>
    <row r="1520" spans="2:16" ht="18" customHeight="1">
      <c r="H1520" s="77"/>
      <c r="L1520" s="77"/>
    </row>
    <row r="1521" spans="8:12" ht="18" customHeight="1">
      <c r="H1521" s="77"/>
      <c r="L1521" s="77"/>
    </row>
    <row r="1522" spans="8:12" ht="18" customHeight="1">
      <c r="H1522" s="77"/>
      <c r="L1522" s="77"/>
    </row>
    <row r="1523" spans="8:12" ht="18" customHeight="1">
      <c r="H1523" s="77"/>
      <c r="L1523" s="77"/>
    </row>
    <row r="1524" spans="8:12" ht="18" customHeight="1">
      <c r="H1524" s="77"/>
      <c r="L1524" s="77"/>
    </row>
    <row r="1525" spans="8:12" ht="18" customHeight="1">
      <c r="H1525" s="77"/>
      <c r="L1525" s="77"/>
    </row>
    <row r="1526" spans="8:12" ht="18" customHeight="1">
      <c r="H1526" s="77"/>
      <c r="L1526" s="77"/>
    </row>
    <row r="1527" spans="8:12" ht="18" customHeight="1">
      <c r="H1527" s="77"/>
      <c r="L1527" s="77"/>
    </row>
  </sheetData>
  <sheetProtection algorithmName="SHA-512" hashValue="ruiJKDyfndl3LKkpucq/WgVUiV2r5Ds/k4K4UGHygj8DSwM5Gmh+kqMgQwsKMVxWCkv05XG7X2wrNKsxuEWDVQ==" saltValue="pj6/HIdLF5NpnJiNblATDg==" spinCount="100000" sheet="1" objects="1" scenarios="1"/>
  <mergeCells count="3096">
    <mergeCell ref="I39:I55"/>
    <mergeCell ref="I56:I58"/>
    <mergeCell ref="I371:I374"/>
    <mergeCell ref="I1085:I1086"/>
    <mergeCell ref="I1087:I1088"/>
    <mergeCell ref="I1089:I1090"/>
    <mergeCell ref="I1091:I1092"/>
    <mergeCell ref="I1093:I1094"/>
    <mergeCell ref="I1095:I1096"/>
    <mergeCell ref="I1097:I1098"/>
    <mergeCell ref="I1099:I1100"/>
    <mergeCell ref="I1101:I1102"/>
    <mergeCell ref="I1103:I1104"/>
    <mergeCell ref="J1085:J1086"/>
    <mergeCell ref="J1087:J1088"/>
    <mergeCell ref="J1089:J1090"/>
    <mergeCell ref="J1091:J1092"/>
    <mergeCell ref="J1093:J1094"/>
    <mergeCell ref="J1095:J1096"/>
    <mergeCell ref="J1063:J1066"/>
    <mergeCell ref="J1067:J1070"/>
    <mergeCell ref="J1071:J1074"/>
    <mergeCell ref="J1075:J1078"/>
    <mergeCell ref="J1034:J1035"/>
    <mergeCell ref="J1036:J1037"/>
    <mergeCell ref="J1489:J1492"/>
    <mergeCell ref="K1489:K1492"/>
    <mergeCell ref="J1493:J1497"/>
    <mergeCell ref="K1493:K1497"/>
    <mergeCell ref="J1501:J1510"/>
    <mergeCell ref="K1501:K1510"/>
    <mergeCell ref="J1459:J1464"/>
    <mergeCell ref="K1459:K1464"/>
    <mergeCell ref="J1465:J1470"/>
    <mergeCell ref="K1465:K1470"/>
    <mergeCell ref="J1471:J1476"/>
    <mergeCell ref="K1471:K1476"/>
    <mergeCell ref="J1477:J1482"/>
    <mergeCell ref="K1477:K1482"/>
    <mergeCell ref="J1483:J1488"/>
    <mergeCell ref="K1483:K1488"/>
    <mergeCell ref="J1429:J1434"/>
    <mergeCell ref="K1429:K1434"/>
    <mergeCell ref="J1435:J1440"/>
    <mergeCell ref="K1435:K1440"/>
    <mergeCell ref="J1441:J1446"/>
    <mergeCell ref="K1441:K1446"/>
    <mergeCell ref="J1447:J1452"/>
    <mergeCell ref="K1447:K1452"/>
    <mergeCell ref="J1453:J1458"/>
    <mergeCell ref="K1453:K1458"/>
    <mergeCell ref="J1399:J1404"/>
    <mergeCell ref="K1399:K1404"/>
    <mergeCell ref="J1405:J1410"/>
    <mergeCell ref="K1405:K1410"/>
    <mergeCell ref="J1411:J1416"/>
    <mergeCell ref="K1411:K1416"/>
    <mergeCell ref="J1417:J1422"/>
    <mergeCell ref="K1417:K1422"/>
    <mergeCell ref="J1423:J1428"/>
    <mergeCell ref="K1423:K1428"/>
    <mergeCell ref="J1369:J1374"/>
    <mergeCell ref="K1369:K1374"/>
    <mergeCell ref="J1375:J1380"/>
    <mergeCell ref="K1375:K1380"/>
    <mergeCell ref="J1381:J1386"/>
    <mergeCell ref="K1381:K1386"/>
    <mergeCell ref="J1387:J1392"/>
    <mergeCell ref="K1387:K1392"/>
    <mergeCell ref="J1393:J1398"/>
    <mergeCell ref="K1393:K1398"/>
    <mergeCell ref="J1339:J1344"/>
    <mergeCell ref="K1339:K1344"/>
    <mergeCell ref="J1345:J1350"/>
    <mergeCell ref="K1345:K1350"/>
    <mergeCell ref="J1351:J1356"/>
    <mergeCell ref="K1351:K1356"/>
    <mergeCell ref="J1357:J1362"/>
    <mergeCell ref="K1357:K1362"/>
    <mergeCell ref="J1363:J1368"/>
    <mergeCell ref="K1363:K1368"/>
    <mergeCell ref="J1309:J1314"/>
    <mergeCell ref="K1309:K1314"/>
    <mergeCell ref="J1315:J1320"/>
    <mergeCell ref="K1315:K1320"/>
    <mergeCell ref="J1321:J1326"/>
    <mergeCell ref="K1321:K1326"/>
    <mergeCell ref="J1327:J1332"/>
    <mergeCell ref="K1327:K1332"/>
    <mergeCell ref="J1333:J1338"/>
    <mergeCell ref="K1333:K1338"/>
    <mergeCell ref="J1289:J1292"/>
    <mergeCell ref="K1289:K1292"/>
    <mergeCell ref="J1293:J1296"/>
    <mergeCell ref="K1293:K1296"/>
    <mergeCell ref="J1297:J1300"/>
    <mergeCell ref="K1297:K1300"/>
    <mergeCell ref="J1301:J1304"/>
    <mergeCell ref="K1301:K1304"/>
    <mergeCell ref="J1305:J1308"/>
    <mergeCell ref="K1305:K1308"/>
    <mergeCell ref="J1269:J1272"/>
    <mergeCell ref="K1269:K1272"/>
    <mergeCell ref="J1273:J1276"/>
    <mergeCell ref="K1273:K1276"/>
    <mergeCell ref="J1277:J1280"/>
    <mergeCell ref="K1277:K1280"/>
    <mergeCell ref="J1281:J1284"/>
    <mergeCell ref="K1281:K1284"/>
    <mergeCell ref="J1285:J1288"/>
    <mergeCell ref="K1285:K1288"/>
    <mergeCell ref="J1249:J1252"/>
    <mergeCell ref="K1249:K1252"/>
    <mergeCell ref="J1253:J1256"/>
    <mergeCell ref="K1253:K1256"/>
    <mergeCell ref="J1257:J1260"/>
    <mergeCell ref="K1257:K1260"/>
    <mergeCell ref="J1261:J1264"/>
    <mergeCell ref="K1261:K1264"/>
    <mergeCell ref="J1265:J1268"/>
    <mergeCell ref="K1265:K1268"/>
    <mergeCell ref="J1229:J1232"/>
    <mergeCell ref="K1229:K1232"/>
    <mergeCell ref="J1233:J1236"/>
    <mergeCell ref="K1233:K1236"/>
    <mergeCell ref="J1237:J1240"/>
    <mergeCell ref="K1237:K1240"/>
    <mergeCell ref="J1241:J1244"/>
    <mergeCell ref="K1241:K1244"/>
    <mergeCell ref="J1245:J1248"/>
    <mergeCell ref="K1245:K1248"/>
    <mergeCell ref="J1209:J1212"/>
    <mergeCell ref="K1209:K1212"/>
    <mergeCell ref="J1213:J1216"/>
    <mergeCell ref="K1213:K1216"/>
    <mergeCell ref="J1217:J1220"/>
    <mergeCell ref="K1217:K1220"/>
    <mergeCell ref="J1221:J1224"/>
    <mergeCell ref="K1221:K1224"/>
    <mergeCell ref="J1225:J1228"/>
    <mergeCell ref="K1225:K1228"/>
    <mergeCell ref="J1189:J1192"/>
    <mergeCell ref="K1189:K1192"/>
    <mergeCell ref="J1193:J1196"/>
    <mergeCell ref="K1193:K1196"/>
    <mergeCell ref="J1197:J1200"/>
    <mergeCell ref="K1197:K1200"/>
    <mergeCell ref="J1201:J1204"/>
    <mergeCell ref="K1201:K1204"/>
    <mergeCell ref="J1205:J1208"/>
    <mergeCell ref="K1205:K1208"/>
    <mergeCell ref="J1169:J1172"/>
    <mergeCell ref="K1169:K1172"/>
    <mergeCell ref="J1173:J1176"/>
    <mergeCell ref="K1173:K1176"/>
    <mergeCell ref="J1177:J1180"/>
    <mergeCell ref="K1177:K1180"/>
    <mergeCell ref="J1181:J1184"/>
    <mergeCell ref="K1181:K1184"/>
    <mergeCell ref="J1185:J1188"/>
    <mergeCell ref="K1185:K1188"/>
    <mergeCell ref="J1149:J1152"/>
    <mergeCell ref="K1149:K1152"/>
    <mergeCell ref="J1153:J1156"/>
    <mergeCell ref="K1153:K1156"/>
    <mergeCell ref="J1157:J1160"/>
    <mergeCell ref="K1157:K1160"/>
    <mergeCell ref="J1161:J1164"/>
    <mergeCell ref="K1161:K1164"/>
    <mergeCell ref="J1165:J1168"/>
    <mergeCell ref="K1165:K1168"/>
    <mergeCell ref="J1129:J1132"/>
    <mergeCell ref="K1129:K1132"/>
    <mergeCell ref="J1133:J1136"/>
    <mergeCell ref="K1133:K1136"/>
    <mergeCell ref="J1137:J1140"/>
    <mergeCell ref="K1137:K1140"/>
    <mergeCell ref="J1141:J1144"/>
    <mergeCell ref="K1141:K1144"/>
    <mergeCell ref="J1145:J1148"/>
    <mergeCell ref="K1145:K1148"/>
    <mergeCell ref="J1109:J1112"/>
    <mergeCell ref="K1109:K1112"/>
    <mergeCell ref="J1113:J1116"/>
    <mergeCell ref="K1113:K1116"/>
    <mergeCell ref="J1117:J1120"/>
    <mergeCell ref="K1117:K1120"/>
    <mergeCell ref="J1121:J1124"/>
    <mergeCell ref="K1121:K1124"/>
    <mergeCell ref="J1125:J1128"/>
    <mergeCell ref="K1125:K1128"/>
    <mergeCell ref="J1105:J1108"/>
    <mergeCell ref="K1105:K1108"/>
    <mergeCell ref="J1097:J1098"/>
    <mergeCell ref="J1099:J1100"/>
    <mergeCell ref="J1101:J1102"/>
    <mergeCell ref="J1103:J1104"/>
    <mergeCell ref="K1085:K1086"/>
    <mergeCell ref="K1087:K1088"/>
    <mergeCell ref="K1089:K1090"/>
    <mergeCell ref="K1091:K1092"/>
    <mergeCell ref="K1093:K1094"/>
    <mergeCell ref="K1095:K1096"/>
    <mergeCell ref="K1097:K1098"/>
    <mergeCell ref="K1099:K1100"/>
    <mergeCell ref="K1101:K1102"/>
    <mergeCell ref="K1103:K1104"/>
    <mergeCell ref="J1044:J1045"/>
    <mergeCell ref="K1044:K1045"/>
    <mergeCell ref="J1047:J1050"/>
    <mergeCell ref="K1047:K1050"/>
    <mergeCell ref="J1051:J1054"/>
    <mergeCell ref="K1051:K1054"/>
    <mergeCell ref="J1055:J1058"/>
    <mergeCell ref="K1055:K1058"/>
    <mergeCell ref="J1059:J1062"/>
    <mergeCell ref="K1059:K1062"/>
    <mergeCell ref="K1063:K1066"/>
    <mergeCell ref="K1067:K1070"/>
    <mergeCell ref="K1071:K1074"/>
    <mergeCell ref="K1075:K1078"/>
    <mergeCell ref="K1036:K1037"/>
    <mergeCell ref="J1038:J1039"/>
    <mergeCell ref="K1038:K1039"/>
    <mergeCell ref="J1040:J1041"/>
    <mergeCell ref="K1040:K1041"/>
    <mergeCell ref="J1042:J1043"/>
    <mergeCell ref="K1042:K1043"/>
    <mergeCell ref="J1024:J1025"/>
    <mergeCell ref="K1024:K1025"/>
    <mergeCell ref="J1026:J1027"/>
    <mergeCell ref="K1026:K1027"/>
    <mergeCell ref="J1028:J1029"/>
    <mergeCell ref="K1028:K1029"/>
    <mergeCell ref="J1030:J1031"/>
    <mergeCell ref="K1030:K1031"/>
    <mergeCell ref="J1032:J1033"/>
    <mergeCell ref="K1032:K1033"/>
    <mergeCell ref="K1034:K1035"/>
    <mergeCell ref="J1014:J1015"/>
    <mergeCell ref="K1014:K1015"/>
    <mergeCell ref="J1016:J1017"/>
    <mergeCell ref="K1016:K1017"/>
    <mergeCell ref="J1018:J1019"/>
    <mergeCell ref="K1018:K1019"/>
    <mergeCell ref="J1020:J1021"/>
    <mergeCell ref="K1020:K1021"/>
    <mergeCell ref="J1022:J1023"/>
    <mergeCell ref="K1022:K1023"/>
    <mergeCell ref="J1004:J1005"/>
    <mergeCell ref="K1004:K1005"/>
    <mergeCell ref="J1006:J1007"/>
    <mergeCell ref="K1006:K1007"/>
    <mergeCell ref="J1008:J1009"/>
    <mergeCell ref="K1008:K1009"/>
    <mergeCell ref="J1010:J1011"/>
    <mergeCell ref="K1010:K1011"/>
    <mergeCell ref="J1012:J1013"/>
    <mergeCell ref="K1012:K1013"/>
    <mergeCell ref="J994:J995"/>
    <mergeCell ref="K994:K995"/>
    <mergeCell ref="J996:J997"/>
    <mergeCell ref="K996:K997"/>
    <mergeCell ref="J998:J999"/>
    <mergeCell ref="K998:K999"/>
    <mergeCell ref="J1000:J1001"/>
    <mergeCell ref="K1000:K1001"/>
    <mergeCell ref="J1002:J1003"/>
    <mergeCell ref="K1002:K1003"/>
    <mergeCell ref="J982:J985"/>
    <mergeCell ref="K982:K985"/>
    <mergeCell ref="J986:J987"/>
    <mergeCell ref="K986:K987"/>
    <mergeCell ref="J988:J989"/>
    <mergeCell ref="K988:K989"/>
    <mergeCell ref="J990:J991"/>
    <mergeCell ref="K990:K991"/>
    <mergeCell ref="J992:J993"/>
    <mergeCell ref="K992:K993"/>
    <mergeCell ref="J962:J965"/>
    <mergeCell ref="K962:K965"/>
    <mergeCell ref="J966:J969"/>
    <mergeCell ref="K966:K969"/>
    <mergeCell ref="J970:J973"/>
    <mergeCell ref="K970:K973"/>
    <mergeCell ref="J974:J977"/>
    <mergeCell ref="K974:K977"/>
    <mergeCell ref="J978:J981"/>
    <mergeCell ref="K978:K981"/>
    <mergeCell ref="J942:J945"/>
    <mergeCell ref="K942:K945"/>
    <mergeCell ref="J946:J949"/>
    <mergeCell ref="K946:K949"/>
    <mergeCell ref="J950:J953"/>
    <mergeCell ref="K950:K953"/>
    <mergeCell ref="J954:J957"/>
    <mergeCell ref="K954:K957"/>
    <mergeCell ref="J958:J961"/>
    <mergeCell ref="K958:K961"/>
    <mergeCell ref="J922:J925"/>
    <mergeCell ref="K922:K925"/>
    <mergeCell ref="J926:J929"/>
    <mergeCell ref="K926:K929"/>
    <mergeCell ref="J930:J933"/>
    <mergeCell ref="K930:K933"/>
    <mergeCell ref="J934:J937"/>
    <mergeCell ref="K934:K937"/>
    <mergeCell ref="J938:J941"/>
    <mergeCell ref="K938:K941"/>
    <mergeCell ref="J902:J905"/>
    <mergeCell ref="K902:K905"/>
    <mergeCell ref="J906:J909"/>
    <mergeCell ref="K906:K909"/>
    <mergeCell ref="J910:J913"/>
    <mergeCell ref="K910:K913"/>
    <mergeCell ref="J914:J917"/>
    <mergeCell ref="K914:K917"/>
    <mergeCell ref="J918:J921"/>
    <mergeCell ref="K918:K921"/>
    <mergeCell ref="J882:J885"/>
    <mergeCell ref="K882:K885"/>
    <mergeCell ref="J886:J889"/>
    <mergeCell ref="K886:K889"/>
    <mergeCell ref="J890:J893"/>
    <mergeCell ref="K890:K893"/>
    <mergeCell ref="J894:J897"/>
    <mergeCell ref="K894:K897"/>
    <mergeCell ref="J898:J901"/>
    <mergeCell ref="K898:K901"/>
    <mergeCell ref="J862:J865"/>
    <mergeCell ref="K862:K865"/>
    <mergeCell ref="J866:J869"/>
    <mergeCell ref="K866:K869"/>
    <mergeCell ref="J870:J873"/>
    <mergeCell ref="K870:K873"/>
    <mergeCell ref="J874:J877"/>
    <mergeCell ref="K874:K877"/>
    <mergeCell ref="J878:J881"/>
    <mergeCell ref="K878:K881"/>
    <mergeCell ref="J842:J845"/>
    <mergeCell ref="K842:K845"/>
    <mergeCell ref="J846:J849"/>
    <mergeCell ref="K846:K849"/>
    <mergeCell ref="J850:J853"/>
    <mergeCell ref="K850:K853"/>
    <mergeCell ref="J854:J857"/>
    <mergeCell ref="K854:K857"/>
    <mergeCell ref="J858:J861"/>
    <mergeCell ref="K858:K861"/>
    <mergeCell ref="J822:J825"/>
    <mergeCell ref="K822:K825"/>
    <mergeCell ref="J826:J829"/>
    <mergeCell ref="K826:K829"/>
    <mergeCell ref="J830:J833"/>
    <mergeCell ref="K830:K833"/>
    <mergeCell ref="J834:J837"/>
    <mergeCell ref="K834:K837"/>
    <mergeCell ref="J838:J841"/>
    <mergeCell ref="K838:K841"/>
    <mergeCell ref="J802:J805"/>
    <mergeCell ref="K802:K805"/>
    <mergeCell ref="J806:J809"/>
    <mergeCell ref="K806:K809"/>
    <mergeCell ref="J810:J813"/>
    <mergeCell ref="K810:K813"/>
    <mergeCell ref="J814:J817"/>
    <mergeCell ref="K814:K817"/>
    <mergeCell ref="J818:J821"/>
    <mergeCell ref="K818:K821"/>
    <mergeCell ref="J782:J785"/>
    <mergeCell ref="K782:K785"/>
    <mergeCell ref="J786:J789"/>
    <mergeCell ref="K786:K789"/>
    <mergeCell ref="J790:J793"/>
    <mergeCell ref="K790:K793"/>
    <mergeCell ref="J794:J797"/>
    <mergeCell ref="K794:K797"/>
    <mergeCell ref="J798:J801"/>
    <mergeCell ref="K798:K801"/>
    <mergeCell ref="J762:J765"/>
    <mergeCell ref="K762:K765"/>
    <mergeCell ref="J766:J769"/>
    <mergeCell ref="K766:K769"/>
    <mergeCell ref="J770:J773"/>
    <mergeCell ref="K770:K773"/>
    <mergeCell ref="J774:J777"/>
    <mergeCell ref="K774:K777"/>
    <mergeCell ref="J778:J781"/>
    <mergeCell ref="K778:K781"/>
    <mergeCell ref="J742:J745"/>
    <mergeCell ref="K742:K745"/>
    <mergeCell ref="J746:J749"/>
    <mergeCell ref="K746:K749"/>
    <mergeCell ref="J750:J753"/>
    <mergeCell ref="K750:K753"/>
    <mergeCell ref="J754:J757"/>
    <mergeCell ref="K754:K757"/>
    <mergeCell ref="J758:J761"/>
    <mergeCell ref="K758:K761"/>
    <mergeCell ref="J722:J725"/>
    <mergeCell ref="K722:K725"/>
    <mergeCell ref="J726:J729"/>
    <mergeCell ref="K726:K729"/>
    <mergeCell ref="J730:J733"/>
    <mergeCell ref="K730:K733"/>
    <mergeCell ref="J734:J737"/>
    <mergeCell ref="K734:K737"/>
    <mergeCell ref="J738:J741"/>
    <mergeCell ref="K738:K741"/>
    <mergeCell ref="J699:J703"/>
    <mergeCell ref="K699:K703"/>
    <mergeCell ref="J704:J708"/>
    <mergeCell ref="K704:K708"/>
    <mergeCell ref="J710:J713"/>
    <mergeCell ref="K710:K713"/>
    <mergeCell ref="J714:J717"/>
    <mergeCell ref="K714:K717"/>
    <mergeCell ref="J718:J721"/>
    <mergeCell ref="K718:K721"/>
    <mergeCell ref="J674:J678"/>
    <mergeCell ref="K674:K678"/>
    <mergeCell ref="J679:J683"/>
    <mergeCell ref="K679:K683"/>
    <mergeCell ref="J684:J688"/>
    <mergeCell ref="K684:K688"/>
    <mergeCell ref="J689:J693"/>
    <mergeCell ref="K689:K693"/>
    <mergeCell ref="J694:J698"/>
    <mergeCell ref="K694:K698"/>
    <mergeCell ref="J653:J656"/>
    <mergeCell ref="K653:K656"/>
    <mergeCell ref="J657:J660"/>
    <mergeCell ref="K657:K660"/>
    <mergeCell ref="J661:J665"/>
    <mergeCell ref="K661:K665"/>
    <mergeCell ref="J666:J668"/>
    <mergeCell ref="K666:K668"/>
    <mergeCell ref="J669:J673"/>
    <mergeCell ref="K669:K673"/>
    <mergeCell ref="J633:J636"/>
    <mergeCell ref="K633:K636"/>
    <mergeCell ref="J637:J640"/>
    <mergeCell ref="K637:K640"/>
    <mergeCell ref="J641:J644"/>
    <mergeCell ref="K641:K644"/>
    <mergeCell ref="J645:J648"/>
    <mergeCell ref="K645:K648"/>
    <mergeCell ref="J649:J652"/>
    <mergeCell ref="K649:K652"/>
    <mergeCell ref="J613:J616"/>
    <mergeCell ref="K613:K616"/>
    <mergeCell ref="J617:J620"/>
    <mergeCell ref="K617:K620"/>
    <mergeCell ref="J621:J624"/>
    <mergeCell ref="K621:K624"/>
    <mergeCell ref="J625:J628"/>
    <mergeCell ref="K625:K628"/>
    <mergeCell ref="J629:J632"/>
    <mergeCell ref="K629:K632"/>
    <mergeCell ref="J593:J596"/>
    <mergeCell ref="K593:K596"/>
    <mergeCell ref="J597:J600"/>
    <mergeCell ref="K597:K600"/>
    <mergeCell ref="J601:J604"/>
    <mergeCell ref="K601:K604"/>
    <mergeCell ref="J605:J608"/>
    <mergeCell ref="K605:K608"/>
    <mergeCell ref="J609:J612"/>
    <mergeCell ref="K609:K612"/>
    <mergeCell ref="J573:J576"/>
    <mergeCell ref="K573:K576"/>
    <mergeCell ref="J577:J580"/>
    <mergeCell ref="K577:K580"/>
    <mergeCell ref="J581:J584"/>
    <mergeCell ref="K581:K584"/>
    <mergeCell ref="J585:J588"/>
    <mergeCell ref="K585:K588"/>
    <mergeCell ref="J589:J592"/>
    <mergeCell ref="K589:K592"/>
    <mergeCell ref="J553:J556"/>
    <mergeCell ref="K553:K556"/>
    <mergeCell ref="J557:J560"/>
    <mergeCell ref="K557:K560"/>
    <mergeCell ref="J561:J564"/>
    <mergeCell ref="K561:K564"/>
    <mergeCell ref="J565:J568"/>
    <mergeCell ref="K565:K568"/>
    <mergeCell ref="J569:J572"/>
    <mergeCell ref="K569:K572"/>
    <mergeCell ref="J533:J536"/>
    <mergeCell ref="K533:K536"/>
    <mergeCell ref="J537:J540"/>
    <mergeCell ref="K537:K540"/>
    <mergeCell ref="J541:J544"/>
    <mergeCell ref="K541:K544"/>
    <mergeCell ref="J545:J548"/>
    <mergeCell ref="K545:K548"/>
    <mergeCell ref="J549:J552"/>
    <mergeCell ref="K549:K552"/>
    <mergeCell ref="J503:J508"/>
    <mergeCell ref="K503:K508"/>
    <mergeCell ref="J509:J514"/>
    <mergeCell ref="K509:K514"/>
    <mergeCell ref="J515:J520"/>
    <mergeCell ref="K515:K520"/>
    <mergeCell ref="J521:J526"/>
    <mergeCell ref="K521:K526"/>
    <mergeCell ref="J527:J532"/>
    <mergeCell ref="K527:K532"/>
    <mergeCell ref="J473:J478"/>
    <mergeCell ref="K473:K478"/>
    <mergeCell ref="J479:J484"/>
    <mergeCell ref="K479:K484"/>
    <mergeCell ref="J485:J490"/>
    <mergeCell ref="K485:K490"/>
    <mergeCell ref="J491:J496"/>
    <mergeCell ref="K491:K496"/>
    <mergeCell ref="J497:J502"/>
    <mergeCell ref="K497:K502"/>
    <mergeCell ref="J451:J454"/>
    <mergeCell ref="K451:K454"/>
    <mergeCell ref="J455:J458"/>
    <mergeCell ref="K455:K458"/>
    <mergeCell ref="J459:J460"/>
    <mergeCell ref="K459:K460"/>
    <mergeCell ref="J461:J466"/>
    <mergeCell ref="K461:K466"/>
    <mergeCell ref="J467:J472"/>
    <mergeCell ref="K467:K472"/>
    <mergeCell ref="J431:J434"/>
    <mergeCell ref="K431:K434"/>
    <mergeCell ref="J435:J438"/>
    <mergeCell ref="K435:K438"/>
    <mergeCell ref="J439:J442"/>
    <mergeCell ref="K439:K442"/>
    <mergeCell ref="J443:J446"/>
    <mergeCell ref="K443:K446"/>
    <mergeCell ref="J447:J450"/>
    <mergeCell ref="K447:K450"/>
    <mergeCell ref="J411:J414"/>
    <mergeCell ref="K411:K414"/>
    <mergeCell ref="J415:J418"/>
    <mergeCell ref="K415:K418"/>
    <mergeCell ref="J419:J422"/>
    <mergeCell ref="K419:K422"/>
    <mergeCell ref="J423:J426"/>
    <mergeCell ref="K423:K426"/>
    <mergeCell ref="J427:J430"/>
    <mergeCell ref="K427:K430"/>
    <mergeCell ref="J391:J394"/>
    <mergeCell ref="K391:K394"/>
    <mergeCell ref="J395:J398"/>
    <mergeCell ref="K395:K398"/>
    <mergeCell ref="J399:J402"/>
    <mergeCell ref="K399:K402"/>
    <mergeCell ref="J403:J406"/>
    <mergeCell ref="K403:K406"/>
    <mergeCell ref="J407:J410"/>
    <mergeCell ref="K407:K410"/>
    <mergeCell ref="J371:J374"/>
    <mergeCell ref="K371:K374"/>
    <mergeCell ref="J375:J378"/>
    <mergeCell ref="K375:K378"/>
    <mergeCell ref="J379:J382"/>
    <mergeCell ref="K379:K382"/>
    <mergeCell ref="J383:J386"/>
    <mergeCell ref="K383:K386"/>
    <mergeCell ref="J387:J390"/>
    <mergeCell ref="K387:K390"/>
    <mergeCell ref="J351:J354"/>
    <mergeCell ref="K351:K354"/>
    <mergeCell ref="J355:J358"/>
    <mergeCell ref="K355:K358"/>
    <mergeCell ref="J359:J362"/>
    <mergeCell ref="K359:K362"/>
    <mergeCell ref="J363:J366"/>
    <mergeCell ref="K363:K366"/>
    <mergeCell ref="J367:J370"/>
    <mergeCell ref="K367:K370"/>
    <mergeCell ref="J331:J334"/>
    <mergeCell ref="K331:K334"/>
    <mergeCell ref="J335:J338"/>
    <mergeCell ref="K335:K338"/>
    <mergeCell ref="J339:J342"/>
    <mergeCell ref="K339:K342"/>
    <mergeCell ref="J343:J346"/>
    <mergeCell ref="K343:K346"/>
    <mergeCell ref="J347:J350"/>
    <mergeCell ref="K347:K350"/>
    <mergeCell ref="J311:J314"/>
    <mergeCell ref="K311:K314"/>
    <mergeCell ref="J315:J318"/>
    <mergeCell ref="K315:K318"/>
    <mergeCell ref="J319:J322"/>
    <mergeCell ref="K319:K322"/>
    <mergeCell ref="J323:J326"/>
    <mergeCell ref="K323:K326"/>
    <mergeCell ref="J327:J330"/>
    <mergeCell ref="K327:K330"/>
    <mergeCell ref="J289:J292"/>
    <mergeCell ref="K289:K292"/>
    <mergeCell ref="J293:J296"/>
    <mergeCell ref="K293:K296"/>
    <mergeCell ref="J297:J300"/>
    <mergeCell ref="K297:K300"/>
    <mergeCell ref="J301:J304"/>
    <mergeCell ref="K301:K304"/>
    <mergeCell ref="J305:J309"/>
    <mergeCell ref="K305:K309"/>
    <mergeCell ref="J269:J272"/>
    <mergeCell ref="K269:K272"/>
    <mergeCell ref="J273:J276"/>
    <mergeCell ref="K273:K276"/>
    <mergeCell ref="J277:J280"/>
    <mergeCell ref="K277:K280"/>
    <mergeCell ref="J281:J284"/>
    <mergeCell ref="K281:K284"/>
    <mergeCell ref="J285:J288"/>
    <mergeCell ref="K285:K288"/>
    <mergeCell ref="J247:J253"/>
    <mergeCell ref="K247:K253"/>
    <mergeCell ref="J254:J256"/>
    <mergeCell ref="K254:K256"/>
    <mergeCell ref="J257:J260"/>
    <mergeCell ref="K257:K260"/>
    <mergeCell ref="J261:J264"/>
    <mergeCell ref="K261:K264"/>
    <mergeCell ref="J265:J268"/>
    <mergeCell ref="K265:K268"/>
    <mergeCell ref="J212:J218"/>
    <mergeCell ref="K212:K218"/>
    <mergeCell ref="J219:J225"/>
    <mergeCell ref="K219:K225"/>
    <mergeCell ref="J226:J232"/>
    <mergeCell ref="K226:K232"/>
    <mergeCell ref="J233:J239"/>
    <mergeCell ref="K233:K239"/>
    <mergeCell ref="J240:J246"/>
    <mergeCell ref="K240:K246"/>
    <mergeCell ref="J177:J183"/>
    <mergeCell ref="K177:K183"/>
    <mergeCell ref="J184:J190"/>
    <mergeCell ref="K184:K190"/>
    <mergeCell ref="J191:J197"/>
    <mergeCell ref="K191:K197"/>
    <mergeCell ref="J198:J204"/>
    <mergeCell ref="K198:K204"/>
    <mergeCell ref="J205:J211"/>
    <mergeCell ref="K205:K211"/>
    <mergeCell ref="K142:K148"/>
    <mergeCell ref="J149:J155"/>
    <mergeCell ref="K149:K155"/>
    <mergeCell ref="J156:J162"/>
    <mergeCell ref="K156:K162"/>
    <mergeCell ref="J163:J169"/>
    <mergeCell ref="K163:K169"/>
    <mergeCell ref="J170:J176"/>
    <mergeCell ref="K170:K176"/>
    <mergeCell ref="I1501:I1510"/>
    <mergeCell ref="J39:J55"/>
    <mergeCell ref="K39:K55"/>
    <mergeCell ref="K56:K58"/>
    <mergeCell ref="J59:J75"/>
    <mergeCell ref="K59:K75"/>
    <mergeCell ref="J76:J79"/>
    <mergeCell ref="K76:K79"/>
    <mergeCell ref="J82:J83"/>
    <mergeCell ref="K82:K83"/>
    <mergeCell ref="J88:J91"/>
    <mergeCell ref="K88:K91"/>
    <mergeCell ref="I1447:I1452"/>
    <mergeCell ref="I1453:I1458"/>
    <mergeCell ref="I1459:I1464"/>
    <mergeCell ref="I1465:I1470"/>
    <mergeCell ref="I1471:I1476"/>
    <mergeCell ref="I1477:I1482"/>
    <mergeCell ref="I1483:I1488"/>
    <mergeCell ref="I1489:I1492"/>
    <mergeCell ref="I1493:I1497"/>
    <mergeCell ref="I1393:I1398"/>
    <mergeCell ref="I1399:I1404"/>
    <mergeCell ref="I1405:I1410"/>
    <mergeCell ref="I1411:I1416"/>
    <mergeCell ref="I1417:I1422"/>
    <mergeCell ref="I1423:I1428"/>
    <mergeCell ref="I1429:I1434"/>
    <mergeCell ref="I1435:I1440"/>
    <mergeCell ref="I1441:I1446"/>
    <mergeCell ref="I1339:I1344"/>
    <mergeCell ref="I1345:I1350"/>
    <mergeCell ref="I1351:I1356"/>
    <mergeCell ref="I1357:I1362"/>
    <mergeCell ref="I1363:I1368"/>
    <mergeCell ref="I1369:I1374"/>
    <mergeCell ref="I1375:I1380"/>
    <mergeCell ref="I1381:I1386"/>
    <mergeCell ref="I1387:I1392"/>
    <mergeCell ref="I1293:I1296"/>
    <mergeCell ref="I1297:I1300"/>
    <mergeCell ref="I1301:I1304"/>
    <mergeCell ref="I1305:I1308"/>
    <mergeCell ref="I1309:I1314"/>
    <mergeCell ref="I1315:I1320"/>
    <mergeCell ref="I1321:I1326"/>
    <mergeCell ref="I1327:I1332"/>
    <mergeCell ref="I1333:I1338"/>
    <mergeCell ref="I1257:I1260"/>
    <mergeCell ref="I1261:I1264"/>
    <mergeCell ref="I1265:I1268"/>
    <mergeCell ref="I1269:I1272"/>
    <mergeCell ref="I1273:I1276"/>
    <mergeCell ref="I1277:I1280"/>
    <mergeCell ref="I1281:I1284"/>
    <mergeCell ref="I1285:I1288"/>
    <mergeCell ref="I1289:I1292"/>
    <mergeCell ref="I1221:I1224"/>
    <mergeCell ref="I1225:I1228"/>
    <mergeCell ref="I1229:I1232"/>
    <mergeCell ref="I1233:I1236"/>
    <mergeCell ref="I1237:I1240"/>
    <mergeCell ref="I1241:I1244"/>
    <mergeCell ref="I1245:I1248"/>
    <mergeCell ref="I1249:I1252"/>
    <mergeCell ref="I1253:I1256"/>
    <mergeCell ref="I1185:I1188"/>
    <mergeCell ref="I1189:I1192"/>
    <mergeCell ref="I1193:I1196"/>
    <mergeCell ref="I1197:I1200"/>
    <mergeCell ref="I1201:I1204"/>
    <mergeCell ref="I1205:I1208"/>
    <mergeCell ref="I1209:I1212"/>
    <mergeCell ref="I1213:I1216"/>
    <mergeCell ref="I1217:I1220"/>
    <mergeCell ref="I1149:I1152"/>
    <mergeCell ref="I1153:I1156"/>
    <mergeCell ref="I1157:I1160"/>
    <mergeCell ref="I1161:I1164"/>
    <mergeCell ref="I1165:I1168"/>
    <mergeCell ref="I1169:I1172"/>
    <mergeCell ref="I1173:I1176"/>
    <mergeCell ref="I1177:I1180"/>
    <mergeCell ref="I1181:I1184"/>
    <mergeCell ref="I1113:I1116"/>
    <mergeCell ref="I1117:I1120"/>
    <mergeCell ref="I1121:I1124"/>
    <mergeCell ref="I1125:I1128"/>
    <mergeCell ref="I1129:I1132"/>
    <mergeCell ref="I1133:I1136"/>
    <mergeCell ref="I1137:I1140"/>
    <mergeCell ref="I1141:I1144"/>
    <mergeCell ref="I1145:I1148"/>
    <mergeCell ref="I1051:I1054"/>
    <mergeCell ref="I1055:I1058"/>
    <mergeCell ref="I1059:I1062"/>
    <mergeCell ref="I1063:I1066"/>
    <mergeCell ref="I1067:I1070"/>
    <mergeCell ref="I1071:I1074"/>
    <mergeCell ref="I1075:I1078"/>
    <mergeCell ref="I1105:I1108"/>
    <mergeCell ref="I1109:I1112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7:I1050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J96:J99"/>
    <mergeCell ref="K96:K99"/>
    <mergeCell ref="J100:J106"/>
    <mergeCell ref="K100:K106"/>
    <mergeCell ref="J107:J113"/>
    <mergeCell ref="K107:K113"/>
    <mergeCell ref="J114:J120"/>
    <mergeCell ref="K114:K120"/>
    <mergeCell ref="J121:J127"/>
    <mergeCell ref="K121:K127"/>
    <mergeCell ref="J128:J134"/>
    <mergeCell ref="K128:K134"/>
    <mergeCell ref="J135:J141"/>
    <mergeCell ref="K135:K141"/>
    <mergeCell ref="J142:J148"/>
    <mergeCell ref="I431:I434"/>
    <mergeCell ref="I978:I981"/>
    <mergeCell ref="I982:I985"/>
    <mergeCell ref="I986:I987"/>
    <mergeCell ref="I988:I989"/>
    <mergeCell ref="I990:I991"/>
    <mergeCell ref="I992:I993"/>
    <mergeCell ref="I994:I995"/>
    <mergeCell ref="B56:D58"/>
    <mergeCell ref="E56:E58"/>
    <mergeCell ref="J56:J58"/>
    <mergeCell ref="I375:I378"/>
    <mergeCell ref="I379:I382"/>
    <mergeCell ref="I383:I386"/>
    <mergeCell ref="I387:I390"/>
    <mergeCell ref="I391:I394"/>
    <mergeCell ref="I395:I398"/>
    <mergeCell ref="I399:I402"/>
    <mergeCell ref="I403:I406"/>
    <mergeCell ref="I407:I410"/>
    <mergeCell ref="I411:I414"/>
    <mergeCell ref="I415:I418"/>
    <mergeCell ref="I419:I422"/>
    <mergeCell ref="I423:I426"/>
    <mergeCell ref="I427:I430"/>
    <mergeCell ref="I363:I366"/>
    <mergeCell ref="I367:I370"/>
    <mergeCell ref="I327:I330"/>
    <mergeCell ref="I331:I334"/>
    <mergeCell ref="I335:I338"/>
    <mergeCell ref="I339:I342"/>
    <mergeCell ref="I343:I346"/>
    <mergeCell ref="I347:I350"/>
    <mergeCell ref="I351:I354"/>
    <mergeCell ref="I355:I358"/>
    <mergeCell ref="I359:I362"/>
    <mergeCell ref="I289:I292"/>
    <mergeCell ref="I293:I296"/>
    <mergeCell ref="I297:I300"/>
    <mergeCell ref="I301:I304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942:I945"/>
    <mergeCell ref="I946:I949"/>
    <mergeCell ref="I950:I953"/>
    <mergeCell ref="I954:I957"/>
    <mergeCell ref="I958:I961"/>
    <mergeCell ref="I962:I965"/>
    <mergeCell ref="I966:I969"/>
    <mergeCell ref="I970:I973"/>
    <mergeCell ref="I974:I977"/>
    <mergeCell ref="I906:I909"/>
    <mergeCell ref="I910:I913"/>
    <mergeCell ref="I914:I917"/>
    <mergeCell ref="I918:I921"/>
    <mergeCell ref="I922:I925"/>
    <mergeCell ref="I926:I929"/>
    <mergeCell ref="I930:I933"/>
    <mergeCell ref="I934:I937"/>
    <mergeCell ref="I938:I941"/>
    <mergeCell ref="I870:I873"/>
    <mergeCell ref="I874:I877"/>
    <mergeCell ref="I878:I881"/>
    <mergeCell ref="I882:I885"/>
    <mergeCell ref="I886:I889"/>
    <mergeCell ref="I890:I893"/>
    <mergeCell ref="I894:I897"/>
    <mergeCell ref="I898:I901"/>
    <mergeCell ref="I902:I905"/>
    <mergeCell ref="I834:I837"/>
    <mergeCell ref="I838:I841"/>
    <mergeCell ref="I842:I845"/>
    <mergeCell ref="I846:I849"/>
    <mergeCell ref="I850:I853"/>
    <mergeCell ref="I854:I857"/>
    <mergeCell ref="I858:I861"/>
    <mergeCell ref="I862:I865"/>
    <mergeCell ref="I866:I869"/>
    <mergeCell ref="I774:I777"/>
    <mergeCell ref="I778:I781"/>
    <mergeCell ref="I782:I785"/>
    <mergeCell ref="I786:I789"/>
    <mergeCell ref="I790:I793"/>
    <mergeCell ref="I794:I797"/>
    <mergeCell ref="I798:I801"/>
    <mergeCell ref="I802:I805"/>
    <mergeCell ref="I806:I809"/>
    <mergeCell ref="I810:I813"/>
    <mergeCell ref="I814:I817"/>
    <mergeCell ref="I818:I821"/>
    <mergeCell ref="I822:I825"/>
    <mergeCell ref="I826:I829"/>
    <mergeCell ref="I830:I833"/>
    <mergeCell ref="I738:I741"/>
    <mergeCell ref="I742:I745"/>
    <mergeCell ref="I746:I749"/>
    <mergeCell ref="I750:I753"/>
    <mergeCell ref="I754:I757"/>
    <mergeCell ref="I758:I761"/>
    <mergeCell ref="I762:I765"/>
    <mergeCell ref="I766:I769"/>
    <mergeCell ref="I770:I773"/>
    <mergeCell ref="I710:I713"/>
    <mergeCell ref="I714:I717"/>
    <mergeCell ref="I718:I721"/>
    <mergeCell ref="I722:I725"/>
    <mergeCell ref="I726:I729"/>
    <mergeCell ref="I730:I733"/>
    <mergeCell ref="I734:I737"/>
    <mergeCell ref="I699:I703"/>
    <mergeCell ref="I704:I708"/>
    <mergeCell ref="I666:I668"/>
    <mergeCell ref="I669:I673"/>
    <mergeCell ref="I674:I678"/>
    <mergeCell ref="I679:I683"/>
    <mergeCell ref="I684:I688"/>
    <mergeCell ref="I689:I693"/>
    <mergeCell ref="I694:I698"/>
    <mergeCell ref="I629:I632"/>
    <mergeCell ref="I633:I636"/>
    <mergeCell ref="I637:I640"/>
    <mergeCell ref="I641:I644"/>
    <mergeCell ref="I645:I648"/>
    <mergeCell ref="I649:I652"/>
    <mergeCell ref="I653:I656"/>
    <mergeCell ref="I657:I660"/>
    <mergeCell ref="I661:I665"/>
    <mergeCell ref="I593:I596"/>
    <mergeCell ref="I597:I600"/>
    <mergeCell ref="I601:I604"/>
    <mergeCell ref="I605:I608"/>
    <mergeCell ref="I609:I612"/>
    <mergeCell ref="I613:I616"/>
    <mergeCell ref="I617:I620"/>
    <mergeCell ref="I621:I624"/>
    <mergeCell ref="I625:I628"/>
    <mergeCell ref="I557:I560"/>
    <mergeCell ref="I561:I564"/>
    <mergeCell ref="I565:I568"/>
    <mergeCell ref="I569:I572"/>
    <mergeCell ref="I573:I576"/>
    <mergeCell ref="I577:I580"/>
    <mergeCell ref="I581:I584"/>
    <mergeCell ref="I585:I588"/>
    <mergeCell ref="I589:I592"/>
    <mergeCell ref="I521:I526"/>
    <mergeCell ref="I527:I532"/>
    <mergeCell ref="I533:I536"/>
    <mergeCell ref="I537:I540"/>
    <mergeCell ref="I541:I544"/>
    <mergeCell ref="I545:I548"/>
    <mergeCell ref="I549:I552"/>
    <mergeCell ref="I553:I556"/>
    <mergeCell ref="I479:I484"/>
    <mergeCell ref="I485:I490"/>
    <mergeCell ref="I491:I496"/>
    <mergeCell ref="I497:I502"/>
    <mergeCell ref="I503:I508"/>
    <mergeCell ref="I509:I514"/>
    <mergeCell ref="I515:I520"/>
    <mergeCell ref="I439:I442"/>
    <mergeCell ref="I443:I446"/>
    <mergeCell ref="I447:I450"/>
    <mergeCell ref="I451:I454"/>
    <mergeCell ref="I455:I458"/>
    <mergeCell ref="I459:I460"/>
    <mergeCell ref="I461:I466"/>
    <mergeCell ref="I467:I472"/>
    <mergeCell ref="I473:I478"/>
    <mergeCell ref="I435:I438"/>
    <mergeCell ref="I305:I309"/>
    <mergeCell ref="I311:I314"/>
    <mergeCell ref="I315:I318"/>
    <mergeCell ref="I319:I322"/>
    <mergeCell ref="I323:I326"/>
    <mergeCell ref="I254:I256"/>
    <mergeCell ref="I257:I260"/>
    <mergeCell ref="I261:I264"/>
    <mergeCell ref="I265:I268"/>
    <mergeCell ref="I269:I272"/>
    <mergeCell ref="I273:I276"/>
    <mergeCell ref="I277:I280"/>
    <mergeCell ref="I281:I284"/>
    <mergeCell ref="I285:I288"/>
    <mergeCell ref="I191:I197"/>
    <mergeCell ref="I198:I204"/>
    <mergeCell ref="I205:I211"/>
    <mergeCell ref="I212:I218"/>
    <mergeCell ref="I219:I225"/>
    <mergeCell ref="I226:I232"/>
    <mergeCell ref="I233:I239"/>
    <mergeCell ref="I240:I246"/>
    <mergeCell ref="I247:I253"/>
    <mergeCell ref="I128:I134"/>
    <mergeCell ref="I135:I141"/>
    <mergeCell ref="I142:I148"/>
    <mergeCell ref="I149:I155"/>
    <mergeCell ref="I156:I162"/>
    <mergeCell ref="I163:I169"/>
    <mergeCell ref="I170:I176"/>
    <mergeCell ref="I177:I183"/>
    <mergeCell ref="I184:I190"/>
    <mergeCell ref="I59:I75"/>
    <mergeCell ref="I76:I79"/>
    <mergeCell ref="I82:I83"/>
    <mergeCell ref="I88:I91"/>
    <mergeCell ref="I96:I99"/>
    <mergeCell ref="I100:I106"/>
    <mergeCell ref="I107:I113"/>
    <mergeCell ref="I114:I120"/>
    <mergeCell ref="I121:I127"/>
    <mergeCell ref="H4:K4"/>
    <mergeCell ref="D1087:D1088"/>
    <mergeCell ref="C1089:C1092"/>
    <mergeCell ref="D1089:D1090"/>
    <mergeCell ref="D1091:D1092"/>
    <mergeCell ref="C1093:C1096"/>
    <mergeCell ref="D1093:D1094"/>
    <mergeCell ref="D1095:D1096"/>
    <mergeCell ref="B1083:D1083"/>
    <mergeCell ref="B1084:D1084"/>
    <mergeCell ref="B39:D55"/>
    <mergeCell ref="B59:D75"/>
    <mergeCell ref="B82:D83"/>
    <mergeCell ref="C240:C253"/>
    <mergeCell ref="D240:D246"/>
    <mergeCell ref="D247:D253"/>
    <mergeCell ref="D205:D211"/>
    <mergeCell ref="D212:D218"/>
    <mergeCell ref="D219:D225"/>
    <mergeCell ref="C198:C211"/>
    <mergeCell ref="C212:C225"/>
    <mergeCell ref="C226:C239"/>
    <mergeCell ref="D233:D239"/>
    <mergeCell ref="D198:D204"/>
    <mergeCell ref="D177:D183"/>
    <mergeCell ref="D184:D190"/>
    <mergeCell ref="D191:D197"/>
    <mergeCell ref="B254:D256"/>
    <mergeCell ref="C257:D260"/>
    <mergeCell ref="C156:C169"/>
    <mergeCell ref="C170:C183"/>
    <mergeCell ref="D226:D232"/>
    <mergeCell ref="B1501:B1510"/>
    <mergeCell ref="C1501:D1510"/>
    <mergeCell ref="C1097:C1100"/>
    <mergeCell ref="D1097:D1098"/>
    <mergeCell ref="D1099:D1100"/>
    <mergeCell ref="C1101:C1104"/>
    <mergeCell ref="D1101:D1102"/>
    <mergeCell ref="D1103:D1104"/>
    <mergeCell ref="C1085:C1088"/>
    <mergeCell ref="D1085:D1086"/>
    <mergeCell ref="C1209:D1212"/>
    <mergeCell ref="C1213:D1216"/>
    <mergeCell ref="C1217:D1220"/>
    <mergeCell ref="B1253:B1308"/>
    <mergeCell ref="B1085:B1104"/>
    <mergeCell ref="C1435:D1440"/>
    <mergeCell ref="C1441:D1446"/>
    <mergeCell ref="C1157:D1160"/>
    <mergeCell ref="C1161:D1164"/>
    <mergeCell ref="C1125:D1128"/>
    <mergeCell ref="C1129:D1132"/>
    <mergeCell ref="C1133:D1136"/>
    <mergeCell ref="C1137:D1140"/>
    <mergeCell ref="C1141:D1144"/>
    <mergeCell ref="C1289:D1292"/>
    <mergeCell ref="C1293:D1296"/>
    <mergeCell ref="C1257:D1260"/>
    <mergeCell ref="C1261:D1264"/>
    <mergeCell ref="C1265:D1268"/>
    <mergeCell ref="C1241:D1244"/>
    <mergeCell ref="C1245:D1248"/>
    <mergeCell ref="C1249:D1252"/>
    <mergeCell ref="E1501:E1510"/>
    <mergeCell ref="C1447:D1452"/>
    <mergeCell ref="C1121:D1124"/>
    <mergeCell ref="C1185:D1188"/>
    <mergeCell ref="C1189:D1192"/>
    <mergeCell ref="C1193:D1196"/>
    <mergeCell ref="C1197:D1200"/>
    <mergeCell ref="B1105:B1200"/>
    <mergeCell ref="C1165:D1168"/>
    <mergeCell ref="C1169:D1172"/>
    <mergeCell ref="C1173:D1176"/>
    <mergeCell ref="C1177:D1180"/>
    <mergeCell ref="C1181:D1184"/>
    <mergeCell ref="C1145:D1148"/>
    <mergeCell ref="C1149:D1152"/>
    <mergeCell ref="C1153:D1156"/>
    <mergeCell ref="B1201:B1252"/>
    <mergeCell ref="C1221:D1224"/>
    <mergeCell ref="C1225:D1228"/>
    <mergeCell ref="C1229:D1232"/>
    <mergeCell ref="B1499:B1500"/>
    <mergeCell ref="C1499:D1499"/>
    <mergeCell ref="C1500:D1500"/>
    <mergeCell ref="C1205:D1208"/>
    <mergeCell ref="C1105:D1108"/>
    <mergeCell ref="C1109:D1112"/>
    <mergeCell ref="C1113:D1116"/>
    <mergeCell ref="C1117:D1120"/>
    <mergeCell ref="C1201:D1204"/>
    <mergeCell ref="C1277:D1280"/>
    <mergeCell ref="C1281:D1284"/>
    <mergeCell ref="C1285:D1288"/>
    <mergeCell ref="C261:D264"/>
    <mergeCell ref="C265:D268"/>
    <mergeCell ref="C269:D272"/>
    <mergeCell ref="C310:D310"/>
    <mergeCell ref="B257:B310"/>
    <mergeCell ref="C277:D280"/>
    <mergeCell ref="C281:D284"/>
    <mergeCell ref="C285:D288"/>
    <mergeCell ref="C289:D292"/>
    <mergeCell ref="C293:D296"/>
    <mergeCell ref="C297:D300"/>
    <mergeCell ref="C273:D276"/>
    <mergeCell ref="C301:D304"/>
    <mergeCell ref="B80:D81"/>
    <mergeCell ref="B84:B253"/>
    <mergeCell ref="D84:D85"/>
    <mergeCell ref="D92:D93"/>
    <mergeCell ref="D94:D95"/>
    <mergeCell ref="D156:D162"/>
    <mergeCell ref="D100:D106"/>
    <mergeCell ref="D107:D113"/>
    <mergeCell ref="D114:D120"/>
    <mergeCell ref="C100:C113"/>
    <mergeCell ref="D121:D127"/>
    <mergeCell ref="D128:D134"/>
    <mergeCell ref="D135:D141"/>
    <mergeCell ref="D142:D148"/>
    <mergeCell ref="D149:D155"/>
    <mergeCell ref="C184:C197"/>
    <mergeCell ref="D163:D169"/>
    <mergeCell ref="D170:D176"/>
    <mergeCell ref="C114:C127"/>
    <mergeCell ref="D86:D87"/>
    <mergeCell ref="D88:D91"/>
    <mergeCell ref="C84:C91"/>
    <mergeCell ref="C92:C99"/>
    <mergeCell ref="D96:D99"/>
    <mergeCell ref="C128:C141"/>
    <mergeCell ref="C142:C155"/>
    <mergeCell ref="D379:D382"/>
    <mergeCell ref="D383:D386"/>
    <mergeCell ref="C371:C406"/>
    <mergeCell ref="D443:D446"/>
    <mergeCell ref="D447:D450"/>
    <mergeCell ref="C443:C450"/>
    <mergeCell ref="B311:B370"/>
    <mergeCell ref="B371:B442"/>
    <mergeCell ref="C351:D354"/>
    <mergeCell ref="C355:D358"/>
    <mergeCell ref="C359:D362"/>
    <mergeCell ref="C363:D366"/>
    <mergeCell ref="C367:D370"/>
    <mergeCell ref="C331:D334"/>
    <mergeCell ref="C335:D338"/>
    <mergeCell ref="C339:D342"/>
    <mergeCell ref="C343:D346"/>
    <mergeCell ref="C347:D350"/>
    <mergeCell ref="C311:D314"/>
    <mergeCell ref="C315:D318"/>
    <mergeCell ref="C319:D322"/>
    <mergeCell ref="C323:D326"/>
    <mergeCell ref="C327:D330"/>
    <mergeCell ref="D387:D390"/>
    <mergeCell ref="D391:D394"/>
    <mergeCell ref="D395:D398"/>
    <mergeCell ref="D399:D402"/>
    <mergeCell ref="D403:D406"/>
    <mergeCell ref="D371:D374"/>
    <mergeCell ref="D375:D378"/>
    <mergeCell ref="C633:D636"/>
    <mergeCell ref="B521:D526"/>
    <mergeCell ref="B527:D532"/>
    <mergeCell ref="C533:D536"/>
    <mergeCell ref="C537:D540"/>
    <mergeCell ref="C541:D544"/>
    <mergeCell ref="C497:D502"/>
    <mergeCell ref="C503:D508"/>
    <mergeCell ref="C509:D514"/>
    <mergeCell ref="B515:D520"/>
    <mergeCell ref="B461:B514"/>
    <mergeCell ref="C467:D472"/>
    <mergeCell ref="C473:D478"/>
    <mergeCell ref="C479:D484"/>
    <mergeCell ref="C485:D490"/>
    <mergeCell ref="C491:D496"/>
    <mergeCell ref="D439:D442"/>
    <mergeCell ref="C407:C442"/>
    <mergeCell ref="D407:D410"/>
    <mergeCell ref="D411:D414"/>
    <mergeCell ref="D415:D418"/>
    <mergeCell ref="D419:D422"/>
    <mergeCell ref="D423:D426"/>
    <mergeCell ref="D451:D454"/>
    <mergeCell ref="D455:D458"/>
    <mergeCell ref="C451:C458"/>
    <mergeCell ref="B443:B458"/>
    <mergeCell ref="C305:D309"/>
    <mergeCell ref="C669:D673"/>
    <mergeCell ref="C674:D678"/>
    <mergeCell ref="C641:D644"/>
    <mergeCell ref="C645:D648"/>
    <mergeCell ref="C649:D652"/>
    <mergeCell ref="C653:D656"/>
    <mergeCell ref="C657:D660"/>
    <mergeCell ref="C585:D588"/>
    <mergeCell ref="C589:D592"/>
    <mergeCell ref="C593:D596"/>
    <mergeCell ref="B533:B596"/>
    <mergeCell ref="B597:B660"/>
    <mergeCell ref="C597:D600"/>
    <mergeCell ref="C601:D604"/>
    <mergeCell ref="C605:D608"/>
    <mergeCell ref="C637:D640"/>
    <mergeCell ref="C565:D568"/>
    <mergeCell ref="C569:D572"/>
    <mergeCell ref="C573:D576"/>
    <mergeCell ref="C577:D580"/>
    <mergeCell ref="C581:D584"/>
    <mergeCell ref="C545:D548"/>
    <mergeCell ref="C549:D552"/>
    <mergeCell ref="C553:D556"/>
    <mergeCell ref="C557:D560"/>
    <mergeCell ref="C561:D564"/>
    <mergeCell ref="C609:D612"/>
    <mergeCell ref="C613:D616"/>
    <mergeCell ref="C617:D620"/>
    <mergeCell ref="C621:D624"/>
    <mergeCell ref="C625:D628"/>
    <mergeCell ref="D427:D430"/>
    <mergeCell ref="D431:D434"/>
    <mergeCell ref="D435:D438"/>
    <mergeCell ref="C750:D753"/>
    <mergeCell ref="C754:D757"/>
    <mergeCell ref="C730:D733"/>
    <mergeCell ref="C734:D737"/>
    <mergeCell ref="B730:B737"/>
    <mergeCell ref="C738:D741"/>
    <mergeCell ref="C778:D781"/>
    <mergeCell ref="C782:D785"/>
    <mergeCell ref="B746:B785"/>
    <mergeCell ref="C742:D745"/>
    <mergeCell ref="B738:B745"/>
    <mergeCell ref="C746:D749"/>
    <mergeCell ref="C758:D761"/>
    <mergeCell ref="C762:D765"/>
    <mergeCell ref="C766:D769"/>
    <mergeCell ref="C770:D773"/>
    <mergeCell ref="C774:D777"/>
    <mergeCell ref="C714:D717"/>
    <mergeCell ref="C718:D721"/>
    <mergeCell ref="C722:D725"/>
    <mergeCell ref="C726:D729"/>
    <mergeCell ref="B710:B729"/>
    <mergeCell ref="C704:D708"/>
    <mergeCell ref="C709:D709"/>
    <mergeCell ref="B669:B709"/>
    <mergeCell ref="C710:D713"/>
    <mergeCell ref="C679:D683"/>
    <mergeCell ref="C684:D688"/>
    <mergeCell ref="C689:D693"/>
    <mergeCell ref="C834:D837"/>
    <mergeCell ref="C838:D841"/>
    <mergeCell ref="C914:D917"/>
    <mergeCell ref="C918:D921"/>
    <mergeCell ref="C922:D925"/>
    <mergeCell ref="C926:D929"/>
    <mergeCell ref="C850:D853"/>
    <mergeCell ref="C814:D817"/>
    <mergeCell ref="C786:D789"/>
    <mergeCell ref="C790:D793"/>
    <mergeCell ref="C794:D797"/>
    <mergeCell ref="C798:D801"/>
    <mergeCell ref="C802:D805"/>
    <mergeCell ref="C806:D809"/>
    <mergeCell ref="C810:D813"/>
    <mergeCell ref="C846:D849"/>
    <mergeCell ref="B459:D460"/>
    <mergeCell ref="C461:D466"/>
    <mergeCell ref="C694:D698"/>
    <mergeCell ref="C699:D703"/>
    <mergeCell ref="B661:D665"/>
    <mergeCell ref="B666:D668"/>
    <mergeCell ref="C629:D632"/>
    <mergeCell ref="C822:D825"/>
    <mergeCell ref="C826:D829"/>
    <mergeCell ref="C830:D833"/>
    <mergeCell ref="C842:D845"/>
    <mergeCell ref="C950:D953"/>
    <mergeCell ref="C954:D957"/>
    <mergeCell ref="C958:D961"/>
    <mergeCell ref="C962:D965"/>
    <mergeCell ref="C966:D969"/>
    <mergeCell ref="C930:D933"/>
    <mergeCell ref="C934:D937"/>
    <mergeCell ref="C938:D941"/>
    <mergeCell ref="C942:D945"/>
    <mergeCell ref="C946:D949"/>
    <mergeCell ref="C990:D991"/>
    <mergeCell ref="C992:D993"/>
    <mergeCell ref="C994:D995"/>
    <mergeCell ref="C970:D973"/>
    <mergeCell ref="C982:D985"/>
    <mergeCell ref="C974:D977"/>
    <mergeCell ref="B786:B929"/>
    <mergeCell ref="C894:D897"/>
    <mergeCell ref="C898:D901"/>
    <mergeCell ref="C902:D905"/>
    <mergeCell ref="C906:D909"/>
    <mergeCell ref="C910:D913"/>
    <mergeCell ref="C874:D877"/>
    <mergeCell ref="C878:D881"/>
    <mergeCell ref="C882:D885"/>
    <mergeCell ref="C886:D889"/>
    <mergeCell ref="C890:D893"/>
    <mergeCell ref="C854:D857"/>
    <mergeCell ref="C858:D861"/>
    <mergeCell ref="C862:D865"/>
    <mergeCell ref="C866:D869"/>
    <mergeCell ref="C870:D873"/>
    <mergeCell ref="C978:D981"/>
    <mergeCell ref="C1071:D1074"/>
    <mergeCell ref="C1012:D1013"/>
    <mergeCell ref="B1047:B1078"/>
    <mergeCell ref="B986:B1045"/>
    <mergeCell ref="C1047:D1050"/>
    <mergeCell ref="C1051:D1054"/>
    <mergeCell ref="C1055:D1058"/>
    <mergeCell ref="C1059:D1062"/>
    <mergeCell ref="C1036:D1037"/>
    <mergeCell ref="C1038:D1039"/>
    <mergeCell ref="C1040:D1041"/>
    <mergeCell ref="C1042:D1043"/>
    <mergeCell ref="C1044:D1045"/>
    <mergeCell ref="C1026:D1027"/>
    <mergeCell ref="C1028:D1029"/>
    <mergeCell ref="C1030:D1031"/>
    <mergeCell ref="C1032:D1033"/>
    <mergeCell ref="C1034:D1035"/>
    <mergeCell ref="C1016:D1017"/>
    <mergeCell ref="C1018:D1019"/>
    <mergeCell ref="C1020:D1021"/>
    <mergeCell ref="C1022:D1023"/>
    <mergeCell ref="C986:D987"/>
    <mergeCell ref="C988:D989"/>
    <mergeCell ref="C1000:D1001"/>
    <mergeCell ref="C1002:D1003"/>
    <mergeCell ref="B930:B985"/>
    <mergeCell ref="C1063:D1066"/>
    <mergeCell ref="C1067:D1070"/>
    <mergeCell ref="B1046:D1046"/>
    <mergeCell ref="C1004:D1005"/>
    <mergeCell ref="B4:D5"/>
    <mergeCell ref="F4:F5"/>
    <mergeCell ref="G4:G5"/>
    <mergeCell ref="B1309:B1398"/>
    <mergeCell ref="C1399:D1404"/>
    <mergeCell ref="C1309:D1314"/>
    <mergeCell ref="C1315:D1320"/>
    <mergeCell ref="C1321:D1326"/>
    <mergeCell ref="B76:D79"/>
    <mergeCell ref="E4:E5"/>
    <mergeCell ref="C1327:D1332"/>
    <mergeCell ref="C1333:D1338"/>
    <mergeCell ref="C1305:D1308"/>
    <mergeCell ref="C1269:D1272"/>
    <mergeCell ref="C1273:D1276"/>
    <mergeCell ref="C1297:D1300"/>
    <mergeCell ref="C1301:D1304"/>
    <mergeCell ref="E121:E127"/>
    <mergeCell ref="E128:E134"/>
    <mergeCell ref="E135:E141"/>
    <mergeCell ref="C1369:D1374"/>
    <mergeCell ref="C1375:D1380"/>
    <mergeCell ref="C1381:D1386"/>
    <mergeCell ref="C1387:D1392"/>
    <mergeCell ref="C1393:D1398"/>
    <mergeCell ref="C1339:D1344"/>
    <mergeCell ref="C1345:D1350"/>
    <mergeCell ref="C1351:D1356"/>
    <mergeCell ref="C1357:D1362"/>
    <mergeCell ref="C1363:D1368"/>
    <mergeCell ref="C1233:D1236"/>
    <mergeCell ref="C1237:D1240"/>
    <mergeCell ref="C1253:D1256"/>
    <mergeCell ref="C1483:D1488"/>
    <mergeCell ref="B1399:B1488"/>
    <mergeCell ref="B1489:D1492"/>
    <mergeCell ref="B1493:D1497"/>
    <mergeCell ref="B1498:D1498"/>
    <mergeCell ref="C1453:D1458"/>
    <mergeCell ref="C1459:D1464"/>
    <mergeCell ref="C1465:D1470"/>
    <mergeCell ref="C1471:D1476"/>
    <mergeCell ref="C1477:D1482"/>
    <mergeCell ref="C1423:D1428"/>
    <mergeCell ref="C1429:D1434"/>
    <mergeCell ref="C1417:D1422"/>
    <mergeCell ref="C1405:D1410"/>
    <mergeCell ref="C1411:D1416"/>
    <mergeCell ref="E142:E148"/>
    <mergeCell ref="E149:E155"/>
    <mergeCell ref="E156:E162"/>
    <mergeCell ref="E163:E169"/>
    <mergeCell ref="E170:E176"/>
    <mergeCell ref="B1079:B1082"/>
    <mergeCell ref="C1079:D1080"/>
    <mergeCell ref="C1081:D1082"/>
    <mergeCell ref="C1075:D1078"/>
    <mergeCell ref="C1024:D1025"/>
    <mergeCell ref="C1006:D1007"/>
    <mergeCell ref="C1008:D1009"/>
    <mergeCell ref="C1010:D1011"/>
    <mergeCell ref="C1014:D1015"/>
    <mergeCell ref="C996:D997"/>
    <mergeCell ref="C998:D999"/>
    <mergeCell ref="E240:E246"/>
    <mergeCell ref="E247:E253"/>
    <mergeCell ref="E254:E256"/>
    <mergeCell ref="E39:E55"/>
    <mergeCell ref="E59:E75"/>
    <mergeCell ref="E76:E79"/>
    <mergeCell ref="E82:E83"/>
    <mergeCell ref="E88:E91"/>
    <mergeCell ref="E96:E99"/>
    <mergeCell ref="E100:E106"/>
    <mergeCell ref="E107:E113"/>
    <mergeCell ref="E114:E120"/>
    <mergeCell ref="E257:E260"/>
    <mergeCell ref="E261:E264"/>
    <mergeCell ref="E265:E268"/>
    <mergeCell ref="E269:E272"/>
    <mergeCell ref="E273:E276"/>
    <mergeCell ref="E277:E280"/>
    <mergeCell ref="E177:E183"/>
    <mergeCell ref="E184:E190"/>
    <mergeCell ref="E191:E197"/>
    <mergeCell ref="E198:E204"/>
    <mergeCell ref="E205:E211"/>
    <mergeCell ref="E212:E218"/>
    <mergeCell ref="E219:E225"/>
    <mergeCell ref="E226:E232"/>
    <mergeCell ref="E233:E239"/>
    <mergeCell ref="E323:E326"/>
    <mergeCell ref="E327:E330"/>
    <mergeCell ref="C818:D821"/>
    <mergeCell ref="E331:E334"/>
    <mergeCell ref="E335:E338"/>
    <mergeCell ref="E339:E342"/>
    <mergeCell ref="E343:E346"/>
    <mergeCell ref="E347:E350"/>
    <mergeCell ref="E351:E354"/>
    <mergeCell ref="E355:E358"/>
    <mergeCell ref="E281:E284"/>
    <mergeCell ref="E285:E288"/>
    <mergeCell ref="E289:E292"/>
    <mergeCell ref="E293:E296"/>
    <mergeCell ref="E297:E300"/>
    <mergeCell ref="E305:E309"/>
    <mergeCell ref="E311:E314"/>
    <mergeCell ref="E315:E318"/>
    <mergeCell ref="E319:E322"/>
    <mergeCell ref="E301:E304"/>
    <mergeCell ref="E395:E398"/>
    <mergeCell ref="E399:E402"/>
    <mergeCell ref="E403:E406"/>
    <mergeCell ref="E407:E410"/>
    <mergeCell ref="E411:E414"/>
    <mergeCell ref="E415:E418"/>
    <mergeCell ref="E419:E422"/>
    <mergeCell ref="E423:E426"/>
    <mergeCell ref="E427:E430"/>
    <mergeCell ref="E359:E362"/>
    <mergeCell ref="E363:E366"/>
    <mergeCell ref="E367:E370"/>
    <mergeCell ref="E371:E374"/>
    <mergeCell ref="E375:E378"/>
    <mergeCell ref="E379:E382"/>
    <mergeCell ref="E383:E386"/>
    <mergeCell ref="E387:E390"/>
    <mergeCell ref="E391:E394"/>
    <mergeCell ref="E467:E472"/>
    <mergeCell ref="E473:E478"/>
    <mergeCell ref="E479:E484"/>
    <mergeCell ref="E485:E490"/>
    <mergeCell ref="E491:E496"/>
    <mergeCell ref="E497:E502"/>
    <mergeCell ref="E503:E508"/>
    <mergeCell ref="E509:E514"/>
    <mergeCell ref="E515:E520"/>
    <mergeCell ref="E431:E434"/>
    <mergeCell ref="E435:E438"/>
    <mergeCell ref="E439:E442"/>
    <mergeCell ref="E443:E446"/>
    <mergeCell ref="E447:E450"/>
    <mergeCell ref="E451:E454"/>
    <mergeCell ref="E455:E458"/>
    <mergeCell ref="E459:E460"/>
    <mergeCell ref="E461:E466"/>
    <mergeCell ref="E561:E564"/>
    <mergeCell ref="E565:E568"/>
    <mergeCell ref="E569:E572"/>
    <mergeCell ref="E573:E576"/>
    <mergeCell ref="E577:E580"/>
    <mergeCell ref="E581:E584"/>
    <mergeCell ref="E585:E588"/>
    <mergeCell ref="E589:E592"/>
    <mergeCell ref="E593:E596"/>
    <mergeCell ref="E521:E526"/>
    <mergeCell ref="E527:E532"/>
    <mergeCell ref="E533:E536"/>
    <mergeCell ref="E537:E540"/>
    <mergeCell ref="E541:E544"/>
    <mergeCell ref="E545:E548"/>
    <mergeCell ref="E549:E552"/>
    <mergeCell ref="E553:E556"/>
    <mergeCell ref="E557:E560"/>
    <mergeCell ref="E633:E636"/>
    <mergeCell ref="E637:E640"/>
    <mergeCell ref="E641:E644"/>
    <mergeCell ref="E645:E648"/>
    <mergeCell ref="E649:E652"/>
    <mergeCell ref="E653:E656"/>
    <mergeCell ref="E657:E660"/>
    <mergeCell ref="E661:E665"/>
    <mergeCell ref="E666:E668"/>
    <mergeCell ref="E597:E600"/>
    <mergeCell ref="E601:E604"/>
    <mergeCell ref="E605:E608"/>
    <mergeCell ref="E609:E612"/>
    <mergeCell ref="E613:E616"/>
    <mergeCell ref="E617:E620"/>
    <mergeCell ref="E621:E624"/>
    <mergeCell ref="E625:E628"/>
    <mergeCell ref="E629:E632"/>
    <mergeCell ref="E714:E717"/>
    <mergeCell ref="E718:E721"/>
    <mergeCell ref="E722:E725"/>
    <mergeCell ref="E726:E729"/>
    <mergeCell ref="E730:E733"/>
    <mergeCell ref="E734:E737"/>
    <mergeCell ref="E738:E741"/>
    <mergeCell ref="E742:E745"/>
    <mergeCell ref="E746:E749"/>
    <mergeCell ref="E669:E673"/>
    <mergeCell ref="E674:E678"/>
    <mergeCell ref="E679:E683"/>
    <mergeCell ref="E684:E688"/>
    <mergeCell ref="E689:E693"/>
    <mergeCell ref="E694:E698"/>
    <mergeCell ref="E699:E703"/>
    <mergeCell ref="E704:E708"/>
    <mergeCell ref="E710:E713"/>
    <mergeCell ref="E786:E789"/>
    <mergeCell ref="E790:E793"/>
    <mergeCell ref="E794:E797"/>
    <mergeCell ref="E798:E801"/>
    <mergeCell ref="E802:E805"/>
    <mergeCell ref="E806:E809"/>
    <mergeCell ref="E810:E813"/>
    <mergeCell ref="E814:E817"/>
    <mergeCell ref="E818:E821"/>
    <mergeCell ref="E750:E753"/>
    <mergeCell ref="E754:E757"/>
    <mergeCell ref="E758:E761"/>
    <mergeCell ref="E762:E765"/>
    <mergeCell ref="E766:E769"/>
    <mergeCell ref="E770:E773"/>
    <mergeCell ref="E774:E777"/>
    <mergeCell ref="E778:E781"/>
    <mergeCell ref="E782:E785"/>
    <mergeCell ref="E858:E861"/>
    <mergeCell ref="E862:E865"/>
    <mergeCell ref="E866:E869"/>
    <mergeCell ref="E870:E873"/>
    <mergeCell ref="E874:E877"/>
    <mergeCell ref="E878:E881"/>
    <mergeCell ref="E882:E885"/>
    <mergeCell ref="E886:E889"/>
    <mergeCell ref="E890:E893"/>
    <mergeCell ref="E822:E825"/>
    <mergeCell ref="E826:E829"/>
    <mergeCell ref="E830:E833"/>
    <mergeCell ref="E834:E837"/>
    <mergeCell ref="E838:E841"/>
    <mergeCell ref="E842:E845"/>
    <mergeCell ref="E846:E849"/>
    <mergeCell ref="E850:E853"/>
    <mergeCell ref="E854:E857"/>
    <mergeCell ref="E930:E933"/>
    <mergeCell ref="E934:E937"/>
    <mergeCell ref="E938:E941"/>
    <mergeCell ref="E942:E945"/>
    <mergeCell ref="E946:E949"/>
    <mergeCell ref="E950:E953"/>
    <mergeCell ref="E954:E957"/>
    <mergeCell ref="E958:E961"/>
    <mergeCell ref="E962:E965"/>
    <mergeCell ref="E894:E897"/>
    <mergeCell ref="E898:E901"/>
    <mergeCell ref="E902:E905"/>
    <mergeCell ref="E906:E909"/>
    <mergeCell ref="E910:E913"/>
    <mergeCell ref="E914:E917"/>
    <mergeCell ref="E918:E921"/>
    <mergeCell ref="E922:E925"/>
    <mergeCell ref="E926:E929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966:E969"/>
    <mergeCell ref="E970:E973"/>
    <mergeCell ref="E974:E977"/>
    <mergeCell ref="E978:E981"/>
    <mergeCell ref="E982:E985"/>
    <mergeCell ref="E986:E987"/>
    <mergeCell ref="E988:E989"/>
    <mergeCell ref="E990:E991"/>
    <mergeCell ref="E992:E993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7:E1050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113:E1116"/>
    <mergeCell ref="E1117:E1120"/>
    <mergeCell ref="E1121:E1124"/>
    <mergeCell ref="E1125:E1128"/>
    <mergeCell ref="E1129:E1132"/>
    <mergeCell ref="E1133:E1136"/>
    <mergeCell ref="E1137:E1140"/>
    <mergeCell ref="E1141:E1144"/>
    <mergeCell ref="E1145:E1148"/>
    <mergeCell ref="E1051:E1054"/>
    <mergeCell ref="E1055:E1058"/>
    <mergeCell ref="E1059:E1062"/>
    <mergeCell ref="E1063:E1066"/>
    <mergeCell ref="E1067:E1070"/>
    <mergeCell ref="E1071:E1074"/>
    <mergeCell ref="E1075:E1078"/>
    <mergeCell ref="E1105:E1108"/>
    <mergeCell ref="E1109:E1112"/>
    <mergeCell ref="E1261:E1264"/>
    <mergeCell ref="E1253:E1256"/>
    <mergeCell ref="E1185:E1188"/>
    <mergeCell ref="E1189:E1192"/>
    <mergeCell ref="E1193:E1196"/>
    <mergeCell ref="E1197:E1200"/>
    <mergeCell ref="E1201:E1204"/>
    <mergeCell ref="E1205:E1208"/>
    <mergeCell ref="E1209:E1212"/>
    <mergeCell ref="E1213:E1216"/>
    <mergeCell ref="E1217:E1220"/>
    <mergeCell ref="E1221:E1224"/>
    <mergeCell ref="E1225:E1228"/>
    <mergeCell ref="E1229:E1232"/>
    <mergeCell ref="E1233:E1236"/>
    <mergeCell ref="E1237:E1240"/>
    <mergeCell ref="E1241:E1244"/>
    <mergeCell ref="E1245:E1248"/>
    <mergeCell ref="E1249:E1252"/>
    <mergeCell ref="E1357:E1362"/>
    <mergeCell ref="E1149:E1152"/>
    <mergeCell ref="E1153:E1156"/>
    <mergeCell ref="E1157:E1160"/>
    <mergeCell ref="E1161:E1164"/>
    <mergeCell ref="E1165:E1168"/>
    <mergeCell ref="E1169:E1172"/>
    <mergeCell ref="E1173:E1176"/>
    <mergeCell ref="E1177:E1180"/>
    <mergeCell ref="E1181:E1184"/>
    <mergeCell ref="E1489:E1492"/>
    <mergeCell ref="E1493:E1497"/>
    <mergeCell ref="E1393:E1398"/>
    <mergeCell ref="E1399:E1404"/>
    <mergeCell ref="E1405:E1410"/>
    <mergeCell ref="E1411:E1416"/>
    <mergeCell ref="E1417:E1422"/>
    <mergeCell ref="E1423:E1428"/>
    <mergeCell ref="E1429:E1434"/>
    <mergeCell ref="E1435:E1440"/>
    <mergeCell ref="E1441:E1446"/>
    <mergeCell ref="E1447:E1452"/>
    <mergeCell ref="E1453:E1458"/>
    <mergeCell ref="E1459:E1464"/>
    <mergeCell ref="E1465:E1470"/>
    <mergeCell ref="E1471:E1476"/>
    <mergeCell ref="E1477:E1482"/>
    <mergeCell ref="E1483:E1488"/>
    <mergeCell ref="E1321:E1326"/>
    <mergeCell ref="E1327:E1332"/>
    <mergeCell ref="E1333:E1338"/>
    <mergeCell ref="E1257:E1260"/>
    <mergeCell ref="E1363:E1368"/>
    <mergeCell ref="E1369:E1374"/>
    <mergeCell ref="E1375:E1380"/>
    <mergeCell ref="E1381:E1386"/>
    <mergeCell ref="E1387:E1392"/>
    <mergeCell ref="B35:D38"/>
    <mergeCell ref="E35:E38"/>
    <mergeCell ref="E13:E17"/>
    <mergeCell ref="E19:E30"/>
    <mergeCell ref="E31:E32"/>
    <mergeCell ref="E33:E34"/>
    <mergeCell ref="B6:D12"/>
    <mergeCell ref="B13:D18"/>
    <mergeCell ref="B19:D30"/>
    <mergeCell ref="B31:D32"/>
    <mergeCell ref="B33:D34"/>
    <mergeCell ref="E1265:E1268"/>
    <mergeCell ref="E1269:E1272"/>
    <mergeCell ref="E1273:E1276"/>
    <mergeCell ref="E1277:E1280"/>
    <mergeCell ref="E1281:E1284"/>
    <mergeCell ref="E1285:E1288"/>
    <mergeCell ref="E1289:E1292"/>
    <mergeCell ref="E1293:E1296"/>
    <mergeCell ref="E1297:E1300"/>
    <mergeCell ref="E1301:E1304"/>
    <mergeCell ref="E1305:E1308"/>
    <mergeCell ref="E1309:E1314"/>
    <mergeCell ref="E1315:E1320"/>
    <mergeCell ref="E1339:E1344"/>
    <mergeCell ref="E1345:E1350"/>
    <mergeCell ref="E1351:E1356"/>
    <mergeCell ref="M39:M55"/>
    <mergeCell ref="N39:N55"/>
    <mergeCell ref="O39:O55"/>
    <mergeCell ref="M56:M58"/>
    <mergeCell ref="N56:N58"/>
    <mergeCell ref="O56:O58"/>
    <mergeCell ref="M59:M75"/>
    <mergeCell ref="N59:N75"/>
    <mergeCell ref="O59:O75"/>
    <mergeCell ref="M76:M79"/>
    <mergeCell ref="N76:N79"/>
    <mergeCell ref="O76:O79"/>
    <mergeCell ref="M82:M83"/>
    <mergeCell ref="N82:N83"/>
    <mergeCell ref="O82:O83"/>
    <mergeCell ref="M88:M91"/>
    <mergeCell ref="N88:N91"/>
    <mergeCell ref="O88:O91"/>
    <mergeCell ref="M96:M99"/>
    <mergeCell ref="N96:N99"/>
    <mergeCell ref="O96:O99"/>
    <mergeCell ref="M100:M106"/>
    <mergeCell ref="N100:N106"/>
    <mergeCell ref="O100:O106"/>
    <mergeCell ref="M107:M113"/>
    <mergeCell ref="N107:N113"/>
    <mergeCell ref="O107:O113"/>
    <mergeCell ref="M114:M120"/>
    <mergeCell ref="N114:N120"/>
    <mergeCell ref="O114:O120"/>
    <mergeCell ref="M121:M127"/>
    <mergeCell ref="N121:N127"/>
    <mergeCell ref="O121:O127"/>
    <mergeCell ref="M128:M134"/>
    <mergeCell ref="N128:N134"/>
    <mergeCell ref="O128:O134"/>
    <mergeCell ref="M135:M141"/>
    <mergeCell ref="N135:N141"/>
    <mergeCell ref="O135:O141"/>
    <mergeCell ref="M142:M148"/>
    <mergeCell ref="N142:N148"/>
    <mergeCell ref="O142:O148"/>
    <mergeCell ref="M149:M155"/>
    <mergeCell ref="N149:N155"/>
    <mergeCell ref="O149:O155"/>
    <mergeCell ref="M156:M162"/>
    <mergeCell ref="N156:N162"/>
    <mergeCell ref="O156:O162"/>
    <mergeCell ref="M163:M169"/>
    <mergeCell ref="N163:N169"/>
    <mergeCell ref="O163:O169"/>
    <mergeCell ref="M170:M176"/>
    <mergeCell ref="N170:N176"/>
    <mergeCell ref="O170:O176"/>
    <mergeCell ref="M177:M183"/>
    <mergeCell ref="N177:N183"/>
    <mergeCell ref="O177:O183"/>
    <mergeCell ref="M184:M190"/>
    <mergeCell ref="N184:N190"/>
    <mergeCell ref="O184:O190"/>
    <mergeCell ref="M191:M197"/>
    <mergeCell ref="N191:N197"/>
    <mergeCell ref="O191:O197"/>
    <mergeCell ref="M198:M204"/>
    <mergeCell ref="N198:N204"/>
    <mergeCell ref="O198:O204"/>
    <mergeCell ref="M205:M211"/>
    <mergeCell ref="N205:N211"/>
    <mergeCell ref="O205:O211"/>
    <mergeCell ref="M212:M218"/>
    <mergeCell ref="N212:N218"/>
    <mergeCell ref="O212:O218"/>
    <mergeCell ref="M219:M225"/>
    <mergeCell ref="N219:N225"/>
    <mergeCell ref="O219:O225"/>
    <mergeCell ref="M226:M232"/>
    <mergeCell ref="N226:N232"/>
    <mergeCell ref="O226:O232"/>
    <mergeCell ref="M233:M239"/>
    <mergeCell ref="N233:N239"/>
    <mergeCell ref="O233:O239"/>
    <mergeCell ref="M240:M246"/>
    <mergeCell ref="N240:N246"/>
    <mergeCell ref="O240:O246"/>
    <mergeCell ref="M247:M253"/>
    <mergeCell ref="N247:N253"/>
    <mergeCell ref="O247:O253"/>
    <mergeCell ref="M254:M256"/>
    <mergeCell ref="N254:N256"/>
    <mergeCell ref="O254:O256"/>
    <mergeCell ref="M257:M260"/>
    <mergeCell ref="N257:N260"/>
    <mergeCell ref="O257:O260"/>
    <mergeCell ref="M261:M264"/>
    <mergeCell ref="N261:N264"/>
    <mergeCell ref="O261:O264"/>
    <mergeCell ref="M265:M268"/>
    <mergeCell ref="N265:N268"/>
    <mergeCell ref="O265:O268"/>
    <mergeCell ref="M269:M272"/>
    <mergeCell ref="N269:N272"/>
    <mergeCell ref="O269:O272"/>
    <mergeCell ref="M273:M276"/>
    <mergeCell ref="N273:N276"/>
    <mergeCell ref="O273:O276"/>
    <mergeCell ref="M277:M280"/>
    <mergeCell ref="N277:N280"/>
    <mergeCell ref="O277:O280"/>
    <mergeCell ref="M281:M284"/>
    <mergeCell ref="N281:N284"/>
    <mergeCell ref="O281:O284"/>
    <mergeCell ref="M285:M288"/>
    <mergeCell ref="N285:N288"/>
    <mergeCell ref="O285:O288"/>
    <mergeCell ref="M289:M292"/>
    <mergeCell ref="N289:N292"/>
    <mergeCell ref="O289:O292"/>
    <mergeCell ref="M293:M296"/>
    <mergeCell ref="N293:N296"/>
    <mergeCell ref="O293:O296"/>
    <mergeCell ref="M297:M300"/>
    <mergeCell ref="N297:N300"/>
    <mergeCell ref="O297:O300"/>
    <mergeCell ref="M301:M304"/>
    <mergeCell ref="N301:N304"/>
    <mergeCell ref="O301:O304"/>
    <mergeCell ref="M305:M309"/>
    <mergeCell ref="N305:N309"/>
    <mergeCell ref="O305:O309"/>
    <mergeCell ref="M311:M314"/>
    <mergeCell ref="N311:N314"/>
    <mergeCell ref="O311:O314"/>
    <mergeCell ref="M315:M318"/>
    <mergeCell ref="N315:N318"/>
    <mergeCell ref="O315:O318"/>
    <mergeCell ref="M319:M322"/>
    <mergeCell ref="N319:N322"/>
    <mergeCell ref="O319:O322"/>
    <mergeCell ref="M323:M326"/>
    <mergeCell ref="N323:N326"/>
    <mergeCell ref="O323:O326"/>
    <mergeCell ref="M327:M330"/>
    <mergeCell ref="N327:N330"/>
    <mergeCell ref="O327:O330"/>
    <mergeCell ref="M331:M334"/>
    <mergeCell ref="N331:N334"/>
    <mergeCell ref="O331:O334"/>
    <mergeCell ref="M335:M338"/>
    <mergeCell ref="N335:N338"/>
    <mergeCell ref="O335:O338"/>
    <mergeCell ref="M339:M342"/>
    <mergeCell ref="N339:N342"/>
    <mergeCell ref="O339:O342"/>
    <mergeCell ref="M343:M346"/>
    <mergeCell ref="N343:N346"/>
    <mergeCell ref="O343:O346"/>
    <mergeCell ref="M347:M350"/>
    <mergeCell ref="N347:N350"/>
    <mergeCell ref="O347:O350"/>
    <mergeCell ref="M351:M354"/>
    <mergeCell ref="N351:N354"/>
    <mergeCell ref="O351:O354"/>
    <mergeCell ref="M355:M358"/>
    <mergeCell ref="N355:N358"/>
    <mergeCell ref="O355:O358"/>
    <mergeCell ref="M359:M362"/>
    <mergeCell ref="N359:N362"/>
    <mergeCell ref="O359:O362"/>
    <mergeCell ref="M363:M366"/>
    <mergeCell ref="N363:N366"/>
    <mergeCell ref="O363:O366"/>
    <mergeCell ref="M367:M370"/>
    <mergeCell ref="N367:N370"/>
    <mergeCell ref="O367:O370"/>
    <mergeCell ref="M371:M374"/>
    <mergeCell ref="N371:N374"/>
    <mergeCell ref="O371:O374"/>
    <mergeCell ref="M375:M378"/>
    <mergeCell ref="N375:N378"/>
    <mergeCell ref="O375:O378"/>
    <mergeCell ref="M379:M382"/>
    <mergeCell ref="N379:N382"/>
    <mergeCell ref="O379:O382"/>
    <mergeCell ref="M383:M386"/>
    <mergeCell ref="N383:N386"/>
    <mergeCell ref="O383:O386"/>
    <mergeCell ref="M387:M390"/>
    <mergeCell ref="N387:N390"/>
    <mergeCell ref="O387:O390"/>
    <mergeCell ref="M391:M394"/>
    <mergeCell ref="N391:N394"/>
    <mergeCell ref="O391:O394"/>
    <mergeCell ref="M395:M398"/>
    <mergeCell ref="N395:N398"/>
    <mergeCell ref="O395:O398"/>
    <mergeCell ref="M399:M402"/>
    <mergeCell ref="N399:N402"/>
    <mergeCell ref="O399:O402"/>
    <mergeCell ref="M403:M406"/>
    <mergeCell ref="N403:N406"/>
    <mergeCell ref="O403:O406"/>
    <mergeCell ref="M407:M410"/>
    <mergeCell ref="N407:N410"/>
    <mergeCell ref="O407:O410"/>
    <mergeCell ref="M411:M414"/>
    <mergeCell ref="N411:N414"/>
    <mergeCell ref="O411:O414"/>
    <mergeCell ref="M415:M418"/>
    <mergeCell ref="N415:N418"/>
    <mergeCell ref="O415:O418"/>
    <mergeCell ref="M419:M422"/>
    <mergeCell ref="N419:N422"/>
    <mergeCell ref="O419:O422"/>
    <mergeCell ref="M423:M426"/>
    <mergeCell ref="N423:N426"/>
    <mergeCell ref="O423:O426"/>
    <mergeCell ref="M427:M430"/>
    <mergeCell ref="N427:N430"/>
    <mergeCell ref="O427:O430"/>
    <mergeCell ref="M431:M434"/>
    <mergeCell ref="N431:N434"/>
    <mergeCell ref="O431:O434"/>
    <mergeCell ref="M435:M438"/>
    <mergeCell ref="N435:N438"/>
    <mergeCell ref="O435:O438"/>
    <mergeCell ref="M439:M442"/>
    <mergeCell ref="N439:N442"/>
    <mergeCell ref="O439:O442"/>
    <mergeCell ref="M443:M446"/>
    <mergeCell ref="N443:N446"/>
    <mergeCell ref="O443:O446"/>
    <mergeCell ref="M447:M450"/>
    <mergeCell ref="N447:N450"/>
    <mergeCell ref="O447:O450"/>
    <mergeCell ref="M451:M454"/>
    <mergeCell ref="N451:N454"/>
    <mergeCell ref="O451:O454"/>
    <mergeCell ref="M455:M458"/>
    <mergeCell ref="N455:N458"/>
    <mergeCell ref="O455:O458"/>
    <mergeCell ref="M459:M460"/>
    <mergeCell ref="N459:N460"/>
    <mergeCell ref="O459:O460"/>
    <mergeCell ref="M461:M466"/>
    <mergeCell ref="N461:N466"/>
    <mergeCell ref="O461:O466"/>
    <mergeCell ref="M467:M472"/>
    <mergeCell ref="N467:N472"/>
    <mergeCell ref="O467:O472"/>
    <mergeCell ref="M473:M478"/>
    <mergeCell ref="N473:N478"/>
    <mergeCell ref="O473:O478"/>
    <mergeCell ref="M479:M484"/>
    <mergeCell ref="N479:N484"/>
    <mergeCell ref="O479:O484"/>
    <mergeCell ref="M485:M490"/>
    <mergeCell ref="N485:N490"/>
    <mergeCell ref="O485:O490"/>
    <mergeCell ref="M491:M496"/>
    <mergeCell ref="N491:N496"/>
    <mergeCell ref="O491:O496"/>
    <mergeCell ref="M497:M502"/>
    <mergeCell ref="N497:N502"/>
    <mergeCell ref="O497:O502"/>
    <mergeCell ref="M503:M508"/>
    <mergeCell ref="N503:N508"/>
    <mergeCell ref="O503:O508"/>
    <mergeCell ref="M509:M514"/>
    <mergeCell ref="N509:N514"/>
    <mergeCell ref="O509:O514"/>
    <mergeCell ref="M515:M520"/>
    <mergeCell ref="N515:N520"/>
    <mergeCell ref="O515:O520"/>
    <mergeCell ref="M521:M526"/>
    <mergeCell ref="N521:N526"/>
    <mergeCell ref="O521:O526"/>
    <mergeCell ref="M527:M532"/>
    <mergeCell ref="N527:N532"/>
    <mergeCell ref="O527:O532"/>
    <mergeCell ref="M533:M536"/>
    <mergeCell ref="N533:N536"/>
    <mergeCell ref="O533:O536"/>
    <mergeCell ref="M537:M540"/>
    <mergeCell ref="N537:N540"/>
    <mergeCell ref="O537:O540"/>
    <mergeCell ref="M541:M544"/>
    <mergeCell ref="N541:N544"/>
    <mergeCell ref="O541:O544"/>
    <mergeCell ref="M545:M548"/>
    <mergeCell ref="N545:N548"/>
    <mergeCell ref="O545:O548"/>
    <mergeCell ref="M549:M552"/>
    <mergeCell ref="N549:N552"/>
    <mergeCell ref="O549:O552"/>
    <mergeCell ref="M553:M556"/>
    <mergeCell ref="N553:N556"/>
    <mergeCell ref="O553:O556"/>
    <mergeCell ref="M557:M560"/>
    <mergeCell ref="N557:N560"/>
    <mergeCell ref="O557:O560"/>
    <mergeCell ref="M561:M564"/>
    <mergeCell ref="N561:N564"/>
    <mergeCell ref="O561:O564"/>
    <mergeCell ref="M565:M568"/>
    <mergeCell ref="N565:N568"/>
    <mergeCell ref="O565:O568"/>
    <mergeCell ref="M569:M572"/>
    <mergeCell ref="N569:N572"/>
    <mergeCell ref="O569:O572"/>
    <mergeCell ref="M573:M576"/>
    <mergeCell ref="N573:N576"/>
    <mergeCell ref="O573:O576"/>
    <mergeCell ref="M577:M580"/>
    <mergeCell ref="N577:N580"/>
    <mergeCell ref="O577:O580"/>
    <mergeCell ref="M581:M584"/>
    <mergeCell ref="N581:N584"/>
    <mergeCell ref="O581:O584"/>
    <mergeCell ref="M585:M588"/>
    <mergeCell ref="N585:N588"/>
    <mergeCell ref="O585:O588"/>
    <mergeCell ref="M589:M592"/>
    <mergeCell ref="N589:N592"/>
    <mergeCell ref="O589:O592"/>
    <mergeCell ref="M593:M596"/>
    <mergeCell ref="N593:N596"/>
    <mergeCell ref="O593:O596"/>
    <mergeCell ref="M597:M600"/>
    <mergeCell ref="N597:N600"/>
    <mergeCell ref="O597:O600"/>
    <mergeCell ref="M601:M604"/>
    <mergeCell ref="N601:N604"/>
    <mergeCell ref="O601:O604"/>
    <mergeCell ref="M605:M608"/>
    <mergeCell ref="N605:N608"/>
    <mergeCell ref="O605:O608"/>
    <mergeCell ref="M609:M612"/>
    <mergeCell ref="N609:N612"/>
    <mergeCell ref="O609:O612"/>
    <mergeCell ref="M613:M616"/>
    <mergeCell ref="N613:N616"/>
    <mergeCell ref="O613:O616"/>
    <mergeCell ref="M617:M620"/>
    <mergeCell ref="N617:N620"/>
    <mergeCell ref="O617:O620"/>
    <mergeCell ref="M621:M624"/>
    <mergeCell ref="N621:N624"/>
    <mergeCell ref="O621:O624"/>
    <mergeCell ref="M625:M628"/>
    <mergeCell ref="N625:N628"/>
    <mergeCell ref="O625:O628"/>
    <mergeCell ref="M629:M632"/>
    <mergeCell ref="N629:N632"/>
    <mergeCell ref="O629:O632"/>
    <mergeCell ref="M633:M636"/>
    <mergeCell ref="N633:N636"/>
    <mergeCell ref="O633:O636"/>
    <mergeCell ref="M637:M640"/>
    <mergeCell ref="N637:N640"/>
    <mergeCell ref="O637:O640"/>
    <mergeCell ref="M641:M644"/>
    <mergeCell ref="N641:N644"/>
    <mergeCell ref="O641:O644"/>
    <mergeCell ref="M645:M648"/>
    <mergeCell ref="N645:N648"/>
    <mergeCell ref="O645:O648"/>
    <mergeCell ref="M649:M652"/>
    <mergeCell ref="N649:N652"/>
    <mergeCell ref="O649:O652"/>
    <mergeCell ref="M653:M656"/>
    <mergeCell ref="N653:N656"/>
    <mergeCell ref="O653:O656"/>
    <mergeCell ref="M657:M660"/>
    <mergeCell ref="N657:N660"/>
    <mergeCell ref="O657:O660"/>
    <mergeCell ref="M661:M665"/>
    <mergeCell ref="N661:N665"/>
    <mergeCell ref="O661:O665"/>
    <mergeCell ref="M666:M668"/>
    <mergeCell ref="N666:N668"/>
    <mergeCell ref="O666:O668"/>
    <mergeCell ref="M669:M673"/>
    <mergeCell ref="N669:N673"/>
    <mergeCell ref="O669:O673"/>
    <mergeCell ref="M674:M678"/>
    <mergeCell ref="N674:N678"/>
    <mergeCell ref="O674:O678"/>
    <mergeCell ref="M679:M683"/>
    <mergeCell ref="N679:N683"/>
    <mergeCell ref="O679:O683"/>
    <mergeCell ref="M684:M688"/>
    <mergeCell ref="N684:N688"/>
    <mergeCell ref="O684:O688"/>
    <mergeCell ref="M689:M693"/>
    <mergeCell ref="N689:N693"/>
    <mergeCell ref="O689:O693"/>
    <mergeCell ref="M694:M698"/>
    <mergeCell ref="N694:N698"/>
    <mergeCell ref="O694:O698"/>
    <mergeCell ref="M699:M703"/>
    <mergeCell ref="N699:N703"/>
    <mergeCell ref="O699:O703"/>
    <mergeCell ref="M704:M708"/>
    <mergeCell ref="N704:N708"/>
    <mergeCell ref="O704:O708"/>
    <mergeCell ref="M710:M713"/>
    <mergeCell ref="N710:N713"/>
    <mergeCell ref="O710:O713"/>
    <mergeCell ref="M714:M717"/>
    <mergeCell ref="N714:N717"/>
    <mergeCell ref="O714:O717"/>
    <mergeCell ref="M718:M721"/>
    <mergeCell ref="N718:N721"/>
    <mergeCell ref="O718:O721"/>
    <mergeCell ref="M722:M725"/>
    <mergeCell ref="N722:N725"/>
    <mergeCell ref="O722:O725"/>
    <mergeCell ref="M726:M729"/>
    <mergeCell ref="N726:N729"/>
    <mergeCell ref="O726:O729"/>
    <mergeCell ref="M730:M733"/>
    <mergeCell ref="N730:N733"/>
    <mergeCell ref="O730:O733"/>
    <mergeCell ref="M734:M737"/>
    <mergeCell ref="N734:N737"/>
    <mergeCell ref="O734:O737"/>
    <mergeCell ref="M738:M741"/>
    <mergeCell ref="N738:N741"/>
    <mergeCell ref="O738:O741"/>
    <mergeCell ref="M742:M745"/>
    <mergeCell ref="N742:N745"/>
    <mergeCell ref="O742:O745"/>
    <mergeCell ref="M746:M749"/>
    <mergeCell ref="N746:N749"/>
    <mergeCell ref="O746:O749"/>
    <mergeCell ref="M750:M753"/>
    <mergeCell ref="N750:N753"/>
    <mergeCell ref="O750:O753"/>
    <mergeCell ref="M754:M757"/>
    <mergeCell ref="N754:N757"/>
    <mergeCell ref="O754:O757"/>
    <mergeCell ref="M758:M761"/>
    <mergeCell ref="N758:N761"/>
    <mergeCell ref="O758:O761"/>
    <mergeCell ref="M762:M765"/>
    <mergeCell ref="N762:N765"/>
    <mergeCell ref="O762:O765"/>
    <mergeCell ref="M766:M769"/>
    <mergeCell ref="N766:N769"/>
    <mergeCell ref="O766:O769"/>
    <mergeCell ref="M770:M773"/>
    <mergeCell ref="N770:N773"/>
    <mergeCell ref="O770:O773"/>
    <mergeCell ref="M774:M777"/>
    <mergeCell ref="N774:N777"/>
    <mergeCell ref="O774:O777"/>
    <mergeCell ref="M778:M781"/>
    <mergeCell ref="N778:N781"/>
    <mergeCell ref="O778:O781"/>
    <mergeCell ref="M782:M785"/>
    <mergeCell ref="N782:N785"/>
    <mergeCell ref="O782:O785"/>
    <mergeCell ref="M786:M789"/>
    <mergeCell ref="N786:N789"/>
    <mergeCell ref="O786:O789"/>
    <mergeCell ref="M790:M793"/>
    <mergeCell ref="N790:N793"/>
    <mergeCell ref="O790:O793"/>
    <mergeCell ref="M794:M797"/>
    <mergeCell ref="N794:N797"/>
    <mergeCell ref="O794:O797"/>
    <mergeCell ref="M798:M801"/>
    <mergeCell ref="N798:N801"/>
    <mergeCell ref="O798:O801"/>
    <mergeCell ref="M802:M805"/>
    <mergeCell ref="N802:N805"/>
    <mergeCell ref="O802:O805"/>
    <mergeCell ref="M806:M809"/>
    <mergeCell ref="N806:N809"/>
    <mergeCell ref="O806:O809"/>
    <mergeCell ref="M810:M813"/>
    <mergeCell ref="N810:N813"/>
    <mergeCell ref="O810:O813"/>
    <mergeCell ref="M814:M817"/>
    <mergeCell ref="N814:N817"/>
    <mergeCell ref="O814:O817"/>
    <mergeCell ref="M818:M821"/>
    <mergeCell ref="N818:N821"/>
    <mergeCell ref="O818:O821"/>
    <mergeCell ref="M822:M825"/>
    <mergeCell ref="N822:N825"/>
    <mergeCell ref="O822:O825"/>
    <mergeCell ref="M826:M829"/>
    <mergeCell ref="N826:N829"/>
    <mergeCell ref="O826:O829"/>
    <mergeCell ref="M830:M833"/>
    <mergeCell ref="N830:N833"/>
    <mergeCell ref="O830:O833"/>
    <mergeCell ref="M834:M837"/>
    <mergeCell ref="N834:N837"/>
    <mergeCell ref="O834:O837"/>
    <mergeCell ref="M838:M841"/>
    <mergeCell ref="N838:N841"/>
    <mergeCell ref="O838:O841"/>
    <mergeCell ref="M842:M845"/>
    <mergeCell ref="N842:N845"/>
    <mergeCell ref="O842:O845"/>
    <mergeCell ref="M846:M849"/>
    <mergeCell ref="N846:N849"/>
    <mergeCell ref="O846:O849"/>
    <mergeCell ref="M850:M853"/>
    <mergeCell ref="N850:N853"/>
    <mergeCell ref="O850:O853"/>
    <mergeCell ref="M854:M857"/>
    <mergeCell ref="N854:N857"/>
    <mergeCell ref="O854:O857"/>
    <mergeCell ref="M858:M861"/>
    <mergeCell ref="N858:N861"/>
    <mergeCell ref="O858:O861"/>
    <mergeCell ref="M862:M865"/>
    <mergeCell ref="N862:N865"/>
    <mergeCell ref="O862:O865"/>
    <mergeCell ref="M866:M869"/>
    <mergeCell ref="N866:N869"/>
    <mergeCell ref="O866:O869"/>
    <mergeCell ref="M870:M873"/>
    <mergeCell ref="N870:N873"/>
    <mergeCell ref="O870:O873"/>
    <mergeCell ref="M874:M877"/>
    <mergeCell ref="N874:N877"/>
    <mergeCell ref="O874:O877"/>
    <mergeCell ref="M878:M881"/>
    <mergeCell ref="N878:N881"/>
    <mergeCell ref="O878:O881"/>
    <mergeCell ref="M882:M885"/>
    <mergeCell ref="N882:N885"/>
    <mergeCell ref="O882:O885"/>
    <mergeCell ref="M886:M889"/>
    <mergeCell ref="N886:N889"/>
    <mergeCell ref="O886:O889"/>
    <mergeCell ref="M890:M893"/>
    <mergeCell ref="N890:N893"/>
    <mergeCell ref="O890:O893"/>
    <mergeCell ref="M894:M897"/>
    <mergeCell ref="N894:N897"/>
    <mergeCell ref="O894:O897"/>
    <mergeCell ref="M898:M901"/>
    <mergeCell ref="N898:N901"/>
    <mergeCell ref="O898:O901"/>
    <mergeCell ref="M902:M905"/>
    <mergeCell ref="N902:N905"/>
    <mergeCell ref="O902:O905"/>
    <mergeCell ref="M906:M909"/>
    <mergeCell ref="N906:N909"/>
    <mergeCell ref="O906:O909"/>
    <mergeCell ref="M910:M913"/>
    <mergeCell ref="N910:N913"/>
    <mergeCell ref="O910:O913"/>
    <mergeCell ref="M914:M917"/>
    <mergeCell ref="N914:N917"/>
    <mergeCell ref="O914:O917"/>
    <mergeCell ref="M918:M921"/>
    <mergeCell ref="N918:N921"/>
    <mergeCell ref="O918:O921"/>
    <mergeCell ref="M922:M925"/>
    <mergeCell ref="N922:N925"/>
    <mergeCell ref="O922:O925"/>
    <mergeCell ref="M926:M929"/>
    <mergeCell ref="N926:N929"/>
    <mergeCell ref="O926:O929"/>
    <mergeCell ref="M930:M933"/>
    <mergeCell ref="N930:N933"/>
    <mergeCell ref="O930:O933"/>
    <mergeCell ref="M934:M937"/>
    <mergeCell ref="N934:N937"/>
    <mergeCell ref="O934:O937"/>
    <mergeCell ref="M938:M941"/>
    <mergeCell ref="N938:N941"/>
    <mergeCell ref="O938:O941"/>
    <mergeCell ref="M942:M945"/>
    <mergeCell ref="N942:N945"/>
    <mergeCell ref="O942:O945"/>
    <mergeCell ref="M946:M949"/>
    <mergeCell ref="N946:N949"/>
    <mergeCell ref="O946:O949"/>
    <mergeCell ref="M950:M953"/>
    <mergeCell ref="N950:N953"/>
    <mergeCell ref="O950:O953"/>
    <mergeCell ref="M954:M957"/>
    <mergeCell ref="N954:N957"/>
    <mergeCell ref="O954:O957"/>
    <mergeCell ref="M958:M961"/>
    <mergeCell ref="N958:N961"/>
    <mergeCell ref="O958:O961"/>
    <mergeCell ref="M962:M965"/>
    <mergeCell ref="N962:N965"/>
    <mergeCell ref="O962:O965"/>
    <mergeCell ref="M966:M969"/>
    <mergeCell ref="N966:N969"/>
    <mergeCell ref="O966:O969"/>
    <mergeCell ref="M970:M973"/>
    <mergeCell ref="N970:N973"/>
    <mergeCell ref="O970:O973"/>
    <mergeCell ref="M974:M977"/>
    <mergeCell ref="N974:N977"/>
    <mergeCell ref="O974:O977"/>
    <mergeCell ref="M978:M981"/>
    <mergeCell ref="N978:N981"/>
    <mergeCell ref="O978:O981"/>
    <mergeCell ref="M982:M985"/>
    <mergeCell ref="N982:N985"/>
    <mergeCell ref="O982:O985"/>
    <mergeCell ref="M986:M987"/>
    <mergeCell ref="N986:N987"/>
    <mergeCell ref="O986:O987"/>
    <mergeCell ref="M988:M989"/>
    <mergeCell ref="N988:N989"/>
    <mergeCell ref="O988:O989"/>
    <mergeCell ref="M990:M991"/>
    <mergeCell ref="N990:N991"/>
    <mergeCell ref="O990:O991"/>
    <mergeCell ref="M992:M993"/>
    <mergeCell ref="N992:N993"/>
    <mergeCell ref="O992:O993"/>
    <mergeCell ref="M994:M995"/>
    <mergeCell ref="N994:N995"/>
    <mergeCell ref="O994:O995"/>
    <mergeCell ref="M996:M997"/>
    <mergeCell ref="N996:N997"/>
    <mergeCell ref="O996:O997"/>
    <mergeCell ref="M998:M999"/>
    <mergeCell ref="N998:N999"/>
    <mergeCell ref="O998:O999"/>
    <mergeCell ref="M1000:M1001"/>
    <mergeCell ref="N1000:N1001"/>
    <mergeCell ref="O1000:O1001"/>
    <mergeCell ref="M1002:M1003"/>
    <mergeCell ref="N1002:N1003"/>
    <mergeCell ref="O1002:O1003"/>
    <mergeCell ref="M1004:M1005"/>
    <mergeCell ref="N1004:N1005"/>
    <mergeCell ref="O1004:O1005"/>
    <mergeCell ref="M1006:M1007"/>
    <mergeCell ref="N1006:N1007"/>
    <mergeCell ref="O1006:O1007"/>
    <mergeCell ref="M1008:M1009"/>
    <mergeCell ref="N1008:N1009"/>
    <mergeCell ref="O1008:O1009"/>
    <mergeCell ref="M1010:M1011"/>
    <mergeCell ref="N1010:N1011"/>
    <mergeCell ref="O1010:O1011"/>
    <mergeCell ref="M1012:M1013"/>
    <mergeCell ref="N1012:N1013"/>
    <mergeCell ref="O1012:O1013"/>
    <mergeCell ref="M1014:M1015"/>
    <mergeCell ref="N1014:N1015"/>
    <mergeCell ref="O1014:O1015"/>
    <mergeCell ref="M1016:M1017"/>
    <mergeCell ref="N1016:N1017"/>
    <mergeCell ref="O1016:O1017"/>
    <mergeCell ref="M1018:M1019"/>
    <mergeCell ref="N1018:N1019"/>
    <mergeCell ref="O1018:O1019"/>
    <mergeCell ref="M1020:M1021"/>
    <mergeCell ref="N1020:N1021"/>
    <mergeCell ref="O1020:O1021"/>
    <mergeCell ref="M1022:M1023"/>
    <mergeCell ref="N1022:N1023"/>
    <mergeCell ref="O1022:O1023"/>
    <mergeCell ref="M1024:M1025"/>
    <mergeCell ref="N1024:N1025"/>
    <mergeCell ref="O1024:O1025"/>
    <mergeCell ref="M1026:M1027"/>
    <mergeCell ref="N1026:N1027"/>
    <mergeCell ref="O1026:O1027"/>
    <mergeCell ref="M1028:M1029"/>
    <mergeCell ref="N1028:N1029"/>
    <mergeCell ref="O1028:O1029"/>
    <mergeCell ref="M1030:M1031"/>
    <mergeCell ref="N1030:N1031"/>
    <mergeCell ref="O1030:O1031"/>
    <mergeCell ref="M1032:M1033"/>
    <mergeCell ref="N1032:N1033"/>
    <mergeCell ref="O1032:O1033"/>
    <mergeCell ref="M1034:M1035"/>
    <mergeCell ref="N1034:N1035"/>
    <mergeCell ref="O1034:O1035"/>
    <mergeCell ref="M1036:M1037"/>
    <mergeCell ref="N1036:N1037"/>
    <mergeCell ref="O1036:O1037"/>
    <mergeCell ref="M1038:M1039"/>
    <mergeCell ref="N1038:N1039"/>
    <mergeCell ref="O1038:O1039"/>
    <mergeCell ref="M1040:M1041"/>
    <mergeCell ref="N1040:N1041"/>
    <mergeCell ref="O1040:O1041"/>
    <mergeCell ref="M1042:M1043"/>
    <mergeCell ref="N1042:N1043"/>
    <mergeCell ref="O1042:O1043"/>
    <mergeCell ref="M1044:M1045"/>
    <mergeCell ref="N1044:N1045"/>
    <mergeCell ref="O1044:O1045"/>
    <mergeCell ref="M1047:M1050"/>
    <mergeCell ref="N1047:N1050"/>
    <mergeCell ref="O1047:O1050"/>
    <mergeCell ref="M1051:M1054"/>
    <mergeCell ref="N1051:N1054"/>
    <mergeCell ref="O1051:O1054"/>
    <mergeCell ref="M1055:M1058"/>
    <mergeCell ref="N1055:N1058"/>
    <mergeCell ref="O1055:O1058"/>
    <mergeCell ref="M1059:M1062"/>
    <mergeCell ref="N1059:N1062"/>
    <mergeCell ref="O1059:O1062"/>
    <mergeCell ref="M1063:M1066"/>
    <mergeCell ref="N1063:N1066"/>
    <mergeCell ref="O1063:O1066"/>
    <mergeCell ref="M1067:M1070"/>
    <mergeCell ref="N1067:N1070"/>
    <mergeCell ref="O1067:O1070"/>
    <mergeCell ref="M1071:M1074"/>
    <mergeCell ref="N1071:N1074"/>
    <mergeCell ref="O1071:O1074"/>
    <mergeCell ref="M1075:M1078"/>
    <mergeCell ref="N1075:N1078"/>
    <mergeCell ref="O1075:O1078"/>
    <mergeCell ref="M1085:M1086"/>
    <mergeCell ref="N1085:N1086"/>
    <mergeCell ref="O1085:O1086"/>
    <mergeCell ref="M1087:M1088"/>
    <mergeCell ref="N1087:N1088"/>
    <mergeCell ref="O1087:O1088"/>
    <mergeCell ref="M1089:M1090"/>
    <mergeCell ref="N1089:N1090"/>
    <mergeCell ref="O1089:O1090"/>
    <mergeCell ref="M1091:M1092"/>
    <mergeCell ref="N1091:N1092"/>
    <mergeCell ref="O1091:O1092"/>
    <mergeCell ref="M1093:M1094"/>
    <mergeCell ref="N1093:N1094"/>
    <mergeCell ref="O1093:O1094"/>
    <mergeCell ref="M1095:M1096"/>
    <mergeCell ref="N1095:N1096"/>
    <mergeCell ref="O1095:O1096"/>
    <mergeCell ref="M1097:M1098"/>
    <mergeCell ref="N1097:N1098"/>
    <mergeCell ref="O1097:O1098"/>
    <mergeCell ref="M1099:M1100"/>
    <mergeCell ref="N1099:N1100"/>
    <mergeCell ref="O1099:O1100"/>
    <mergeCell ref="M1101:M1102"/>
    <mergeCell ref="N1101:N1102"/>
    <mergeCell ref="O1101:O1102"/>
    <mergeCell ref="M1103:M1104"/>
    <mergeCell ref="N1103:N1104"/>
    <mergeCell ref="O1103:O1104"/>
    <mergeCell ref="M1105:M1108"/>
    <mergeCell ref="N1105:N1108"/>
    <mergeCell ref="O1105:O1108"/>
    <mergeCell ref="M1109:M1112"/>
    <mergeCell ref="N1109:N1112"/>
    <mergeCell ref="O1109:O1112"/>
    <mergeCell ref="M1113:M1116"/>
    <mergeCell ref="N1113:N1116"/>
    <mergeCell ref="O1113:O1116"/>
    <mergeCell ref="M1117:M1120"/>
    <mergeCell ref="N1117:N1120"/>
    <mergeCell ref="O1117:O1120"/>
    <mergeCell ref="M1121:M1124"/>
    <mergeCell ref="N1121:N1124"/>
    <mergeCell ref="O1121:O1124"/>
    <mergeCell ref="M1125:M1128"/>
    <mergeCell ref="N1125:N1128"/>
    <mergeCell ref="O1125:O1128"/>
    <mergeCell ref="M1129:M1132"/>
    <mergeCell ref="N1129:N1132"/>
    <mergeCell ref="O1129:O1132"/>
    <mergeCell ref="M1133:M1136"/>
    <mergeCell ref="N1133:N1136"/>
    <mergeCell ref="O1133:O1136"/>
    <mergeCell ref="M1137:M1140"/>
    <mergeCell ref="N1137:N1140"/>
    <mergeCell ref="O1137:O1140"/>
    <mergeCell ref="M1141:M1144"/>
    <mergeCell ref="N1141:N1144"/>
    <mergeCell ref="O1141:O1144"/>
    <mergeCell ref="M1145:M1148"/>
    <mergeCell ref="N1145:N1148"/>
    <mergeCell ref="O1145:O1148"/>
    <mergeCell ref="M1149:M1152"/>
    <mergeCell ref="N1149:N1152"/>
    <mergeCell ref="O1149:O1152"/>
    <mergeCell ref="M1153:M1156"/>
    <mergeCell ref="N1153:N1156"/>
    <mergeCell ref="O1153:O1156"/>
    <mergeCell ref="M1157:M1160"/>
    <mergeCell ref="N1157:N1160"/>
    <mergeCell ref="O1157:O1160"/>
    <mergeCell ref="M1161:M1164"/>
    <mergeCell ref="N1161:N1164"/>
    <mergeCell ref="O1161:O1164"/>
    <mergeCell ref="M1165:M1168"/>
    <mergeCell ref="N1165:N1168"/>
    <mergeCell ref="O1165:O1168"/>
    <mergeCell ref="M1169:M1172"/>
    <mergeCell ref="N1169:N1172"/>
    <mergeCell ref="O1169:O1172"/>
    <mergeCell ref="M1173:M1176"/>
    <mergeCell ref="N1173:N1176"/>
    <mergeCell ref="O1173:O1176"/>
    <mergeCell ref="M1177:M1180"/>
    <mergeCell ref="N1177:N1180"/>
    <mergeCell ref="O1177:O1180"/>
    <mergeCell ref="M1181:M1184"/>
    <mergeCell ref="N1181:N1184"/>
    <mergeCell ref="O1181:O1184"/>
    <mergeCell ref="M1185:M1188"/>
    <mergeCell ref="N1185:N1188"/>
    <mergeCell ref="O1185:O1188"/>
    <mergeCell ref="M1189:M1192"/>
    <mergeCell ref="N1189:N1192"/>
    <mergeCell ref="O1189:O1192"/>
    <mergeCell ref="M1193:M1196"/>
    <mergeCell ref="N1193:N1196"/>
    <mergeCell ref="O1193:O1196"/>
    <mergeCell ref="M1197:M1200"/>
    <mergeCell ref="N1197:N1200"/>
    <mergeCell ref="O1197:O1200"/>
    <mergeCell ref="M1201:M1204"/>
    <mergeCell ref="N1201:N1204"/>
    <mergeCell ref="O1201:O1204"/>
    <mergeCell ref="M1205:M1208"/>
    <mergeCell ref="N1205:N1208"/>
    <mergeCell ref="O1205:O1208"/>
    <mergeCell ref="M1209:M1212"/>
    <mergeCell ref="N1209:N1212"/>
    <mergeCell ref="O1209:O1212"/>
    <mergeCell ref="M1213:M1216"/>
    <mergeCell ref="N1213:N1216"/>
    <mergeCell ref="O1213:O1216"/>
    <mergeCell ref="M1217:M1220"/>
    <mergeCell ref="N1217:N1220"/>
    <mergeCell ref="O1217:O1220"/>
    <mergeCell ref="M1221:M1224"/>
    <mergeCell ref="N1221:N1224"/>
    <mergeCell ref="O1221:O1224"/>
    <mergeCell ref="M1225:M1228"/>
    <mergeCell ref="N1225:N1228"/>
    <mergeCell ref="O1225:O1228"/>
    <mergeCell ref="M1229:M1232"/>
    <mergeCell ref="N1229:N1232"/>
    <mergeCell ref="O1229:O1232"/>
    <mergeCell ref="M1233:M1236"/>
    <mergeCell ref="N1233:N1236"/>
    <mergeCell ref="O1233:O1236"/>
    <mergeCell ref="M1237:M1240"/>
    <mergeCell ref="N1237:N1240"/>
    <mergeCell ref="O1237:O1240"/>
    <mergeCell ref="M1241:M1244"/>
    <mergeCell ref="N1241:N1244"/>
    <mergeCell ref="O1241:O1244"/>
    <mergeCell ref="M1245:M1248"/>
    <mergeCell ref="N1245:N1248"/>
    <mergeCell ref="O1245:O1248"/>
    <mergeCell ref="M1249:M1252"/>
    <mergeCell ref="N1249:N1252"/>
    <mergeCell ref="O1249:O1252"/>
    <mergeCell ref="M1253:M1256"/>
    <mergeCell ref="N1253:N1256"/>
    <mergeCell ref="O1253:O1256"/>
    <mergeCell ref="M1257:M1260"/>
    <mergeCell ref="N1257:N1260"/>
    <mergeCell ref="O1257:O1260"/>
    <mergeCell ref="M1261:M1264"/>
    <mergeCell ref="N1261:N1264"/>
    <mergeCell ref="O1261:O1264"/>
    <mergeCell ref="M1265:M1268"/>
    <mergeCell ref="N1265:N1268"/>
    <mergeCell ref="O1265:O1268"/>
    <mergeCell ref="M1269:M1272"/>
    <mergeCell ref="N1269:N1272"/>
    <mergeCell ref="O1269:O1272"/>
    <mergeCell ref="M1273:M1276"/>
    <mergeCell ref="N1273:N1276"/>
    <mergeCell ref="O1273:O1276"/>
    <mergeCell ref="M1277:M1280"/>
    <mergeCell ref="N1277:N1280"/>
    <mergeCell ref="O1277:O1280"/>
    <mergeCell ref="M1281:M1284"/>
    <mergeCell ref="N1281:N1284"/>
    <mergeCell ref="O1281:O1284"/>
    <mergeCell ref="M1285:M1288"/>
    <mergeCell ref="N1285:N1288"/>
    <mergeCell ref="O1285:O1288"/>
    <mergeCell ref="M1289:M1292"/>
    <mergeCell ref="N1289:N1292"/>
    <mergeCell ref="O1289:O1292"/>
    <mergeCell ref="M1293:M1296"/>
    <mergeCell ref="N1293:N1296"/>
    <mergeCell ref="O1293:O1296"/>
    <mergeCell ref="M1297:M1300"/>
    <mergeCell ref="N1297:N1300"/>
    <mergeCell ref="O1297:O1300"/>
    <mergeCell ref="M1301:M1304"/>
    <mergeCell ref="N1301:N1304"/>
    <mergeCell ref="O1301:O1304"/>
    <mergeCell ref="M1305:M1308"/>
    <mergeCell ref="N1305:N1308"/>
    <mergeCell ref="O1305:O1308"/>
    <mergeCell ref="M1309:M1314"/>
    <mergeCell ref="N1309:N1314"/>
    <mergeCell ref="O1309:O1314"/>
    <mergeCell ref="M1315:M1320"/>
    <mergeCell ref="N1315:N1320"/>
    <mergeCell ref="O1315:O1320"/>
    <mergeCell ref="M1321:M1326"/>
    <mergeCell ref="N1321:N1326"/>
    <mergeCell ref="O1321:O1326"/>
    <mergeCell ref="M1327:M1332"/>
    <mergeCell ref="N1327:N1332"/>
    <mergeCell ref="O1327:O1332"/>
    <mergeCell ref="M1333:M1338"/>
    <mergeCell ref="N1333:N1338"/>
    <mergeCell ref="O1333:O1338"/>
    <mergeCell ref="M1339:M1344"/>
    <mergeCell ref="N1339:N1344"/>
    <mergeCell ref="O1339:O1344"/>
    <mergeCell ref="M1345:M1350"/>
    <mergeCell ref="N1345:N1350"/>
    <mergeCell ref="O1345:O1350"/>
    <mergeCell ref="M1351:M1356"/>
    <mergeCell ref="N1351:N1356"/>
    <mergeCell ref="O1351:O1356"/>
    <mergeCell ref="M1357:M1362"/>
    <mergeCell ref="N1357:N1362"/>
    <mergeCell ref="O1357:O1362"/>
    <mergeCell ref="M1423:M1428"/>
    <mergeCell ref="N1423:N1428"/>
    <mergeCell ref="O1423:O1428"/>
    <mergeCell ref="M1429:M1434"/>
    <mergeCell ref="N1429:N1434"/>
    <mergeCell ref="O1429:O1434"/>
    <mergeCell ref="M1363:M1368"/>
    <mergeCell ref="N1363:N1368"/>
    <mergeCell ref="O1363:O1368"/>
    <mergeCell ref="M1369:M1374"/>
    <mergeCell ref="N1369:N1374"/>
    <mergeCell ref="O1369:O1374"/>
    <mergeCell ref="M1375:M1380"/>
    <mergeCell ref="N1375:N1380"/>
    <mergeCell ref="O1375:O1380"/>
    <mergeCell ref="M1381:M1386"/>
    <mergeCell ref="N1381:N1386"/>
    <mergeCell ref="O1381:O1386"/>
    <mergeCell ref="M1387:M1392"/>
    <mergeCell ref="N1387:N1392"/>
    <mergeCell ref="O1387:O1392"/>
    <mergeCell ref="M1393:M1398"/>
    <mergeCell ref="N1393:N1398"/>
    <mergeCell ref="O1393:O1398"/>
    <mergeCell ref="M1477:M1482"/>
    <mergeCell ref="N1477:N1482"/>
    <mergeCell ref="O1477:O1482"/>
    <mergeCell ref="M1483:M1488"/>
    <mergeCell ref="N1483:N1488"/>
    <mergeCell ref="O1483:O1488"/>
    <mergeCell ref="M1489:M1492"/>
    <mergeCell ref="N1489:N1492"/>
    <mergeCell ref="O1489:O1492"/>
    <mergeCell ref="M1493:M1497"/>
    <mergeCell ref="N1493:N1497"/>
    <mergeCell ref="O1493:O1497"/>
    <mergeCell ref="M1501:M1510"/>
    <mergeCell ref="N1501:N1510"/>
    <mergeCell ref="O1501:O1510"/>
    <mergeCell ref="M1435:M1440"/>
    <mergeCell ref="N1435:N1440"/>
    <mergeCell ref="O1435:O1440"/>
    <mergeCell ref="M1441:M1446"/>
    <mergeCell ref="N1441:N1446"/>
    <mergeCell ref="O1441:O1446"/>
    <mergeCell ref="M1447:M1452"/>
    <mergeCell ref="N1447:N1452"/>
    <mergeCell ref="O1447:O1452"/>
    <mergeCell ref="M1453:M1458"/>
    <mergeCell ref="N1453:N1458"/>
    <mergeCell ref="O1453:O1458"/>
    <mergeCell ref="M1459:M1464"/>
    <mergeCell ref="N1459:N1464"/>
    <mergeCell ref="O1459:O1464"/>
    <mergeCell ref="M1465:M1470"/>
    <mergeCell ref="N1465:N1470"/>
    <mergeCell ref="L4:P4"/>
    <mergeCell ref="P39:P55"/>
    <mergeCell ref="P56:P58"/>
    <mergeCell ref="P59:P75"/>
    <mergeCell ref="P76:P79"/>
    <mergeCell ref="P82:P83"/>
    <mergeCell ref="P88:P91"/>
    <mergeCell ref="P96:P99"/>
    <mergeCell ref="P100:P106"/>
    <mergeCell ref="P107:P113"/>
    <mergeCell ref="P114:P120"/>
    <mergeCell ref="P121:P127"/>
    <mergeCell ref="P128:P134"/>
    <mergeCell ref="P135:P141"/>
    <mergeCell ref="P142:P148"/>
    <mergeCell ref="B1:P2"/>
    <mergeCell ref="M1471:M1476"/>
    <mergeCell ref="N1471:N1476"/>
    <mergeCell ref="O1471:O1476"/>
    <mergeCell ref="O1465:O1470"/>
    <mergeCell ref="M1399:M1404"/>
    <mergeCell ref="N1399:N1404"/>
    <mergeCell ref="O1399:O1404"/>
    <mergeCell ref="M1405:M1410"/>
    <mergeCell ref="N1405:N1410"/>
    <mergeCell ref="O1405:O1410"/>
    <mergeCell ref="M1411:M1416"/>
    <mergeCell ref="N1411:N1416"/>
    <mergeCell ref="O1411:O1416"/>
    <mergeCell ref="M1417:M1422"/>
    <mergeCell ref="N1417:N1422"/>
    <mergeCell ref="O1417:O1422"/>
    <mergeCell ref="P149:P155"/>
    <mergeCell ref="P156:P162"/>
    <mergeCell ref="P163:P169"/>
    <mergeCell ref="P170:P176"/>
    <mergeCell ref="P177:P183"/>
    <mergeCell ref="P184:P190"/>
    <mergeCell ref="P191:P197"/>
    <mergeCell ref="P198:P204"/>
    <mergeCell ref="P205:P211"/>
    <mergeCell ref="P212:P218"/>
    <mergeCell ref="P219:P225"/>
    <mergeCell ref="P226:P232"/>
    <mergeCell ref="P233:P239"/>
    <mergeCell ref="P240:P246"/>
    <mergeCell ref="P247:P253"/>
    <mergeCell ref="P254:P256"/>
    <mergeCell ref="P257:P260"/>
    <mergeCell ref="P261:P264"/>
    <mergeCell ref="P265:P268"/>
    <mergeCell ref="P269:P272"/>
    <mergeCell ref="P273:P276"/>
    <mergeCell ref="P277:P280"/>
    <mergeCell ref="P281:P284"/>
    <mergeCell ref="P285:P288"/>
    <mergeCell ref="P289:P292"/>
    <mergeCell ref="P293:P296"/>
    <mergeCell ref="P297:P300"/>
    <mergeCell ref="P301:P304"/>
    <mergeCell ref="P305:P309"/>
    <mergeCell ref="P311:P314"/>
    <mergeCell ref="P315:P318"/>
    <mergeCell ref="P319:P322"/>
    <mergeCell ref="P323:P326"/>
    <mergeCell ref="P327:P330"/>
    <mergeCell ref="P331:P334"/>
    <mergeCell ref="P335:P338"/>
    <mergeCell ref="P339:P342"/>
    <mergeCell ref="P343:P346"/>
    <mergeCell ref="P347:P350"/>
    <mergeCell ref="P351:P354"/>
    <mergeCell ref="P355:P358"/>
    <mergeCell ref="P359:P362"/>
    <mergeCell ref="P363:P366"/>
    <mergeCell ref="P367:P370"/>
    <mergeCell ref="P371:P374"/>
    <mergeCell ref="P375:P378"/>
    <mergeCell ref="P379:P382"/>
    <mergeCell ref="P383:P386"/>
    <mergeCell ref="P387:P390"/>
    <mergeCell ref="P391:P394"/>
    <mergeCell ref="P395:P398"/>
    <mergeCell ref="P399:P402"/>
    <mergeCell ref="P403:P406"/>
    <mergeCell ref="P407:P410"/>
    <mergeCell ref="P411:P414"/>
    <mergeCell ref="P415:P418"/>
    <mergeCell ref="P419:P422"/>
    <mergeCell ref="P423:P426"/>
    <mergeCell ref="P427:P430"/>
    <mergeCell ref="P431:P434"/>
    <mergeCell ref="P435:P438"/>
    <mergeCell ref="P439:P442"/>
    <mergeCell ref="P443:P446"/>
    <mergeCell ref="P447:P450"/>
    <mergeCell ref="P451:P454"/>
    <mergeCell ref="P455:P458"/>
    <mergeCell ref="P459:P460"/>
    <mergeCell ref="P461:P466"/>
    <mergeCell ref="P467:P472"/>
    <mergeCell ref="P473:P478"/>
    <mergeCell ref="P479:P484"/>
    <mergeCell ref="P485:P490"/>
    <mergeCell ref="P491:P496"/>
    <mergeCell ref="P497:P502"/>
    <mergeCell ref="P503:P508"/>
    <mergeCell ref="P509:P514"/>
    <mergeCell ref="P515:P520"/>
    <mergeCell ref="P521:P526"/>
    <mergeCell ref="P527:P532"/>
    <mergeCell ref="P533:P536"/>
    <mergeCell ref="P537:P540"/>
    <mergeCell ref="P541:P544"/>
    <mergeCell ref="P545:P548"/>
    <mergeCell ref="P549:P552"/>
    <mergeCell ref="P553:P556"/>
    <mergeCell ref="P557:P560"/>
    <mergeCell ref="P561:P564"/>
    <mergeCell ref="P565:P568"/>
    <mergeCell ref="P569:P572"/>
    <mergeCell ref="P573:P576"/>
    <mergeCell ref="P577:P580"/>
    <mergeCell ref="P581:P584"/>
    <mergeCell ref="P585:P588"/>
    <mergeCell ref="P589:P592"/>
    <mergeCell ref="P593:P596"/>
    <mergeCell ref="P597:P600"/>
    <mergeCell ref="P601:P604"/>
    <mergeCell ref="P605:P608"/>
    <mergeCell ref="P609:P612"/>
    <mergeCell ref="P613:P616"/>
    <mergeCell ref="P617:P620"/>
    <mergeCell ref="P621:P624"/>
    <mergeCell ref="P625:P628"/>
    <mergeCell ref="P629:P632"/>
    <mergeCell ref="P633:P636"/>
    <mergeCell ref="P637:P640"/>
    <mergeCell ref="P641:P644"/>
    <mergeCell ref="P645:P648"/>
    <mergeCell ref="P649:P652"/>
    <mergeCell ref="P653:P656"/>
    <mergeCell ref="P657:P660"/>
    <mergeCell ref="P661:P665"/>
    <mergeCell ref="P666:P668"/>
    <mergeCell ref="P669:P673"/>
    <mergeCell ref="P674:P678"/>
    <mergeCell ref="P679:P683"/>
    <mergeCell ref="P684:P688"/>
    <mergeCell ref="P689:P693"/>
    <mergeCell ref="P694:P698"/>
    <mergeCell ref="P699:P703"/>
    <mergeCell ref="P704:P708"/>
    <mergeCell ref="P710:P713"/>
    <mergeCell ref="P714:P717"/>
    <mergeCell ref="P718:P721"/>
    <mergeCell ref="P722:P725"/>
    <mergeCell ref="P726:P729"/>
    <mergeCell ref="P730:P733"/>
    <mergeCell ref="P734:P737"/>
    <mergeCell ref="P738:P741"/>
    <mergeCell ref="P742:P745"/>
    <mergeCell ref="P746:P749"/>
    <mergeCell ref="P750:P753"/>
    <mergeCell ref="P754:P757"/>
    <mergeCell ref="P758:P761"/>
    <mergeCell ref="P762:P765"/>
    <mergeCell ref="P766:P769"/>
    <mergeCell ref="P770:P773"/>
    <mergeCell ref="P774:P777"/>
    <mergeCell ref="P778:P781"/>
    <mergeCell ref="P782:P785"/>
    <mergeCell ref="P786:P789"/>
    <mergeCell ref="P790:P793"/>
    <mergeCell ref="P794:P797"/>
    <mergeCell ref="P798:P801"/>
    <mergeCell ref="P802:P805"/>
    <mergeCell ref="P806:P809"/>
    <mergeCell ref="P810:P813"/>
    <mergeCell ref="P814:P817"/>
    <mergeCell ref="P818:P821"/>
    <mergeCell ref="P822:P825"/>
    <mergeCell ref="P826:P829"/>
    <mergeCell ref="P830:P833"/>
    <mergeCell ref="P834:P837"/>
    <mergeCell ref="P838:P841"/>
    <mergeCell ref="P842:P845"/>
    <mergeCell ref="P846:P849"/>
    <mergeCell ref="P850:P853"/>
    <mergeCell ref="P854:P857"/>
    <mergeCell ref="P858:P861"/>
    <mergeCell ref="P862:P865"/>
    <mergeCell ref="P866:P869"/>
    <mergeCell ref="P870:P873"/>
    <mergeCell ref="P874:P877"/>
    <mergeCell ref="P878:P881"/>
    <mergeCell ref="P882:P885"/>
    <mergeCell ref="P886:P889"/>
    <mergeCell ref="P890:P893"/>
    <mergeCell ref="P894:P897"/>
    <mergeCell ref="P898:P901"/>
    <mergeCell ref="P902:P905"/>
    <mergeCell ref="P906:P909"/>
    <mergeCell ref="P910:P913"/>
    <mergeCell ref="P914:P917"/>
    <mergeCell ref="P918:P921"/>
    <mergeCell ref="P922:P925"/>
    <mergeCell ref="P926:P929"/>
    <mergeCell ref="P930:P933"/>
    <mergeCell ref="P934:P937"/>
    <mergeCell ref="P938:P941"/>
    <mergeCell ref="P942:P945"/>
    <mergeCell ref="P946:P949"/>
    <mergeCell ref="P950:P953"/>
    <mergeCell ref="P954:P957"/>
    <mergeCell ref="P958:P961"/>
    <mergeCell ref="P962:P965"/>
    <mergeCell ref="P966:P969"/>
    <mergeCell ref="P970:P973"/>
    <mergeCell ref="P974:P977"/>
    <mergeCell ref="P978:P981"/>
    <mergeCell ref="P982:P985"/>
    <mergeCell ref="P986:P987"/>
    <mergeCell ref="P988:P989"/>
    <mergeCell ref="P990:P991"/>
    <mergeCell ref="P992:P993"/>
    <mergeCell ref="P994:P995"/>
    <mergeCell ref="P996:P997"/>
    <mergeCell ref="P998:P999"/>
    <mergeCell ref="P1000:P1001"/>
    <mergeCell ref="P1002:P1003"/>
    <mergeCell ref="P1004:P1005"/>
    <mergeCell ref="P1006:P1007"/>
    <mergeCell ref="P1008:P1009"/>
    <mergeCell ref="P1010:P1011"/>
    <mergeCell ref="P1012:P1013"/>
    <mergeCell ref="P1014:P1015"/>
    <mergeCell ref="P1016:P1017"/>
    <mergeCell ref="P1018:P1019"/>
    <mergeCell ref="P1020:P1021"/>
    <mergeCell ref="P1022:P1023"/>
    <mergeCell ref="P1024:P1025"/>
    <mergeCell ref="P1026:P1027"/>
    <mergeCell ref="P1028:P1029"/>
    <mergeCell ref="P1030:P1031"/>
    <mergeCell ref="P1032:P1033"/>
    <mergeCell ref="P1034:P1035"/>
    <mergeCell ref="P1036:P1037"/>
    <mergeCell ref="P1038:P1039"/>
    <mergeCell ref="P1040:P1041"/>
    <mergeCell ref="P1042:P1043"/>
    <mergeCell ref="P1044:P1045"/>
    <mergeCell ref="P1047:P1050"/>
    <mergeCell ref="P1051:P1054"/>
    <mergeCell ref="P1055:P1058"/>
    <mergeCell ref="P1059:P1062"/>
    <mergeCell ref="P1063:P1066"/>
    <mergeCell ref="P1067:P1070"/>
    <mergeCell ref="P1071:P1074"/>
    <mergeCell ref="P1075:P1078"/>
    <mergeCell ref="P1085:P1086"/>
    <mergeCell ref="P1087:P1088"/>
    <mergeCell ref="P1089:P1090"/>
    <mergeCell ref="P1091:P1092"/>
    <mergeCell ref="P1093:P1094"/>
    <mergeCell ref="P1095:P1096"/>
    <mergeCell ref="P1097:P1098"/>
    <mergeCell ref="P1099:P1100"/>
    <mergeCell ref="P1101:P1102"/>
    <mergeCell ref="P1103:P1104"/>
    <mergeCell ref="P1105:P1108"/>
    <mergeCell ref="P1109:P1112"/>
    <mergeCell ref="P1113:P1116"/>
    <mergeCell ref="P1117:P1120"/>
    <mergeCell ref="P1121:P1124"/>
    <mergeCell ref="P1125:P1128"/>
    <mergeCell ref="P1129:P1132"/>
    <mergeCell ref="P1133:P1136"/>
    <mergeCell ref="P1137:P1140"/>
    <mergeCell ref="P1141:P1144"/>
    <mergeCell ref="P1145:P1148"/>
    <mergeCell ref="P1149:P1152"/>
    <mergeCell ref="P1153:P1156"/>
    <mergeCell ref="P1157:P1160"/>
    <mergeCell ref="P1161:P1164"/>
    <mergeCell ref="P1165:P1168"/>
    <mergeCell ref="P1169:P1172"/>
    <mergeCell ref="P1173:P1176"/>
    <mergeCell ref="P1177:P1180"/>
    <mergeCell ref="P1181:P1184"/>
    <mergeCell ref="P1185:P1188"/>
    <mergeCell ref="P1189:P1192"/>
    <mergeCell ref="P1193:P1196"/>
    <mergeCell ref="P1197:P1200"/>
    <mergeCell ref="P1201:P1204"/>
    <mergeCell ref="P1205:P1208"/>
    <mergeCell ref="P1209:P1212"/>
    <mergeCell ref="P1213:P1216"/>
    <mergeCell ref="P1217:P1220"/>
    <mergeCell ref="P1221:P1224"/>
    <mergeCell ref="P1225:P1228"/>
    <mergeCell ref="P1229:P1232"/>
    <mergeCell ref="P1233:P1236"/>
    <mergeCell ref="P1237:P1240"/>
    <mergeCell ref="P1399:P1404"/>
    <mergeCell ref="P1405:P1410"/>
    <mergeCell ref="P1241:P1244"/>
    <mergeCell ref="P1245:P1248"/>
    <mergeCell ref="P1249:P1252"/>
    <mergeCell ref="P1253:P1256"/>
    <mergeCell ref="P1257:P1260"/>
    <mergeCell ref="P1261:P1264"/>
    <mergeCell ref="P1265:P1268"/>
    <mergeCell ref="P1269:P1272"/>
    <mergeCell ref="P1273:P1276"/>
    <mergeCell ref="P1277:P1280"/>
    <mergeCell ref="P1281:P1284"/>
    <mergeCell ref="P1285:P1288"/>
    <mergeCell ref="P1289:P1292"/>
    <mergeCell ref="P1293:P1296"/>
    <mergeCell ref="P1297:P1300"/>
    <mergeCell ref="P1301:P1304"/>
    <mergeCell ref="P1305:P1308"/>
    <mergeCell ref="P1411:P1416"/>
    <mergeCell ref="P1417:P1422"/>
    <mergeCell ref="P1423:P1428"/>
    <mergeCell ref="P1429:P1434"/>
    <mergeCell ref="P1435:P1440"/>
    <mergeCell ref="P1441:P1446"/>
    <mergeCell ref="P1447:P1452"/>
    <mergeCell ref="P1453:P1458"/>
    <mergeCell ref="P1459:P1464"/>
    <mergeCell ref="P1465:P1470"/>
    <mergeCell ref="P1471:P1476"/>
    <mergeCell ref="P1477:P1482"/>
    <mergeCell ref="P1483:P1488"/>
    <mergeCell ref="P1489:P1492"/>
    <mergeCell ref="P1493:P1497"/>
    <mergeCell ref="P1501:P1510"/>
    <mergeCell ref="B3:P3"/>
    <mergeCell ref="P1309:P1314"/>
    <mergeCell ref="P1315:P1320"/>
    <mergeCell ref="P1321:P1326"/>
    <mergeCell ref="P1327:P1332"/>
    <mergeCell ref="P1333:P1338"/>
    <mergeCell ref="P1339:P1344"/>
    <mergeCell ref="P1345:P1350"/>
    <mergeCell ref="P1351:P1356"/>
    <mergeCell ref="P1357:P1362"/>
    <mergeCell ref="P1363:P1368"/>
    <mergeCell ref="P1369:P1374"/>
    <mergeCell ref="P1375:P1380"/>
    <mergeCell ref="P1381:P1386"/>
    <mergeCell ref="P1387:P1392"/>
    <mergeCell ref="P1393:P1398"/>
  </mergeCells>
  <phoneticPr fontId="1" type="noConversion"/>
  <pageMargins left="0.7" right="0.7" top="0.75" bottom="0.75" header="0.3" footer="0.3"/>
  <pageSetup paperSize="9" scale="4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6"/>
  <sheetViews>
    <sheetView showGridLines="0" zoomScale="105" zoomScaleNormal="105" workbookViewId="0">
      <pane ySplit="5" topLeftCell="A6" activePane="bottomLeft" state="frozen"/>
      <selection pane="bottomLeft" activeCell="B1" sqref="B1:G2"/>
    </sheetView>
  </sheetViews>
  <sheetFormatPr defaultColWidth="9" defaultRowHeight="18" customHeight="1"/>
  <cols>
    <col min="1" max="1" width="9" style="76"/>
    <col min="2" max="4" width="24.375" style="123" customWidth="1"/>
    <col min="5" max="5" width="15.625" style="2" customWidth="1"/>
    <col min="6" max="6" width="6.625" style="2" customWidth="1"/>
    <col min="7" max="7" width="62.125" style="76" customWidth="1"/>
    <col min="8" max="16384" width="9" style="76"/>
  </cols>
  <sheetData>
    <row r="1" spans="1:8" ht="18" customHeight="1">
      <c r="B1" s="269" t="s">
        <v>1760</v>
      </c>
      <c r="C1" s="269"/>
      <c r="D1" s="269"/>
      <c r="E1" s="269"/>
      <c r="F1" s="269"/>
      <c r="G1" s="269"/>
    </row>
    <row r="2" spans="1:8" ht="18" customHeight="1" thickBot="1">
      <c r="B2" s="270"/>
      <c r="C2" s="270"/>
      <c r="D2" s="270"/>
      <c r="E2" s="270"/>
      <c r="F2" s="270"/>
      <c r="G2" s="270"/>
    </row>
    <row r="3" spans="1:8" ht="18" customHeight="1" thickBot="1">
      <c r="B3" s="336" t="s">
        <v>1069</v>
      </c>
      <c r="C3" s="336"/>
      <c r="D3" s="336"/>
      <c r="E3" s="336"/>
      <c r="F3" s="336"/>
      <c r="G3" s="336"/>
    </row>
    <row r="4" spans="1:8" ht="18" customHeight="1" thickTop="1">
      <c r="B4" s="297" t="s">
        <v>45</v>
      </c>
      <c r="C4" s="297"/>
      <c r="D4" s="298"/>
      <c r="E4" s="292" t="s">
        <v>17</v>
      </c>
      <c r="F4" s="292" t="s">
        <v>46</v>
      </c>
      <c r="G4" s="301" t="s">
        <v>47</v>
      </c>
    </row>
    <row r="5" spans="1:8" ht="18" customHeight="1">
      <c r="B5" s="299"/>
      <c r="C5" s="299"/>
      <c r="D5" s="300"/>
      <c r="E5" s="293"/>
      <c r="F5" s="293"/>
      <c r="G5" s="302"/>
    </row>
    <row r="6" spans="1:8" ht="18" customHeight="1">
      <c r="B6" s="281" t="s">
        <v>12</v>
      </c>
      <c r="C6" s="281"/>
      <c r="D6" s="282"/>
      <c r="E6" s="121" t="s">
        <v>1095</v>
      </c>
      <c r="F6" s="121" t="s">
        <v>1</v>
      </c>
      <c r="G6" s="177" t="s">
        <v>1101</v>
      </c>
    </row>
    <row r="7" spans="1:8" ht="18" customHeight="1">
      <c r="B7" s="285"/>
      <c r="C7" s="285"/>
      <c r="D7" s="286"/>
      <c r="E7" s="82" t="s">
        <v>1096</v>
      </c>
      <c r="F7" s="82" t="s">
        <v>1</v>
      </c>
      <c r="G7" s="180" t="s">
        <v>1102</v>
      </c>
      <c r="H7" s="167"/>
    </row>
    <row r="8" spans="1:8" s="124" customFormat="1" ht="18" customHeight="1">
      <c r="A8" s="76"/>
      <c r="B8" s="315" t="s">
        <v>450</v>
      </c>
      <c r="C8" s="315"/>
      <c r="D8" s="310"/>
      <c r="E8" s="347" t="str">
        <f>HYPERLINK("#LAYOUT_p!lay보PARENT","PARENT")</f>
        <v>PARENT</v>
      </c>
      <c r="F8" s="78">
        <v>1</v>
      </c>
      <c r="G8" s="183" t="s">
        <v>159</v>
      </c>
    </row>
    <row r="9" spans="1:8" s="124" customFormat="1" ht="18" customHeight="1">
      <c r="A9" s="76"/>
      <c r="B9" s="316"/>
      <c r="C9" s="316"/>
      <c r="D9" s="312"/>
      <c r="E9" s="348"/>
      <c r="F9" s="79">
        <v>2</v>
      </c>
      <c r="G9" s="187" t="s">
        <v>154</v>
      </c>
    </row>
    <row r="10" spans="1:8" s="124" customFormat="1" ht="18" customHeight="1">
      <c r="A10" s="76"/>
      <c r="B10" s="316"/>
      <c r="C10" s="316"/>
      <c r="D10" s="312"/>
      <c r="E10" s="348"/>
      <c r="F10" s="79">
        <v>3</v>
      </c>
      <c r="G10" s="187" t="s">
        <v>451</v>
      </c>
    </row>
    <row r="11" spans="1:8" s="124" customFormat="1" ht="18" customHeight="1">
      <c r="A11" s="76"/>
      <c r="B11" s="316"/>
      <c r="C11" s="316"/>
      <c r="D11" s="312"/>
      <c r="E11" s="348"/>
      <c r="F11" s="79">
        <v>4</v>
      </c>
      <c r="G11" s="187" t="s">
        <v>452</v>
      </c>
    </row>
    <row r="12" spans="1:8" s="124" customFormat="1" ht="18" customHeight="1">
      <c r="A12" s="76"/>
      <c r="B12" s="316"/>
      <c r="C12" s="316"/>
      <c r="D12" s="312"/>
      <c r="E12" s="348"/>
      <c r="F12" s="79">
        <v>5</v>
      </c>
      <c r="G12" s="187" t="s">
        <v>453</v>
      </c>
    </row>
    <row r="13" spans="1:8" s="124" customFormat="1" ht="18" customHeight="1">
      <c r="A13" s="76"/>
      <c r="B13" s="316"/>
      <c r="C13" s="316"/>
      <c r="D13" s="312"/>
      <c r="E13" s="348"/>
      <c r="F13" s="79">
        <v>6</v>
      </c>
      <c r="G13" s="187" t="s">
        <v>454</v>
      </c>
    </row>
    <row r="14" spans="1:8" s="124" customFormat="1" ht="18" customHeight="1">
      <c r="A14" s="76"/>
      <c r="B14" s="317"/>
      <c r="C14" s="317"/>
      <c r="D14" s="314"/>
      <c r="E14" s="349"/>
      <c r="F14" s="82">
        <v>7</v>
      </c>
      <c r="G14" s="188" t="s">
        <v>455</v>
      </c>
    </row>
    <row r="15" spans="1:8" s="124" customFormat="1" ht="18" customHeight="1">
      <c r="A15" s="76"/>
      <c r="B15" s="315" t="s">
        <v>456</v>
      </c>
      <c r="C15" s="315"/>
      <c r="D15" s="310"/>
      <c r="E15" s="197" t="str">
        <f>HYPERLINK("#LAYOUT_p!lay보PYBRT1A","PYBRT1A")</f>
        <v>PYBRT1A</v>
      </c>
      <c r="F15" s="125" t="s">
        <v>0</v>
      </c>
      <c r="G15" s="186" t="s">
        <v>24</v>
      </c>
    </row>
    <row r="16" spans="1:8" s="124" customFormat="1" ht="18" customHeight="1">
      <c r="A16" s="76"/>
      <c r="B16" s="317"/>
      <c r="C16" s="317"/>
      <c r="D16" s="314"/>
      <c r="E16" s="197" t="str">
        <f>HYPERLINK("#LAYOUT_p!lay보PYBRT1B","PYBRT1B")</f>
        <v>PYBRT1B</v>
      </c>
      <c r="F16" s="126" t="s">
        <v>0</v>
      </c>
      <c r="G16" s="183" t="s">
        <v>25</v>
      </c>
    </row>
    <row r="17" spans="1:7" s="124" customFormat="1" ht="18" customHeight="1">
      <c r="A17" s="76"/>
      <c r="B17" s="315" t="s">
        <v>457</v>
      </c>
      <c r="C17" s="315"/>
      <c r="D17" s="310"/>
      <c r="E17" s="294" t="str">
        <f>HYPERLINK("#LAYOUT_p!lay보PYGENDER","PYGENDER")</f>
        <v>PYGENDER</v>
      </c>
      <c r="F17" s="126">
        <v>1</v>
      </c>
      <c r="G17" s="183" t="s">
        <v>48</v>
      </c>
    </row>
    <row r="18" spans="1:7" s="124" customFormat="1" ht="18" customHeight="1">
      <c r="A18" s="76"/>
      <c r="B18" s="317"/>
      <c r="C18" s="317"/>
      <c r="D18" s="314"/>
      <c r="E18" s="349"/>
      <c r="F18" s="85">
        <v>2</v>
      </c>
      <c r="G18" s="188" t="s">
        <v>49</v>
      </c>
    </row>
    <row r="19" spans="1:7" s="124" customFormat="1" ht="18" customHeight="1">
      <c r="A19" s="76"/>
      <c r="B19" s="346" t="s">
        <v>458</v>
      </c>
      <c r="C19" s="346"/>
      <c r="D19" s="319"/>
      <c r="E19" s="198" t="str">
        <f>HYPERLINK("#LAYOUT_p!lay보PHOMPOP","PHOMPOP")</f>
        <v>PHOMPOP</v>
      </c>
      <c r="F19" s="85" t="s">
        <v>0</v>
      </c>
      <c r="G19" s="188" t="s">
        <v>459</v>
      </c>
    </row>
    <row r="20" spans="1:7" s="124" customFormat="1" ht="18" customHeight="1">
      <c r="A20" s="76"/>
      <c r="B20" s="310" t="s">
        <v>460</v>
      </c>
      <c r="C20" s="342" t="s">
        <v>1748</v>
      </c>
      <c r="D20" s="342" t="s">
        <v>461</v>
      </c>
      <c r="E20" s="294" t="str">
        <f>HYPERLINK("#LAYOUT_p!lay보PRELATE1","PRELATE1~8")</f>
        <v>PRELATE1~8</v>
      </c>
      <c r="F20" s="127">
        <v>1</v>
      </c>
      <c r="G20" s="183" t="s">
        <v>462</v>
      </c>
    </row>
    <row r="21" spans="1:7" s="124" customFormat="1" ht="18" customHeight="1">
      <c r="A21" s="76"/>
      <c r="B21" s="312"/>
      <c r="C21" s="340"/>
      <c r="D21" s="340"/>
      <c r="E21" s="348"/>
      <c r="F21" s="128">
        <v>2</v>
      </c>
      <c r="G21" s="187" t="s">
        <v>463</v>
      </c>
    </row>
    <row r="22" spans="1:7" s="124" customFormat="1" ht="18" customHeight="1">
      <c r="A22" s="76"/>
      <c r="B22" s="312"/>
      <c r="C22" s="340"/>
      <c r="D22" s="340"/>
      <c r="E22" s="348"/>
      <c r="F22" s="128">
        <v>3</v>
      </c>
      <c r="G22" s="187" t="s">
        <v>464</v>
      </c>
    </row>
    <row r="23" spans="1:7" s="124" customFormat="1" ht="18" customHeight="1">
      <c r="A23" s="76"/>
      <c r="B23" s="312"/>
      <c r="C23" s="340"/>
      <c r="D23" s="340"/>
      <c r="E23" s="348"/>
      <c r="F23" s="128">
        <v>4</v>
      </c>
      <c r="G23" s="187" t="s">
        <v>465</v>
      </c>
    </row>
    <row r="24" spans="1:7" s="124" customFormat="1" ht="18" customHeight="1">
      <c r="A24" s="76"/>
      <c r="B24" s="312"/>
      <c r="C24" s="340"/>
      <c r="D24" s="340"/>
      <c r="E24" s="348"/>
      <c r="F24" s="128">
        <v>5</v>
      </c>
      <c r="G24" s="187" t="s">
        <v>466</v>
      </c>
    </row>
    <row r="25" spans="1:7" s="124" customFormat="1" ht="18" customHeight="1">
      <c r="A25" s="76"/>
      <c r="B25" s="312"/>
      <c r="C25" s="340"/>
      <c r="D25" s="340"/>
      <c r="E25" s="348"/>
      <c r="F25" s="128">
        <v>6</v>
      </c>
      <c r="G25" s="187" t="s">
        <v>467</v>
      </c>
    </row>
    <row r="26" spans="1:7" s="124" customFormat="1" ht="18" customHeight="1">
      <c r="A26" s="76"/>
      <c r="B26" s="312"/>
      <c r="C26" s="340"/>
      <c r="D26" s="340"/>
      <c r="E26" s="348"/>
      <c r="F26" s="128">
        <v>7</v>
      </c>
      <c r="G26" s="187" t="s">
        <v>468</v>
      </c>
    </row>
    <row r="27" spans="1:7" s="124" customFormat="1" ht="18" customHeight="1">
      <c r="A27" s="76"/>
      <c r="B27" s="312"/>
      <c r="C27" s="340"/>
      <c r="D27" s="340"/>
      <c r="E27" s="348"/>
      <c r="F27" s="128">
        <v>8</v>
      </c>
      <c r="G27" s="187" t="s">
        <v>469</v>
      </c>
    </row>
    <row r="28" spans="1:7" s="124" customFormat="1" ht="18" customHeight="1">
      <c r="A28" s="76"/>
      <c r="B28" s="312"/>
      <c r="C28" s="340"/>
      <c r="D28" s="340"/>
      <c r="E28" s="348"/>
      <c r="F28" s="128">
        <v>9</v>
      </c>
      <c r="G28" s="187" t="s">
        <v>470</v>
      </c>
    </row>
    <row r="29" spans="1:7" s="124" customFormat="1" ht="18" customHeight="1">
      <c r="A29" s="76"/>
      <c r="B29" s="312"/>
      <c r="C29" s="340"/>
      <c r="D29" s="343"/>
      <c r="E29" s="349"/>
      <c r="F29" s="129">
        <v>10</v>
      </c>
      <c r="G29" s="188" t="s">
        <v>471</v>
      </c>
    </row>
    <row r="30" spans="1:7" s="124" customFormat="1" ht="18" customHeight="1">
      <c r="A30" s="76"/>
      <c r="B30" s="312"/>
      <c r="C30" s="340"/>
      <c r="D30" s="342" t="s">
        <v>21</v>
      </c>
      <c r="E30" s="294" t="str">
        <f>HYPERLINK("#LAYOUT_p!lay보PGENDER1","PGENDER1~8")</f>
        <v>PGENDER1~8</v>
      </c>
      <c r="F30" s="127">
        <v>1</v>
      </c>
      <c r="G30" s="183" t="s">
        <v>48</v>
      </c>
    </row>
    <row r="31" spans="1:7" s="124" customFormat="1" ht="18" customHeight="1">
      <c r="A31" s="76"/>
      <c r="B31" s="312"/>
      <c r="C31" s="340"/>
      <c r="D31" s="343"/>
      <c r="E31" s="349"/>
      <c r="F31" s="129">
        <v>2</v>
      </c>
      <c r="G31" s="188" t="s">
        <v>49</v>
      </c>
    </row>
    <row r="32" spans="1:7" s="124" customFormat="1" ht="18" customHeight="1">
      <c r="A32" s="76"/>
      <c r="B32" s="312"/>
      <c r="C32" s="340"/>
      <c r="D32" s="122" t="s">
        <v>19</v>
      </c>
      <c r="E32" s="199" t="str">
        <f>HYPERLINK("#LAYOUT_p!lay보PBRTA1","PBRTA1~8")</f>
        <v>PBRTA1~8</v>
      </c>
      <c r="F32" s="125" t="s">
        <v>0</v>
      </c>
      <c r="G32" s="189" t="s">
        <v>472</v>
      </c>
    </row>
    <row r="33" spans="1:7" s="124" customFormat="1" ht="18" customHeight="1">
      <c r="A33" s="76"/>
      <c r="B33" s="312"/>
      <c r="C33" s="343"/>
      <c r="D33" s="122" t="s">
        <v>20</v>
      </c>
      <c r="E33" s="200" t="str">
        <f>HYPERLINK("#LAYOUT_p!lay보PBRTB1","PBRTB1~8")</f>
        <v>PBRTB1~8</v>
      </c>
      <c r="F33" s="125" t="s">
        <v>0</v>
      </c>
      <c r="G33" s="189" t="s">
        <v>473</v>
      </c>
    </row>
    <row r="34" spans="1:7" s="124" customFormat="1" ht="18" customHeight="1">
      <c r="A34" s="76"/>
      <c r="B34" s="310" t="s">
        <v>1747</v>
      </c>
      <c r="C34" s="342" t="s">
        <v>1749</v>
      </c>
      <c r="D34" s="342" t="s">
        <v>461</v>
      </c>
      <c r="E34" s="294" t="str">
        <f>HYPERLINK("#LAYOUT_p!lay보PFRELATION1","PFRELATION1~8")</f>
        <v>PFRELATION1~8</v>
      </c>
      <c r="F34" s="127">
        <v>1</v>
      </c>
      <c r="G34" s="183" t="s">
        <v>1486</v>
      </c>
    </row>
    <row r="35" spans="1:7" s="124" customFormat="1" ht="18" customHeight="1">
      <c r="A35" s="76"/>
      <c r="B35" s="312"/>
      <c r="C35" s="340"/>
      <c r="D35" s="340"/>
      <c r="E35" s="348"/>
      <c r="F35" s="128">
        <v>2</v>
      </c>
      <c r="G35" s="187" t="s">
        <v>1487</v>
      </c>
    </row>
    <row r="36" spans="1:7" s="124" customFormat="1" ht="18" customHeight="1">
      <c r="A36" s="76"/>
      <c r="B36" s="312"/>
      <c r="C36" s="340"/>
      <c r="D36" s="340"/>
      <c r="E36" s="348"/>
      <c r="F36" s="128">
        <v>3</v>
      </c>
      <c r="G36" s="187" t="s">
        <v>1488</v>
      </c>
    </row>
    <row r="37" spans="1:7" s="124" customFormat="1" ht="18" customHeight="1">
      <c r="A37" s="76"/>
      <c r="B37" s="312"/>
      <c r="C37" s="340"/>
      <c r="D37" s="340"/>
      <c r="E37" s="348"/>
      <c r="F37" s="128">
        <v>4</v>
      </c>
      <c r="G37" s="187" t="s">
        <v>1489</v>
      </c>
    </row>
    <row r="38" spans="1:7" s="124" customFormat="1" ht="18" customHeight="1">
      <c r="A38" s="76"/>
      <c r="B38" s="312"/>
      <c r="C38" s="340"/>
      <c r="D38" s="340"/>
      <c r="E38" s="348"/>
      <c r="F38" s="128">
        <v>5</v>
      </c>
      <c r="G38" s="187" t="s">
        <v>1490</v>
      </c>
    </row>
    <row r="39" spans="1:7" s="124" customFormat="1" ht="18" customHeight="1">
      <c r="A39" s="76"/>
      <c r="B39" s="312"/>
      <c r="C39" s="340"/>
      <c r="D39" s="340"/>
      <c r="E39" s="348"/>
      <c r="F39" s="128">
        <v>6</v>
      </c>
      <c r="G39" s="187" t="s">
        <v>1491</v>
      </c>
    </row>
    <row r="40" spans="1:7" s="124" customFormat="1" ht="18" customHeight="1">
      <c r="A40" s="76"/>
      <c r="B40" s="312"/>
      <c r="C40" s="340"/>
      <c r="D40" s="340"/>
      <c r="E40" s="348"/>
      <c r="F40" s="128">
        <v>7</v>
      </c>
      <c r="G40" s="187" t="s">
        <v>1492</v>
      </c>
    </row>
    <row r="41" spans="1:7" s="124" customFormat="1" ht="18" customHeight="1">
      <c r="A41" s="76"/>
      <c r="B41" s="312"/>
      <c r="C41" s="340"/>
      <c r="D41" s="340"/>
      <c r="E41" s="348"/>
      <c r="F41" s="128">
        <v>8</v>
      </c>
      <c r="G41" s="187" t="s">
        <v>1493</v>
      </c>
    </row>
    <row r="42" spans="1:7" s="124" customFormat="1" ht="18" customHeight="1">
      <c r="A42" s="76"/>
      <c r="B42" s="312"/>
      <c r="C42" s="340"/>
      <c r="D42" s="340"/>
      <c r="E42" s="348"/>
      <c r="F42" s="128">
        <v>9</v>
      </c>
      <c r="G42" s="187" t="s">
        <v>1494</v>
      </c>
    </row>
    <row r="43" spans="1:7" s="124" customFormat="1" ht="18" customHeight="1">
      <c r="A43" s="76"/>
      <c r="B43" s="312"/>
      <c r="C43" s="340"/>
      <c r="D43" s="343"/>
      <c r="E43" s="349"/>
      <c r="F43" s="129">
        <v>10</v>
      </c>
      <c r="G43" s="188" t="s">
        <v>1495</v>
      </c>
    </row>
    <row r="44" spans="1:7" s="124" customFormat="1" ht="18" customHeight="1">
      <c r="A44" s="76"/>
      <c r="B44" s="312"/>
      <c r="C44" s="340"/>
      <c r="D44" s="342" t="s">
        <v>21</v>
      </c>
      <c r="E44" s="294" t="str">
        <f>HYPERLINK("#LAYOUT_p!lay보PFGENDER1","PFGENDER1~8")</f>
        <v>PFGENDER1~8</v>
      </c>
      <c r="F44" s="127">
        <v>1</v>
      </c>
      <c r="G44" s="183" t="s">
        <v>48</v>
      </c>
    </row>
    <row r="45" spans="1:7" s="124" customFormat="1" ht="18" customHeight="1">
      <c r="A45" s="76"/>
      <c r="B45" s="312"/>
      <c r="C45" s="340"/>
      <c r="D45" s="343"/>
      <c r="E45" s="349"/>
      <c r="F45" s="129">
        <v>2</v>
      </c>
      <c r="G45" s="188" t="s">
        <v>49</v>
      </c>
    </row>
    <row r="46" spans="1:7" s="124" customFormat="1" ht="18" customHeight="1">
      <c r="A46" s="76"/>
      <c r="B46" s="312"/>
      <c r="C46" s="340"/>
      <c r="D46" s="122" t="s">
        <v>19</v>
      </c>
      <c r="E46" s="199" t="str">
        <f>HYPERLINK("#LAYOUT_p!lay보PFBRTA1","PFBRTA1~8")</f>
        <v>PFBRTA1~8</v>
      </c>
      <c r="F46" s="125" t="s">
        <v>1683</v>
      </c>
      <c r="G46" s="189" t="s">
        <v>472</v>
      </c>
    </row>
    <row r="47" spans="1:7" s="124" customFormat="1" ht="18" customHeight="1">
      <c r="A47" s="76"/>
      <c r="B47" s="312"/>
      <c r="C47" s="343"/>
      <c r="D47" s="122" t="s">
        <v>20</v>
      </c>
      <c r="E47" s="200" t="str">
        <f>HYPERLINK("#LAYOUT_p!lay보PFBRTB1","PFBRTB1~8")</f>
        <v>PFBRTB1~8</v>
      </c>
      <c r="F47" s="125" t="s">
        <v>1684</v>
      </c>
      <c r="G47" s="190" t="s">
        <v>473</v>
      </c>
    </row>
    <row r="48" spans="1:7" s="124" customFormat="1" ht="18" customHeight="1">
      <c r="A48" s="76"/>
      <c r="B48" s="310" t="s">
        <v>474</v>
      </c>
      <c r="C48" s="309" t="s">
        <v>475</v>
      </c>
      <c r="D48" s="310"/>
      <c r="E48" s="350" t="str">
        <f>HYPERLINK("#LAYOUT_p!lay보PYBRP1","PYBRP1")</f>
        <v>PYBRP1</v>
      </c>
      <c r="F48" s="126">
        <v>1</v>
      </c>
      <c r="G48" s="183" t="s">
        <v>476</v>
      </c>
    </row>
    <row r="49" spans="1:7" s="124" customFormat="1" ht="18" customHeight="1">
      <c r="A49" s="76"/>
      <c r="B49" s="312"/>
      <c r="C49" s="313"/>
      <c r="D49" s="314"/>
      <c r="E49" s="288"/>
      <c r="F49" s="85">
        <v>2</v>
      </c>
      <c r="G49" s="188" t="s">
        <v>477</v>
      </c>
    </row>
    <row r="50" spans="1:7" s="124" customFormat="1" ht="18" customHeight="1">
      <c r="A50" s="76"/>
      <c r="B50" s="312"/>
      <c r="C50" s="309" t="s">
        <v>1091</v>
      </c>
      <c r="D50" s="310"/>
      <c r="E50" s="287" t="str">
        <f>HYPERLINK("#LAYOUT_p!lay보PYBRP2","PYBRP2")</f>
        <v>PYBRP2</v>
      </c>
      <c r="F50" s="78">
        <v>1</v>
      </c>
      <c r="G50" s="179" t="s">
        <v>1074</v>
      </c>
    </row>
    <row r="51" spans="1:7" s="124" customFormat="1" ht="18" customHeight="1">
      <c r="A51" s="76"/>
      <c r="B51" s="312"/>
      <c r="C51" s="311"/>
      <c r="D51" s="312"/>
      <c r="E51" s="289"/>
      <c r="F51" s="79">
        <v>2</v>
      </c>
      <c r="G51" s="178" t="s">
        <v>1075</v>
      </c>
    </row>
    <row r="52" spans="1:7" s="124" customFormat="1" ht="18" customHeight="1">
      <c r="A52" s="76"/>
      <c r="B52" s="312"/>
      <c r="C52" s="311"/>
      <c r="D52" s="312"/>
      <c r="E52" s="289"/>
      <c r="F52" s="79">
        <v>3</v>
      </c>
      <c r="G52" s="178" t="s">
        <v>1076</v>
      </c>
    </row>
    <row r="53" spans="1:7" s="124" customFormat="1" ht="18" customHeight="1">
      <c r="A53" s="76"/>
      <c r="B53" s="312"/>
      <c r="C53" s="311"/>
      <c r="D53" s="312"/>
      <c r="E53" s="289"/>
      <c r="F53" s="79">
        <v>4</v>
      </c>
      <c r="G53" s="178" t="s">
        <v>1077</v>
      </c>
    </row>
    <row r="54" spans="1:7" s="124" customFormat="1" ht="18" customHeight="1">
      <c r="A54" s="76"/>
      <c r="B54" s="312"/>
      <c r="C54" s="311"/>
      <c r="D54" s="312"/>
      <c r="E54" s="289"/>
      <c r="F54" s="79">
        <v>5</v>
      </c>
      <c r="G54" s="178" t="s">
        <v>1078</v>
      </c>
    </row>
    <row r="55" spans="1:7" s="124" customFormat="1" ht="18" customHeight="1">
      <c r="A55" s="76"/>
      <c r="B55" s="312"/>
      <c r="C55" s="311"/>
      <c r="D55" s="312"/>
      <c r="E55" s="289"/>
      <c r="F55" s="79">
        <v>6</v>
      </c>
      <c r="G55" s="178" t="s">
        <v>1079</v>
      </c>
    </row>
    <row r="56" spans="1:7" s="124" customFormat="1" ht="18" customHeight="1">
      <c r="A56" s="76"/>
      <c r="B56" s="312"/>
      <c r="C56" s="311"/>
      <c r="D56" s="312"/>
      <c r="E56" s="289"/>
      <c r="F56" s="79">
        <v>7</v>
      </c>
      <c r="G56" s="178" t="s">
        <v>1080</v>
      </c>
    </row>
    <row r="57" spans="1:7" s="124" customFormat="1" ht="18" customHeight="1">
      <c r="A57" s="76"/>
      <c r="B57" s="312"/>
      <c r="C57" s="311"/>
      <c r="D57" s="312"/>
      <c r="E57" s="289"/>
      <c r="F57" s="79">
        <v>8</v>
      </c>
      <c r="G57" s="178" t="s">
        <v>1081</v>
      </c>
    </row>
    <row r="58" spans="1:7" s="124" customFormat="1" ht="18" customHeight="1">
      <c r="A58" s="76"/>
      <c r="B58" s="312"/>
      <c r="C58" s="311"/>
      <c r="D58" s="312"/>
      <c r="E58" s="289"/>
      <c r="F58" s="79">
        <v>9</v>
      </c>
      <c r="G58" s="178" t="s">
        <v>1082</v>
      </c>
    </row>
    <row r="59" spans="1:7" s="124" customFormat="1" ht="18" customHeight="1">
      <c r="A59" s="76"/>
      <c r="B59" s="312"/>
      <c r="C59" s="311"/>
      <c r="D59" s="312"/>
      <c r="E59" s="289"/>
      <c r="F59" s="79">
        <v>10</v>
      </c>
      <c r="G59" s="178" t="s">
        <v>1083</v>
      </c>
    </row>
    <row r="60" spans="1:7" s="124" customFormat="1" ht="18" customHeight="1">
      <c r="A60" s="76"/>
      <c r="B60" s="312"/>
      <c r="C60" s="311"/>
      <c r="D60" s="312"/>
      <c r="E60" s="289"/>
      <c r="F60" s="79">
        <v>11</v>
      </c>
      <c r="G60" s="178" t="s">
        <v>1084</v>
      </c>
    </row>
    <row r="61" spans="1:7" s="124" customFormat="1" ht="18" customHeight="1">
      <c r="A61" s="76"/>
      <c r="B61" s="312"/>
      <c r="C61" s="311"/>
      <c r="D61" s="312"/>
      <c r="E61" s="289"/>
      <c r="F61" s="79">
        <v>12</v>
      </c>
      <c r="G61" s="178" t="s">
        <v>1085</v>
      </c>
    </row>
    <row r="62" spans="1:7" s="124" customFormat="1" ht="18" customHeight="1">
      <c r="A62" s="76"/>
      <c r="B62" s="312"/>
      <c r="C62" s="311"/>
      <c r="D62" s="312"/>
      <c r="E62" s="289"/>
      <c r="F62" s="79">
        <v>13</v>
      </c>
      <c r="G62" s="178" t="s">
        <v>1086</v>
      </c>
    </row>
    <row r="63" spans="1:7" s="124" customFormat="1" ht="18" customHeight="1">
      <c r="A63" s="76"/>
      <c r="B63" s="312"/>
      <c r="C63" s="311"/>
      <c r="D63" s="312"/>
      <c r="E63" s="289"/>
      <c r="F63" s="79">
        <v>14</v>
      </c>
      <c r="G63" s="178" t="s">
        <v>1087</v>
      </c>
    </row>
    <row r="64" spans="1:7" s="124" customFormat="1" ht="18" customHeight="1">
      <c r="A64" s="76"/>
      <c r="B64" s="312"/>
      <c r="C64" s="311"/>
      <c r="D64" s="312"/>
      <c r="E64" s="289"/>
      <c r="F64" s="79">
        <v>15</v>
      </c>
      <c r="G64" s="178" t="s">
        <v>1088</v>
      </c>
    </row>
    <row r="65" spans="1:7" s="124" customFormat="1" ht="18" customHeight="1">
      <c r="A65" s="76"/>
      <c r="B65" s="312"/>
      <c r="C65" s="311"/>
      <c r="D65" s="312"/>
      <c r="E65" s="289"/>
      <c r="F65" s="79">
        <v>16</v>
      </c>
      <c r="G65" s="178" t="s">
        <v>1089</v>
      </c>
    </row>
    <row r="66" spans="1:7" s="124" customFormat="1" ht="18" customHeight="1">
      <c r="A66" s="76"/>
      <c r="B66" s="312"/>
      <c r="C66" s="313"/>
      <c r="D66" s="314"/>
      <c r="E66" s="288"/>
      <c r="F66" s="79">
        <v>17</v>
      </c>
      <c r="G66" s="178" t="s">
        <v>1090</v>
      </c>
    </row>
    <row r="67" spans="1:7" s="124" customFormat="1" ht="18" customHeight="1">
      <c r="A67" s="76"/>
      <c r="B67" s="314"/>
      <c r="C67" s="318" t="s">
        <v>478</v>
      </c>
      <c r="D67" s="319"/>
      <c r="E67" s="198" t="str">
        <f>HYPERLINK("#LAYOUT_p!lay보PYBRP3","PYBRP3")</f>
        <v>PYBRP3</v>
      </c>
      <c r="F67" s="125" t="s">
        <v>1</v>
      </c>
      <c r="G67" s="189" t="s">
        <v>479</v>
      </c>
    </row>
    <row r="68" spans="1:7" s="124" customFormat="1" ht="18" customHeight="1">
      <c r="A68" s="76"/>
      <c r="B68" s="315" t="s">
        <v>480</v>
      </c>
      <c r="C68" s="315"/>
      <c r="D68" s="315"/>
      <c r="E68" s="287" t="str">
        <f>HYPERLINK("#LAYOUT_p!lay보PFAM1A00","PFAM1A00")</f>
        <v>PFAM1A00</v>
      </c>
      <c r="F68" s="127">
        <v>1</v>
      </c>
      <c r="G68" s="183" t="s">
        <v>481</v>
      </c>
    </row>
    <row r="69" spans="1:7" s="124" customFormat="1" ht="18" customHeight="1">
      <c r="A69" s="76"/>
      <c r="B69" s="316"/>
      <c r="C69" s="316"/>
      <c r="D69" s="316"/>
      <c r="E69" s="289"/>
      <c r="F69" s="128">
        <v>2</v>
      </c>
      <c r="G69" s="187" t="s">
        <v>482</v>
      </c>
    </row>
    <row r="70" spans="1:7" s="124" customFormat="1" ht="18" customHeight="1">
      <c r="A70" s="76"/>
      <c r="B70" s="316"/>
      <c r="C70" s="316"/>
      <c r="D70" s="316"/>
      <c r="E70" s="289"/>
      <c r="F70" s="128">
        <v>3</v>
      </c>
      <c r="G70" s="187" t="s">
        <v>483</v>
      </c>
    </row>
    <row r="71" spans="1:7" s="124" customFormat="1" ht="18" customHeight="1">
      <c r="A71" s="76"/>
      <c r="B71" s="316"/>
      <c r="C71" s="316"/>
      <c r="D71" s="316"/>
      <c r="E71" s="289"/>
      <c r="F71" s="128">
        <v>4</v>
      </c>
      <c r="G71" s="187" t="s">
        <v>484</v>
      </c>
    </row>
    <row r="72" spans="1:7" s="124" customFormat="1" ht="18" customHeight="1">
      <c r="A72" s="76"/>
      <c r="B72" s="316"/>
      <c r="C72" s="316"/>
      <c r="D72" s="316"/>
      <c r="E72" s="289"/>
      <c r="F72" s="128">
        <v>5</v>
      </c>
      <c r="G72" s="187" t="s">
        <v>485</v>
      </c>
    </row>
    <row r="73" spans="1:7" s="124" customFormat="1" ht="18" customHeight="1">
      <c r="A73" s="76"/>
      <c r="B73" s="316"/>
      <c r="C73" s="316"/>
      <c r="D73" s="316"/>
      <c r="E73" s="288"/>
      <c r="F73" s="129">
        <v>6</v>
      </c>
      <c r="G73" s="188" t="s">
        <v>101</v>
      </c>
    </row>
    <row r="74" spans="1:7" s="124" customFormat="1" ht="18" customHeight="1">
      <c r="A74" s="76"/>
      <c r="B74" s="317"/>
      <c r="C74" s="317"/>
      <c r="D74" s="317"/>
      <c r="E74" s="201" t="str">
        <f>HYPERLINK("#LAYOUT_p!lay보PFAM1A00_T","PFAM1A00_T")</f>
        <v>PFAM1A00_T</v>
      </c>
      <c r="F74" s="125" t="s">
        <v>1</v>
      </c>
      <c r="G74" s="186" t="s">
        <v>102</v>
      </c>
    </row>
    <row r="75" spans="1:7" s="124" customFormat="1" ht="18" customHeight="1">
      <c r="A75" s="76"/>
      <c r="B75" s="315" t="s">
        <v>486</v>
      </c>
      <c r="C75" s="315"/>
      <c r="D75" s="310"/>
      <c r="E75" s="347" t="str">
        <f>HYPERLINK("#LAYOUT_p!lay보PEDU1A00","PEDU1A00")</f>
        <v>PEDU1A00</v>
      </c>
      <c r="F75" s="126">
        <v>1</v>
      </c>
      <c r="G75" s="190" t="s">
        <v>487</v>
      </c>
    </row>
    <row r="76" spans="1:7" s="124" customFormat="1" ht="18" customHeight="1">
      <c r="A76" s="76"/>
      <c r="B76" s="317"/>
      <c r="C76" s="317"/>
      <c r="D76" s="314"/>
      <c r="E76" s="349"/>
      <c r="F76" s="85">
        <v>2</v>
      </c>
      <c r="G76" s="191" t="s">
        <v>488</v>
      </c>
    </row>
    <row r="77" spans="1:7" s="124" customFormat="1" ht="18" customHeight="1">
      <c r="A77" s="76"/>
      <c r="B77" s="310" t="s">
        <v>489</v>
      </c>
      <c r="C77" s="309" t="s">
        <v>490</v>
      </c>
      <c r="D77" s="310"/>
      <c r="E77" s="287" t="str">
        <f>HYPERLINK("#LAYOUT_p!lay보PEDU1B01","PEDU1B01")</f>
        <v>PEDU1B01</v>
      </c>
      <c r="F77" s="126">
        <v>1</v>
      </c>
      <c r="G77" s="183" t="s">
        <v>491</v>
      </c>
    </row>
    <row r="78" spans="1:7" s="124" customFormat="1" ht="18" customHeight="1">
      <c r="A78" s="76"/>
      <c r="B78" s="312"/>
      <c r="C78" s="311"/>
      <c r="D78" s="312"/>
      <c r="E78" s="289"/>
      <c r="F78" s="84">
        <v>2</v>
      </c>
      <c r="G78" s="187" t="s">
        <v>492</v>
      </c>
    </row>
    <row r="79" spans="1:7" s="124" customFormat="1" ht="18" customHeight="1">
      <c r="A79" s="76"/>
      <c r="B79" s="312"/>
      <c r="C79" s="311"/>
      <c r="D79" s="312"/>
      <c r="E79" s="289"/>
      <c r="F79" s="84">
        <v>3</v>
      </c>
      <c r="G79" s="187" t="s">
        <v>493</v>
      </c>
    </row>
    <row r="80" spans="1:7" s="124" customFormat="1" ht="18" customHeight="1">
      <c r="A80" s="76"/>
      <c r="B80" s="312"/>
      <c r="C80" s="311"/>
      <c r="D80" s="312"/>
      <c r="E80" s="289"/>
      <c r="F80" s="84">
        <v>4</v>
      </c>
      <c r="G80" s="187" t="s">
        <v>494</v>
      </c>
    </row>
    <row r="81" spans="1:7" s="124" customFormat="1" ht="18" customHeight="1">
      <c r="A81" s="76"/>
      <c r="B81" s="312"/>
      <c r="C81" s="311"/>
      <c r="D81" s="312"/>
      <c r="E81" s="289"/>
      <c r="F81" s="84">
        <v>5</v>
      </c>
      <c r="G81" s="187" t="s">
        <v>495</v>
      </c>
    </row>
    <row r="82" spans="1:7" s="124" customFormat="1" ht="18" customHeight="1">
      <c r="A82" s="76"/>
      <c r="B82" s="312"/>
      <c r="C82" s="311"/>
      <c r="D82" s="312"/>
      <c r="E82" s="289"/>
      <c r="F82" s="84">
        <v>6</v>
      </c>
      <c r="G82" s="187" t="s">
        <v>496</v>
      </c>
    </row>
    <row r="83" spans="1:7" s="124" customFormat="1" ht="18" customHeight="1">
      <c r="A83" s="76"/>
      <c r="B83" s="312"/>
      <c r="C83" s="311"/>
      <c r="D83" s="312"/>
      <c r="E83" s="289"/>
      <c r="F83" s="84">
        <v>7</v>
      </c>
      <c r="G83" s="187" t="s">
        <v>497</v>
      </c>
    </row>
    <row r="84" spans="1:7" s="124" customFormat="1" ht="18" customHeight="1">
      <c r="A84" s="76"/>
      <c r="B84" s="312"/>
      <c r="C84" s="313"/>
      <c r="D84" s="314"/>
      <c r="E84" s="288"/>
      <c r="F84" s="85">
        <v>8</v>
      </c>
      <c r="G84" s="188" t="s">
        <v>101</v>
      </c>
    </row>
    <row r="85" spans="1:7" s="124" customFormat="1" ht="18" customHeight="1">
      <c r="A85" s="76"/>
      <c r="B85" s="312"/>
      <c r="C85" s="309" t="s">
        <v>498</v>
      </c>
      <c r="D85" s="310"/>
      <c r="E85" s="287" t="str">
        <f>HYPERLINK("#LAYOUT_p!lay보PEDU1B02","PEDU1B02")</f>
        <v>PEDU1B02</v>
      </c>
      <c r="F85" s="126">
        <v>1</v>
      </c>
      <c r="G85" s="183" t="s">
        <v>491</v>
      </c>
    </row>
    <row r="86" spans="1:7" s="124" customFormat="1" ht="18" customHeight="1">
      <c r="A86" s="76"/>
      <c r="B86" s="312"/>
      <c r="C86" s="311"/>
      <c r="D86" s="312"/>
      <c r="E86" s="289"/>
      <c r="F86" s="84">
        <v>2</v>
      </c>
      <c r="G86" s="187" t="s">
        <v>492</v>
      </c>
    </row>
    <row r="87" spans="1:7" s="124" customFormat="1" ht="18" customHeight="1">
      <c r="A87" s="76"/>
      <c r="B87" s="312"/>
      <c r="C87" s="311"/>
      <c r="D87" s="312"/>
      <c r="E87" s="289"/>
      <c r="F87" s="84">
        <v>3</v>
      </c>
      <c r="G87" s="187" t="s">
        <v>493</v>
      </c>
    </row>
    <row r="88" spans="1:7" s="124" customFormat="1" ht="18" customHeight="1">
      <c r="A88" s="76"/>
      <c r="B88" s="312"/>
      <c r="C88" s="311"/>
      <c r="D88" s="312"/>
      <c r="E88" s="289"/>
      <c r="F88" s="84">
        <v>4</v>
      </c>
      <c r="G88" s="187" t="s">
        <v>494</v>
      </c>
    </row>
    <row r="89" spans="1:7" s="124" customFormat="1" ht="18" customHeight="1">
      <c r="A89" s="76"/>
      <c r="B89" s="312"/>
      <c r="C89" s="311"/>
      <c r="D89" s="312"/>
      <c r="E89" s="289"/>
      <c r="F89" s="84">
        <v>5</v>
      </c>
      <c r="G89" s="187" t="s">
        <v>495</v>
      </c>
    </row>
    <row r="90" spans="1:7" s="124" customFormat="1" ht="18" customHeight="1">
      <c r="A90" s="76"/>
      <c r="B90" s="312"/>
      <c r="C90" s="311"/>
      <c r="D90" s="312"/>
      <c r="E90" s="289"/>
      <c r="F90" s="84">
        <v>6</v>
      </c>
      <c r="G90" s="187" t="s">
        <v>496</v>
      </c>
    </row>
    <row r="91" spans="1:7" s="124" customFormat="1" ht="18" customHeight="1">
      <c r="A91" s="76"/>
      <c r="B91" s="312"/>
      <c r="C91" s="311"/>
      <c r="D91" s="312"/>
      <c r="E91" s="289"/>
      <c r="F91" s="84">
        <v>7</v>
      </c>
      <c r="G91" s="187" t="s">
        <v>497</v>
      </c>
    </row>
    <row r="92" spans="1:7" s="124" customFormat="1" ht="18" customHeight="1">
      <c r="A92" s="76"/>
      <c r="B92" s="312"/>
      <c r="C92" s="313"/>
      <c r="D92" s="314"/>
      <c r="E92" s="288"/>
      <c r="F92" s="85">
        <v>8</v>
      </c>
      <c r="G92" s="188" t="s">
        <v>101</v>
      </c>
    </row>
    <row r="93" spans="1:7" s="124" customFormat="1" ht="18" customHeight="1">
      <c r="A93" s="76"/>
      <c r="B93" s="314"/>
      <c r="C93" s="318" t="s">
        <v>102</v>
      </c>
      <c r="D93" s="319"/>
      <c r="E93" s="197" t="str">
        <f>HYPERLINK("#LAYOUT_p!lay보PEDU1B02_T","PEDU1B02_T")</f>
        <v>PEDU1B02_T</v>
      </c>
      <c r="F93" s="126" t="s">
        <v>1</v>
      </c>
      <c r="G93" s="183"/>
    </row>
    <row r="94" spans="1:7" s="124" customFormat="1" ht="18" customHeight="1">
      <c r="A94" s="76"/>
      <c r="B94" s="346" t="s">
        <v>499</v>
      </c>
      <c r="C94" s="346"/>
      <c r="D94" s="319"/>
      <c r="E94" s="197" t="str">
        <f>HYPERLINK("#LAYOUT_p!lay보PEDU1C00","PEDU1C00")</f>
        <v>PEDU1C00</v>
      </c>
      <c r="F94" s="125" t="s">
        <v>1</v>
      </c>
      <c r="G94" s="186" t="s">
        <v>500</v>
      </c>
    </row>
    <row r="95" spans="1:7" s="124" customFormat="1" ht="18" customHeight="1">
      <c r="A95" s="76"/>
      <c r="B95" s="310" t="s">
        <v>501</v>
      </c>
      <c r="C95" s="309" t="s">
        <v>490</v>
      </c>
      <c r="D95" s="310"/>
      <c r="E95" s="287" t="str">
        <f>HYPERLINK("#LAYOUT_p!lay보PEDU1B03","PEDU1B03")</f>
        <v>PEDU1B03</v>
      </c>
      <c r="F95" s="126">
        <v>1</v>
      </c>
      <c r="G95" s="183" t="s">
        <v>502</v>
      </c>
    </row>
    <row r="96" spans="1:7" s="124" customFormat="1" ht="18" customHeight="1">
      <c r="A96" s="76"/>
      <c r="B96" s="312"/>
      <c r="C96" s="311"/>
      <c r="D96" s="312"/>
      <c r="E96" s="289"/>
      <c r="F96" s="84">
        <v>2</v>
      </c>
      <c r="G96" s="187" t="s">
        <v>503</v>
      </c>
    </row>
    <row r="97" spans="1:7" s="124" customFormat="1" ht="18" customHeight="1">
      <c r="A97" s="76"/>
      <c r="B97" s="312"/>
      <c r="C97" s="311"/>
      <c r="D97" s="312"/>
      <c r="E97" s="289"/>
      <c r="F97" s="84">
        <v>3</v>
      </c>
      <c r="G97" s="187" t="s">
        <v>504</v>
      </c>
    </row>
    <row r="98" spans="1:7" s="124" customFormat="1" ht="18" customHeight="1">
      <c r="A98" s="76"/>
      <c r="B98" s="312"/>
      <c r="C98" s="311"/>
      <c r="D98" s="312"/>
      <c r="E98" s="289"/>
      <c r="F98" s="84">
        <v>4</v>
      </c>
      <c r="G98" s="187" t="s">
        <v>505</v>
      </c>
    </row>
    <row r="99" spans="1:7" s="124" customFormat="1" ht="18" customHeight="1">
      <c r="A99" s="76"/>
      <c r="B99" s="312"/>
      <c r="C99" s="311"/>
      <c r="D99" s="312"/>
      <c r="E99" s="289"/>
      <c r="F99" s="84">
        <v>5</v>
      </c>
      <c r="G99" s="187" t="s">
        <v>506</v>
      </c>
    </row>
    <row r="100" spans="1:7" s="124" customFormat="1" ht="18" customHeight="1">
      <c r="A100" s="76"/>
      <c r="B100" s="312"/>
      <c r="C100" s="311"/>
      <c r="D100" s="312"/>
      <c r="E100" s="289"/>
      <c r="F100" s="84">
        <v>6</v>
      </c>
      <c r="G100" s="187" t="s">
        <v>507</v>
      </c>
    </row>
    <row r="101" spans="1:7" s="124" customFormat="1" ht="18" customHeight="1">
      <c r="A101" s="76"/>
      <c r="B101" s="312"/>
      <c r="C101" s="311"/>
      <c r="D101" s="312"/>
      <c r="E101" s="289"/>
      <c r="F101" s="84">
        <v>7</v>
      </c>
      <c r="G101" s="187" t="s">
        <v>508</v>
      </c>
    </row>
    <row r="102" spans="1:7" s="124" customFormat="1" ht="18" customHeight="1">
      <c r="A102" s="76"/>
      <c r="B102" s="312"/>
      <c r="C102" s="313"/>
      <c r="D102" s="314"/>
      <c r="E102" s="288"/>
      <c r="F102" s="85">
        <v>8</v>
      </c>
      <c r="G102" s="188" t="s">
        <v>509</v>
      </c>
    </row>
    <row r="103" spans="1:7" s="124" customFormat="1" ht="18" customHeight="1">
      <c r="A103" s="76"/>
      <c r="B103" s="312"/>
      <c r="C103" s="309" t="s">
        <v>498</v>
      </c>
      <c r="D103" s="310"/>
      <c r="E103" s="287" t="str">
        <f>HYPERLINK("#LAYOUT_p!lay보PEDU1B04","PEDU1B04")</f>
        <v>PEDU1B04</v>
      </c>
      <c r="F103" s="126">
        <v>1</v>
      </c>
      <c r="G103" s="183" t="s">
        <v>502</v>
      </c>
    </row>
    <row r="104" spans="1:7" s="124" customFormat="1" ht="18" customHeight="1">
      <c r="A104" s="76"/>
      <c r="B104" s="312"/>
      <c r="C104" s="311"/>
      <c r="D104" s="312"/>
      <c r="E104" s="289"/>
      <c r="F104" s="84">
        <v>2</v>
      </c>
      <c r="G104" s="187" t="s">
        <v>503</v>
      </c>
    </row>
    <row r="105" spans="1:7" s="124" customFormat="1" ht="18" customHeight="1">
      <c r="A105" s="76"/>
      <c r="B105" s="312"/>
      <c r="C105" s="311"/>
      <c r="D105" s="312"/>
      <c r="E105" s="289"/>
      <c r="F105" s="84">
        <v>3</v>
      </c>
      <c r="G105" s="187" t="s">
        <v>504</v>
      </c>
    </row>
    <row r="106" spans="1:7" s="124" customFormat="1" ht="18" customHeight="1">
      <c r="A106" s="76"/>
      <c r="B106" s="312"/>
      <c r="C106" s="311"/>
      <c r="D106" s="312"/>
      <c r="E106" s="289"/>
      <c r="F106" s="84">
        <v>4</v>
      </c>
      <c r="G106" s="187" t="s">
        <v>505</v>
      </c>
    </row>
    <row r="107" spans="1:7" s="124" customFormat="1" ht="18" customHeight="1">
      <c r="A107" s="76"/>
      <c r="B107" s="312"/>
      <c r="C107" s="311"/>
      <c r="D107" s="312"/>
      <c r="E107" s="289"/>
      <c r="F107" s="84">
        <v>5</v>
      </c>
      <c r="G107" s="187" t="s">
        <v>506</v>
      </c>
    </row>
    <row r="108" spans="1:7" s="124" customFormat="1" ht="18" customHeight="1">
      <c r="A108" s="76"/>
      <c r="B108" s="312"/>
      <c r="C108" s="311"/>
      <c r="D108" s="312"/>
      <c r="E108" s="289"/>
      <c r="F108" s="84">
        <v>6</v>
      </c>
      <c r="G108" s="187" t="s">
        <v>507</v>
      </c>
    </row>
    <row r="109" spans="1:7" s="124" customFormat="1" ht="18" customHeight="1">
      <c r="A109" s="76"/>
      <c r="B109" s="312"/>
      <c r="C109" s="311"/>
      <c r="D109" s="312"/>
      <c r="E109" s="289"/>
      <c r="F109" s="84">
        <v>7</v>
      </c>
      <c r="G109" s="187" t="s">
        <v>508</v>
      </c>
    </row>
    <row r="110" spans="1:7" s="124" customFormat="1" ht="18" customHeight="1">
      <c r="A110" s="76"/>
      <c r="B110" s="312"/>
      <c r="C110" s="313"/>
      <c r="D110" s="314"/>
      <c r="E110" s="288"/>
      <c r="F110" s="85">
        <v>8</v>
      </c>
      <c r="G110" s="188" t="s">
        <v>509</v>
      </c>
    </row>
    <row r="111" spans="1:7" s="124" customFormat="1" ht="18" customHeight="1">
      <c r="A111" s="76"/>
      <c r="B111" s="314"/>
      <c r="C111" s="318" t="s">
        <v>102</v>
      </c>
      <c r="D111" s="319"/>
      <c r="E111" s="197" t="str">
        <f>HYPERLINK("#LAYOUT_p!lay보PEDU1B04_T","PEDU1B04_T")</f>
        <v>PEDU1B04_T</v>
      </c>
      <c r="F111" s="125" t="s">
        <v>1</v>
      </c>
      <c r="G111" s="186"/>
    </row>
    <row r="112" spans="1:7" s="124" customFormat="1" ht="18" customHeight="1">
      <c r="A112" s="76"/>
      <c r="B112" s="310" t="s">
        <v>510</v>
      </c>
      <c r="C112" s="309" t="s">
        <v>511</v>
      </c>
      <c r="D112" s="310"/>
      <c r="E112" s="287" t="str">
        <f>HYPERLINK("#LAYOUT_p!lay보PFAM2A01","PFAM2A01")</f>
        <v>PFAM2A01</v>
      </c>
      <c r="F112" s="126">
        <v>1</v>
      </c>
      <c r="G112" s="183" t="s">
        <v>159</v>
      </c>
    </row>
    <row r="113" spans="1:7" s="124" customFormat="1" ht="18" customHeight="1">
      <c r="A113" s="76"/>
      <c r="B113" s="312"/>
      <c r="C113" s="311"/>
      <c r="D113" s="312"/>
      <c r="E113" s="289"/>
      <c r="F113" s="84">
        <v>2</v>
      </c>
      <c r="G113" s="187" t="s">
        <v>154</v>
      </c>
    </row>
    <row r="114" spans="1:7" s="124" customFormat="1" ht="18" customHeight="1">
      <c r="A114" s="76"/>
      <c r="B114" s="312"/>
      <c r="C114" s="311"/>
      <c r="D114" s="312"/>
      <c r="E114" s="289"/>
      <c r="F114" s="84">
        <v>3</v>
      </c>
      <c r="G114" s="187" t="s">
        <v>451</v>
      </c>
    </row>
    <row r="115" spans="1:7" s="124" customFormat="1" ht="18" customHeight="1">
      <c r="A115" s="76"/>
      <c r="B115" s="312"/>
      <c r="C115" s="311"/>
      <c r="D115" s="312"/>
      <c r="E115" s="289"/>
      <c r="F115" s="84">
        <v>4</v>
      </c>
      <c r="G115" s="187" t="s">
        <v>452</v>
      </c>
    </row>
    <row r="116" spans="1:7" s="124" customFormat="1" ht="18" customHeight="1">
      <c r="A116" s="76"/>
      <c r="B116" s="312"/>
      <c r="C116" s="311"/>
      <c r="D116" s="312"/>
      <c r="E116" s="289"/>
      <c r="F116" s="84">
        <v>5</v>
      </c>
      <c r="G116" s="187" t="s">
        <v>512</v>
      </c>
    </row>
    <row r="117" spans="1:7" s="124" customFormat="1" ht="18" customHeight="1">
      <c r="A117" s="76"/>
      <c r="B117" s="312"/>
      <c r="C117" s="311"/>
      <c r="D117" s="312"/>
      <c r="E117" s="289"/>
      <c r="F117" s="84">
        <v>6</v>
      </c>
      <c r="G117" s="187" t="s">
        <v>470</v>
      </c>
    </row>
    <row r="118" spans="1:7" s="124" customFormat="1" ht="18" customHeight="1">
      <c r="A118" s="76"/>
      <c r="B118" s="312"/>
      <c r="C118" s="311"/>
      <c r="D118" s="312"/>
      <c r="E118" s="288"/>
      <c r="F118" s="85">
        <v>7</v>
      </c>
      <c r="G118" s="188" t="s">
        <v>101</v>
      </c>
    </row>
    <row r="119" spans="1:7" s="124" customFormat="1" ht="18" customHeight="1">
      <c r="A119" s="76"/>
      <c r="B119" s="312"/>
      <c r="C119" s="313"/>
      <c r="D119" s="314"/>
      <c r="E119" s="197" t="str">
        <f>HYPERLINK("#LAYOUT_p!lay보PFAM2A01_T","PFAM2A01_T")</f>
        <v>PFAM2A01_T</v>
      </c>
      <c r="F119" s="125" t="s">
        <v>1</v>
      </c>
      <c r="G119" s="186" t="s">
        <v>102</v>
      </c>
    </row>
    <row r="120" spans="1:7" s="124" customFormat="1" ht="18" customHeight="1">
      <c r="A120" s="76"/>
      <c r="B120" s="312"/>
      <c r="C120" s="309" t="s">
        <v>513</v>
      </c>
      <c r="D120" s="310"/>
      <c r="E120" s="287" t="str">
        <f>HYPERLINK("#LAYOUT_p!lay보PFAM2A02","PFAM2A02")</f>
        <v>PFAM2A02</v>
      </c>
      <c r="F120" s="126">
        <v>1</v>
      </c>
      <c r="G120" s="183" t="s">
        <v>159</v>
      </c>
    </row>
    <row r="121" spans="1:7" s="124" customFormat="1" ht="18" customHeight="1">
      <c r="A121" s="76"/>
      <c r="B121" s="312"/>
      <c r="C121" s="311"/>
      <c r="D121" s="312"/>
      <c r="E121" s="289"/>
      <c r="F121" s="84">
        <v>2</v>
      </c>
      <c r="G121" s="187" t="s">
        <v>154</v>
      </c>
    </row>
    <row r="122" spans="1:7" s="124" customFormat="1" ht="18" customHeight="1">
      <c r="A122" s="76"/>
      <c r="B122" s="312"/>
      <c r="C122" s="311"/>
      <c r="D122" s="312"/>
      <c r="E122" s="289"/>
      <c r="F122" s="84">
        <v>3</v>
      </c>
      <c r="G122" s="187" t="s">
        <v>451</v>
      </c>
    </row>
    <row r="123" spans="1:7" s="124" customFormat="1" ht="18" customHeight="1">
      <c r="A123" s="76"/>
      <c r="B123" s="312"/>
      <c r="C123" s="311"/>
      <c r="D123" s="312"/>
      <c r="E123" s="289"/>
      <c r="F123" s="84">
        <v>4</v>
      </c>
      <c r="G123" s="187" t="s">
        <v>452</v>
      </c>
    </row>
    <row r="124" spans="1:7" s="124" customFormat="1" ht="18" customHeight="1">
      <c r="A124" s="76"/>
      <c r="B124" s="312"/>
      <c r="C124" s="311"/>
      <c r="D124" s="312"/>
      <c r="E124" s="289"/>
      <c r="F124" s="84">
        <v>5</v>
      </c>
      <c r="G124" s="187" t="s">
        <v>512</v>
      </c>
    </row>
    <row r="125" spans="1:7" s="124" customFormat="1" ht="18" customHeight="1">
      <c r="A125" s="76"/>
      <c r="B125" s="312"/>
      <c r="C125" s="311"/>
      <c r="D125" s="312"/>
      <c r="E125" s="289"/>
      <c r="F125" s="84">
        <v>6</v>
      </c>
      <c r="G125" s="187" t="s">
        <v>470</v>
      </c>
    </row>
    <row r="126" spans="1:7" s="124" customFormat="1" ht="18" customHeight="1">
      <c r="A126" s="76"/>
      <c r="B126" s="312"/>
      <c r="C126" s="311"/>
      <c r="D126" s="312"/>
      <c r="E126" s="288"/>
      <c r="F126" s="85">
        <v>7</v>
      </c>
      <c r="G126" s="188" t="s">
        <v>101</v>
      </c>
    </row>
    <row r="127" spans="1:7" s="124" customFormat="1" ht="18" customHeight="1">
      <c r="A127" s="76"/>
      <c r="B127" s="312"/>
      <c r="C127" s="313"/>
      <c r="D127" s="314"/>
      <c r="E127" s="197" t="str">
        <f>HYPERLINK("#LAYOUT_p!lay보PFAM2A02_T","PFAM2A02_T")</f>
        <v>PFAM2A02_T</v>
      </c>
      <c r="F127" s="125" t="s">
        <v>1</v>
      </c>
      <c r="G127" s="186" t="s">
        <v>102</v>
      </c>
    </row>
    <row r="128" spans="1:7" s="124" customFormat="1" ht="18" customHeight="1">
      <c r="A128" s="76"/>
      <c r="B128" s="312"/>
      <c r="C128" s="309" t="s">
        <v>514</v>
      </c>
      <c r="D128" s="310"/>
      <c r="E128" s="287" t="str">
        <f>HYPERLINK("#LAYOUT_p!lay보PFAM2A03","PFAM2A03")</f>
        <v>PFAM2A03</v>
      </c>
      <c r="F128" s="126">
        <v>1</v>
      </c>
      <c r="G128" s="183" t="s">
        <v>159</v>
      </c>
    </row>
    <row r="129" spans="1:7" s="124" customFormat="1" ht="18" customHeight="1">
      <c r="A129" s="76"/>
      <c r="B129" s="312"/>
      <c r="C129" s="311"/>
      <c r="D129" s="312"/>
      <c r="E129" s="289"/>
      <c r="F129" s="84">
        <v>2</v>
      </c>
      <c r="G129" s="187" t="s">
        <v>154</v>
      </c>
    </row>
    <row r="130" spans="1:7" s="124" customFormat="1" ht="18" customHeight="1">
      <c r="A130" s="76"/>
      <c r="B130" s="312"/>
      <c r="C130" s="311"/>
      <c r="D130" s="312"/>
      <c r="E130" s="289"/>
      <c r="F130" s="84">
        <v>3</v>
      </c>
      <c r="G130" s="187" t="s">
        <v>451</v>
      </c>
    </row>
    <row r="131" spans="1:7" s="124" customFormat="1" ht="18" customHeight="1">
      <c r="A131" s="76"/>
      <c r="B131" s="312"/>
      <c r="C131" s="311"/>
      <c r="D131" s="312"/>
      <c r="E131" s="289"/>
      <c r="F131" s="84">
        <v>4</v>
      </c>
      <c r="G131" s="187" t="s">
        <v>452</v>
      </c>
    </row>
    <row r="132" spans="1:7" s="124" customFormat="1" ht="18" customHeight="1">
      <c r="A132" s="76"/>
      <c r="B132" s="312"/>
      <c r="C132" s="311"/>
      <c r="D132" s="312"/>
      <c r="E132" s="289"/>
      <c r="F132" s="84">
        <v>5</v>
      </c>
      <c r="G132" s="187" t="s">
        <v>512</v>
      </c>
    </row>
    <row r="133" spans="1:7" s="124" customFormat="1" ht="18" customHeight="1">
      <c r="A133" s="76"/>
      <c r="B133" s="312"/>
      <c r="C133" s="311"/>
      <c r="D133" s="312"/>
      <c r="E133" s="289"/>
      <c r="F133" s="84">
        <v>6</v>
      </c>
      <c r="G133" s="187" t="s">
        <v>470</v>
      </c>
    </row>
    <row r="134" spans="1:7" s="124" customFormat="1" ht="18" customHeight="1">
      <c r="A134" s="76"/>
      <c r="B134" s="312"/>
      <c r="C134" s="311"/>
      <c r="D134" s="312"/>
      <c r="E134" s="288"/>
      <c r="F134" s="85">
        <v>7</v>
      </c>
      <c r="G134" s="188" t="s">
        <v>101</v>
      </c>
    </row>
    <row r="135" spans="1:7" s="124" customFormat="1" ht="18" customHeight="1">
      <c r="A135" s="76"/>
      <c r="B135" s="312"/>
      <c r="C135" s="313"/>
      <c r="D135" s="314"/>
      <c r="E135" s="197" t="str">
        <f>HYPERLINK("#LAYOUT_p!lay보PFAM2A03_T","PFAM2A03_T")</f>
        <v>PFAM2A03_T</v>
      </c>
      <c r="F135" s="125" t="s">
        <v>1</v>
      </c>
      <c r="G135" s="186" t="s">
        <v>102</v>
      </c>
    </row>
    <row r="136" spans="1:7" s="124" customFormat="1" ht="18" customHeight="1">
      <c r="A136" s="76"/>
      <c r="B136" s="312"/>
      <c r="C136" s="309" t="s">
        <v>515</v>
      </c>
      <c r="D136" s="310"/>
      <c r="E136" s="287" t="str">
        <f>HYPERLINK("#LAYOUT_p!lay보PFAM2A04","PFAM2A04")</f>
        <v>PFAM2A04</v>
      </c>
      <c r="F136" s="126">
        <v>1</v>
      </c>
      <c r="G136" s="183" t="s">
        <v>159</v>
      </c>
    </row>
    <row r="137" spans="1:7" s="124" customFormat="1" ht="18" customHeight="1">
      <c r="A137" s="76"/>
      <c r="B137" s="312"/>
      <c r="C137" s="311"/>
      <c r="D137" s="312"/>
      <c r="E137" s="289"/>
      <c r="F137" s="84">
        <v>2</v>
      </c>
      <c r="G137" s="187" t="s">
        <v>154</v>
      </c>
    </row>
    <row r="138" spans="1:7" s="124" customFormat="1" ht="18" customHeight="1">
      <c r="A138" s="76"/>
      <c r="B138" s="312"/>
      <c r="C138" s="311"/>
      <c r="D138" s="312"/>
      <c r="E138" s="289"/>
      <c r="F138" s="84">
        <v>3</v>
      </c>
      <c r="G138" s="187" t="s">
        <v>451</v>
      </c>
    </row>
    <row r="139" spans="1:7" s="124" customFormat="1" ht="18" customHeight="1">
      <c r="A139" s="76"/>
      <c r="B139" s="312"/>
      <c r="C139" s="311"/>
      <c r="D139" s="312"/>
      <c r="E139" s="289"/>
      <c r="F139" s="84">
        <v>4</v>
      </c>
      <c r="G139" s="187" t="s">
        <v>452</v>
      </c>
    </row>
    <row r="140" spans="1:7" s="124" customFormat="1" ht="18" customHeight="1">
      <c r="A140" s="76"/>
      <c r="B140" s="312"/>
      <c r="C140" s="311"/>
      <c r="D140" s="312"/>
      <c r="E140" s="289"/>
      <c r="F140" s="84">
        <v>5</v>
      </c>
      <c r="G140" s="187" t="s">
        <v>512</v>
      </c>
    </row>
    <row r="141" spans="1:7" s="124" customFormat="1" ht="18" customHeight="1">
      <c r="A141" s="76"/>
      <c r="B141" s="312"/>
      <c r="C141" s="311"/>
      <c r="D141" s="312"/>
      <c r="E141" s="289"/>
      <c r="F141" s="84">
        <v>6</v>
      </c>
      <c r="G141" s="187" t="s">
        <v>470</v>
      </c>
    </row>
    <row r="142" spans="1:7" s="124" customFormat="1" ht="18" customHeight="1">
      <c r="A142" s="76"/>
      <c r="B142" s="312"/>
      <c r="C142" s="311"/>
      <c r="D142" s="312"/>
      <c r="E142" s="288"/>
      <c r="F142" s="85">
        <v>7</v>
      </c>
      <c r="G142" s="188" t="s">
        <v>101</v>
      </c>
    </row>
    <row r="143" spans="1:7" s="124" customFormat="1" ht="18" customHeight="1">
      <c r="A143" s="76"/>
      <c r="B143" s="312"/>
      <c r="C143" s="311"/>
      <c r="D143" s="312"/>
      <c r="E143" s="197" t="str">
        <f>HYPERLINK("#LAYOUT_p!lay보PFAM2A04_T","PFAM2A04_T")</f>
        <v>PFAM2A04_T</v>
      </c>
      <c r="F143" s="126" t="s">
        <v>1</v>
      </c>
      <c r="G143" s="183" t="s">
        <v>102</v>
      </c>
    </row>
    <row r="144" spans="1:7" s="124" customFormat="1" ht="18" customHeight="1">
      <c r="A144" s="76"/>
      <c r="B144" s="346" t="s">
        <v>1616</v>
      </c>
      <c r="C144" s="346"/>
      <c r="D144" s="319"/>
      <c r="E144" s="197" t="str">
        <f>HYPERLINK("#LAYOUT_p!lay보PFAM6A00","PFAM6A00")</f>
        <v>PFAM6A00</v>
      </c>
      <c r="F144" s="126" t="s">
        <v>1462</v>
      </c>
      <c r="G144" s="183" t="s">
        <v>1467</v>
      </c>
    </row>
    <row r="145" spans="1:7" s="124" customFormat="1" ht="18" customHeight="1">
      <c r="A145" s="76"/>
      <c r="B145" s="346" t="s">
        <v>1496</v>
      </c>
      <c r="C145" s="346"/>
      <c r="D145" s="319"/>
      <c r="E145" s="197" t="str">
        <f>HYPERLINK("#LAYOUT_p!lay보PFAM6B00","PFAM6B00")</f>
        <v>PFAM6B00</v>
      </c>
      <c r="F145" s="126" t="s">
        <v>1462</v>
      </c>
      <c r="G145" s="183" t="s">
        <v>1497</v>
      </c>
    </row>
    <row r="146" spans="1:7" s="124" customFormat="1" ht="18" customHeight="1">
      <c r="A146" s="76"/>
      <c r="B146" s="282" t="s">
        <v>516</v>
      </c>
      <c r="C146" s="303" t="s">
        <v>1787</v>
      </c>
      <c r="D146" s="320" t="s">
        <v>248</v>
      </c>
      <c r="E146" s="198" t="str">
        <f>HYPERLINK("#LAYOUT_p!lay보PFAM4A01","PFAM4A01")</f>
        <v>PFAM4A01</v>
      </c>
      <c r="F146" s="78" t="s">
        <v>1</v>
      </c>
      <c r="G146" s="179" t="s">
        <v>249</v>
      </c>
    </row>
    <row r="147" spans="1:7" s="124" customFormat="1" ht="18" customHeight="1">
      <c r="A147" s="76"/>
      <c r="B147" s="284"/>
      <c r="C147" s="305"/>
      <c r="D147" s="321"/>
      <c r="E147" s="201" t="str">
        <f>HYPERLINK("#LAYOUT_p!lay보PFAM4A02","PFAM4A02")</f>
        <v>PFAM4A02</v>
      </c>
      <c r="F147" s="82" t="s">
        <v>1</v>
      </c>
      <c r="G147" s="180" t="s">
        <v>53</v>
      </c>
    </row>
    <row r="148" spans="1:7" s="124" customFormat="1" ht="18" customHeight="1">
      <c r="A148" s="76"/>
      <c r="B148" s="284"/>
      <c r="C148" s="305"/>
      <c r="D148" s="320" t="s">
        <v>250</v>
      </c>
      <c r="E148" s="198" t="str">
        <f>HYPERLINK("#LAYOUT_p!lay보PFAM4A03","PFAM4A03")</f>
        <v>PFAM4A03</v>
      </c>
      <c r="F148" s="78" t="s">
        <v>1</v>
      </c>
      <c r="G148" s="179" t="s">
        <v>249</v>
      </c>
    </row>
    <row r="149" spans="1:7" s="124" customFormat="1" ht="18" customHeight="1">
      <c r="A149" s="76"/>
      <c r="B149" s="286"/>
      <c r="C149" s="304"/>
      <c r="D149" s="321"/>
      <c r="E149" s="201" t="str">
        <f>HYPERLINK("#LAYOUT_p!lay보PFAM4A04","PFAM4A04")</f>
        <v>PFAM4A04</v>
      </c>
      <c r="F149" s="82" t="s">
        <v>1</v>
      </c>
      <c r="G149" s="180" t="s">
        <v>53</v>
      </c>
    </row>
    <row r="150" spans="1:7" s="124" customFormat="1" ht="18" customHeight="1">
      <c r="A150" s="194"/>
      <c r="B150" s="282" t="s">
        <v>1498</v>
      </c>
      <c r="C150" s="303" t="s">
        <v>1786</v>
      </c>
      <c r="D150" s="320" t="s">
        <v>248</v>
      </c>
      <c r="E150" s="198" t="str">
        <f>HYPERLINK("#LAYOUT_p!lay보PFAM5A01","PFAM5A01")</f>
        <v>PFAM5A01</v>
      </c>
      <c r="F150" s="78" t="s">
        <v>0</v>
      </c>
      <c r="G150" s="179" t="s">
        <v>1469</v>
      </c>
    </row>
    <row r="151" spans="1:7" s="124" customFormat="1" ht="18" customHeight="1">
      <c r="A151" s="194"/>
      <c r="B151" s="284"/>
      <c r="C151" s="305"/>
      <c r="D151" s="321"/>
      <c r="E151" s="201" t="str">
        <f>HYPERLINK("#LAYOUT_p!lay보PFAM5A02","PFAM5A02")</f>
        <v>PFAM5A02</v>
      </c>
      <c r="F151" s="82" t="s">
        <v>0</v>
      </c>
      <c r="G151" s="180" t="s">
        <v>1470</v>
      </c>
    </row>
    <row r="152" spans="1:7" s="124" customFormat="1" ht="18" customHeight="1">
      <c r="A152" s="194"/>
      <c r="B152" s="284"/>
      <c r="C152" s="305"/>
      <c r="D152" s="320" t="s">
        <v>250</v>
      </c>
      <c r="E152" s="198" t="str">
        <f>HYPERLINK("#LAYOUT_p!lay보PFAM5A03","PFAM5A03")</f>
        <v>PFAM5A03</v>
      </c>
      <c r="F152" s="78" t="s">
        <v>0</v>
      </c>
      <c r="G152" s="179" t="s">
        <v>1469</v>
      </c>
    </row>
    <row r="153" spans="1:7" s="124" customFormat="1" ht="18" customHeight="1">
      <c r="A153" s="194"/>
      <c r="B153" s="284"/>
      <c r="C153" s="304"/>
      <c r="D153" s="321"/>
      <c r="E153" s="201" t="str">
        <f>HYPERLINK("#LAYOUT_p!lay보PFAM5A04","PFAM5A04")</f>
        <v>PFAM5A04</v>
      </c>
      <c r="F153" s="82" t="s">
        <v>0</v>
      </c>
      <c r="G153" s="180" t="s">
        <v>1470</v>
      </c>
    </row>
    <row r="154" spans="1:7" s="124" customFormat="1" ht="18" customHeight="1">
      <c r="A154" s="76"/>
      <c r="B154" s="284"/>
      <c r="C154" s="303" t="s">
        <v>1499</v>
      </c>
      <c r="D154" s="320" t="s">
        <v>248</v>
      </c>
      <c r="E154" s="198" t="str">
        <f>HYPERLINK("#LAYOUT_p!lay보PFAM5B01","PFAM5B01")</f>
        <v>PFAM5B01</v>
      </c>
      <c r="F154" s="78" t="s">
        <v>0</v>
      </c>
      <c r="G154" s="179" t="s">
        <v>1471</v>
      </c>
    </row>
    <row r="155" spans="1:7" s="124" customFormat="1" ht="18" customHeight="1">
      <c r="A155" s="76"/>
      <c r="B155" s="284"/>
      <c r="C155" s="305"/>
      <c r="D155" s="321"/>
      <c r="E155" s="201" t="str">
        <f>HYPERLINK("#LAYOUT_p!lay보PFAM5B02","PFAM5B02")</f>
        <v>PFAM5B02</v>
      </c>
      <c r="F155" s="82" t="s">
        <v>0</v>
      </c>
      <c r="G155" s="180" t="s">
        <v>1473</v>
      </c>
    </row>
    <row r="156" spans="1:7" s="124" customFormat="1" ht="18" customHeight="1">
      <c r="A156" s="76"/>
      <c r="B156" s="284"/>
      <c r="C156" s="305"/>
      <c r="D156" s="320" t="s">
        <v>250</v>
      </c>
      <c r="E156" s="198" t="str">
        <f>HYPERLINK("#LAYOUT_p!lay보PFAM5B03","PFAM5B03")</f>
        <v>PFAM5B03</v>
      </c>
      <c r="F156" s="78" t="s">
        <v>0</v>
      </c>
      <c r="G156" s="179" t="s">
        <v>1469</v>
      </c>
    </row>
    <row r="157" spans="1:7" s="124" customFormat="1" ht="18" customHeight="1">
      <c r="A157" s="76"/>
      <c r="B157" s="284"/>
      <c r="C157" s="304"/>
      <c r="D157" s="321"/>
      <c r="E157" s="201" t="str">
        <f>HYPERLINK("#LAYOUT_p!lay보PFAM5B04","PFAM5B04")</f>
        <v>PFAM5B04</v>
      </c>
      <c r="F157" s="82" t="s">
        <v>0</v>
      </c>
      <c r="G157" s="180" t="s">
        <v>1474</v>
      </c>
    </row>
    <row r="158" spans="1:7" s="124" customFormat="1" ht="18" customHeight="1">
      <c r="A158" s="76"/>
      <c r="B158" s="284"/>
      <c r="C158" s="303" t="s">
        <v>1500</v>
      </c>
      <c r="D158" s="320" t="s">
        <v>248</v>
      </c>
      <c r="E158" s="198" t="str">
        <f>HYPERLINK("#LAYOUT_p!lay보PFAM5C01","PFAM5C01")</f>
        <v>PFAM5C01</v>
      </c>
      <c r="F158" s="78" t="s">
        <v>0</v>
      </c>
      <c r="G158" s="179" t="s">
        <v>1471</v>
      </c>
    </row>
    <row r="159" spans="1:7" s="124" customFormat="1" ht="18" customHeight="1">
      <c r="A159" s="76"/>
      <c r="B159" s="284"/>
      <c r="C159" s="305"/>
      <c r="D159" s="321"/>
      <c r="E159" s="201" t="str">
        <f>HYPERLINK("#LAYOUT_p!lay보PFAM5C02","PFAM5C02")</f>
        <v>PFAM5C02</v>
      </c>
      <c r="F159" s="82" t="s">
        <v>0</v>
      </c>
      <c r="G159" s="180" t="s">
        <v>1473</v>
      </c>
    </row>
    <row r="160" spans="1:7" s="124" customFormat="1" ht="18" customHeight="1">
      <c r="A160" s="76"/>
      <c r="B160" s="284"/>
      <c r="C160" s="305"/>
      <c r="D160" s="320" t="s">
        <v>250</v>
      </c>
      <c r="E160" s="198" t="str">
        <f>HYPERLINK("#LAYOUT_p!lay보PFAM5C03","PFAM5C03")</f>
        <v>PFAM5C03</v>
      </c>
      <c r="F160" s="78" t="s">
        <v>0</v>
      </c>
      <c r="G160" s="179" t="s">
        <v>1471</v>
      </c>
    </row>
    <row r="161" spans="1:7" s="124" customFormat="1" ht="18" customHeight="1">
      <c r="A161" s="76"/>
      <c r="B161" s="284"/>
      <c r="C161" s="304"/>
      <c r="D161" s="321"/>
      <c r="E161" s="201" t="str">
        <f>HYPERLINK("#LAYOUT_p!lay보PFAM5C04","PFAM5C04")</f>
        <v>PFAM5C04</v>
      </c>
      <c r="F161" s="82" t="s">
        <v>0</v>
      </c>
      <c r="G161" s="180" t="s">
        <v>1473</v>
      </c>
    </row>
    <row r="162" spans="1:7" s="124" customFormat="1" ht="18" customHeight="1">
      <c r="A162" s="76"/>
      <c r="B162" s="284"/>
      <c r="C162" s="303" t="s">
        <v>1501</v>
      </c>
      <c r="D162" s="320" t="s">
        <v>248</v>
      </c>
      <c r="E162" s="198" t="str">
        <f>HYPERLINK("#LAYOUT_p!lay보PFAM5D01","PFAM5D01")</f>
        <v>PFAM5D01</v>
      </c>
      <c r="F162" s="78" t="s">
        <v>0</v>
      </c>
      <c r="G162" s="179" t="s">
        <v>1475</v>
      </c>
    </row>
    <row r="163" spans="1:7" s="124" customFormat="1" ht="18" customHeight="1">
      <c r="A163" s="76"/>
      <c r="B163" s="284"/>
      <c r="C163" s="305"/>
      <c r="D163" s="321"/>
      <c r="E163" s="201" t="str">
        <f>HYPERLINK("#LAYOUT_p!lay보PFAM5D02","PFAM5D02")</f>
        <v>PFAM5D02</v>
      </c>
      <c r="F163" s="82" t="s">
        <v>0</v>
      </c>
      <c r="G163" s="180" t="s">
        <v>1473</v>
      </c>
    </row>
    <row r="164" spans="1:7" s="124" customFormat="1" ht="18" customHeight="1">
      <c r="A164" s="76"/>
      <c r="B164" s="284"/>
      <c r="C164" s="305"/>
      <c r="D164" s="320" t="s">
        <v>250</v>
      </c>
      <c r="E164" s="198" t="str">
        <f>HYPERLINK("#LAYOUT_p!lay보PFAM5D03","PFAM5D03")</f>
        <v>PFAM5D03</v>
      </c>
      <c r="F164" s="78" t="s">
        <v>0</v>
      </c>
      <c r="G164" s="179" t="s">
        <v>1471</v>
      </c>
    </row>
    <row r="165" spans="1:7" s="124" customFormat="1" ht="18" customHeight="1">
      <c r="A165" s="76"/>
      <c r="B165" s="284"/>
      <c r="C165" s="304"/>
      <c r="D165" s="321"/>
      <c r="E165" s="201" t="str">
        <f>HYPERLINK("#LAYOUT_p!lay보PFAM5D04","PFAM5D04")</f>
        <v>PFAM5D04</v>
      </c>
      <c r="F165" s="82" t="s">
        <v>0</v>
      </c>
      <c r="G165" s="180" t="s">
        <v>1470</v>
      </c>
    </row>
    <row r="166" spans="1:7" s="124" customFormat="1" ht="18" customHeight="1">
      <c r="A166" s="76"/>
      <c r="B166" s="284"/>
      <c r="C166" s="303" t="s">
        <v>1502</v>
      </c>
      <c r="D166" s="320" t="s">
        <v>248</v>
      </c>
      <c r="E166" s="198" t="str">
        <f>HYPERLINK("#LAYOUT_p!lay보PFAM5E01","PFAM5E01")</f>
        <v>PFAM5E01</v>
      </c>
      <c r="F166" s="78" t="s">
        <v>0</v>
      </c>
      <c r="G166" s="179" t="s">
        <v>1476</v>
      </c>
    </row>
    <row r="167" spans="1:7" s="124" customFormat="1" ht="18" customHeight="1">
      <c r="A167" s="76"/>
      <c r="B167" s="284"/>
      <c r="C167" s="305"/>
      <c r="D167" s="321"/>
      <c r="E167" s="201" t="str">
        <f>HYPERLINK("#LAYOUT_p!lay보PFAM5E02","PFAM5E02")</f>
        <v>PFAM5E02</v>
      </c>
      <c r="F167" s="82" t="s">
        <v>0</v>
      </c>
      <c r="G167" s="180" t="s">
        <v>1470</v>
      </c>
    </row>
    <row r="168" spans="1:7" s="124" customFormat="1" ht="18" customHeight="1">
      <c r="A168" s="76"/>
      <c r="B168" s="284"/>
      <c r="C168" s="305"/>
      <c r="D168" s="320" t="s">
        <v>250</v>
      </c>
      <c r="E168" s="198" t="str">
        <f>HYPERLINK("#LAYOUT_p!lay보PFAM5E03","PFAM5E03")</f>
        <v>PFAM5E03</v>
      </c>
      <c r="F168" s="78" t="s">
        <v>0</v>
      </c>
      <c r="G168" s="179" t="s">
        <v>1471</v>
      </c>
    </row>
    <row r="169" spans="1:7" s="124" customFormat="1" ht="18" customHeight="1">
      <c r="A169" s="76"/>
      <c r="B169" s="286"/>
      <c r="C169" s="304"/>
      <c r="D169" s="321"/>
      <c r="E169" s="201" t="str">
        <f>HYPERLINK("#LAYOUT_p!lay보PFAM5E04","PFAM5E04")</f>
        <v>PFAM5E04</v>
      </c>
      <c r="F169" s="82" t="s">
        <v>0</v>
      </c>
      <c r="G169" s="180" t="s">
        <v>1470</v>
      </c>
    </row>
    <row r="170" spans="1:7" s="124" customFormat="1" ht="18" customHeight="1">
      <c r="A170" s="76"/>
      <c r="B170" s="316" t="s">
        <v>517</v>
      </c>
      <c r="C170" s="316"/>
      <c r="D170" s="312"/>
      <c r="E170" s="289" t="str">
        <f>HYPERLINK("#LAYOUT_p!lay보PFAM3A00","PFAM3A00")</f>
        <v>PFAM3A00</v>
      </c>
      <c r="F170" s="79">
        <v>1</v>
      </c>
      <c r="G170" s="178" t="s">
        <v>124</v>
      </c>
    </row>
    <row r="171" spans="1:7" s="124" customFormat="1" ht="18" customHeight="1">
      <c r="A171" s="76"/>
      <c r="B171" s="316"/>
      <c r="C171" s="316"/>
      <c r="D171" s="312"/>
      <c r="E171" s="289"/>
      <c r="F171" s="79">
        <v>2</v>
      </c>
      <c r="G171" s="178" t="s">
        <v>125</v>
      </c>
    </row>
    <row r="172" spans="1:7" s="124" customFormat="1" ht="18" customHeight="1">
      <c r="A172" s="76"/>
      <c r="B172" s="316"/>
      <c r="C172" s="316"/>
      <c r="D172" s="312"/>
      <c r="E172" s="289"/>
      <c r="F172" s="79">
        <v>3</v>
      </c>
      <c r="G172" s="178" t="s">
        <v>126</v>
      </c>
    </row>
    <row r="173" spans="1:7" s="124" customFormat="1" ht="18" customHeight="1">
      <c r="A173" s="76"/>
      <c r="B173" s="316"/>
      <c r="C173" s="316"/>
      <c r="D173" s="312"/>
      <c r="E173" s="289"/>
      <c r="F173" s="79">
        <v>4</v>
      </c>
      <c r="G173" s="178" t="s">
        <v>127</v>
      </c>
    </row>
    <row r="174" spans="1:7" s="124" customFormat="1" ht="18" customHeight="1">
      <c r="A174" s="76"/>
      <c r="B174" s="316"/>
      <c r="C174" s="316"/>
      <c r="D174" s="312"/>
      <c r="E174" s="289"/>
      <c r="F174" s="79">
        <v>5</v>
      </c>
      <c r="G174" s="178" t="s">
        <v>128</v>
      </c>
    </row>
    <row r="175" spans="1:7" s="124" customFormat="1" ht="18" customHeight="1">
      <c r="A175" s="76"/>
      <c r="B175" s="317"/>
      <c r="C175" s="317"/>
      <c r="D175" s="314"/>
      <c r="E175" s="288"/>
      <c r="F175" s="82">
        <v>6</v>
      </c>
      <c r="G175" s="180" t="s">
        <v>129</v>
      </c>
    </row>
    <row r="176" spans="1:7" s="124" customFormat="1" ht="18" customHeight="1">
      <c r="A176" s="76"/>
      <c r="B176" s="315" t="s">
        <v>518</v>
      </c>
      <c r="C176" s="315"/>
      <c r="D176" s="310"/>
      <c r="E176" s="287" t="str">
        <f>HYPERLINK("#LAYOUT_p!lay보PFAM3B00","PFAM3B00")</f>
        <v>PFAM3B00</v>
      </c>
      <c r="F176" s="78">
        <v>1</v>
      </c>
      <c r="G176" s="179" t="s">
        <v>131</v>
      </c>
    </row>
    <row r="177" spans="1:7" s="124" customFormat="1" ht="18" customHeight="1">
      <c r="A177" s="76"/>
      <c r="B177" s="316"/>
      <c r="C177" s="316"/>
      <c r="D177" s="312"/>
      <c r="E177" s="289"/>
      <c r="F177" s="79">
        <v>2</v>
      </c>
      <c r="G177" s="178" t="s">
        <v>132</v>
      </c>
    </row>
    <row r="178" spans="1:7" s="124" customFormat="1" ht="18" customHeight="1">
      <c r="A178" s="76"/>
      <c r="B178" s="316"/>
      <c r="C178" s="316"/>
      <c r="D178" s="312"/>
      <c r="E178" s="289"/>
      <c r="F178" s="79">
        <v>3</v>
      </c>
      <c r="G178" s="178" t="s">
        <v>126</v>
      </c>
    </row>
    <row r="179" spans="1:7" s="124" customFormat="1" ht="18" customHeight="1">
      <c r="A179" s="76"/>
      <c r="B179" s="316"/>
      <c r="C179" s="316"/>
      <c r="D179" s="312"/>
      <c r="E179" s="289"/>
      <c r="F179" s="79">
        <v>4</v>
      </c>
      <c r="G179" s="178" t="s">
        <v>133</v>
      </c>
    </row>
    <row r="180" spans="1:7" s="124" customFormat="1" ht="18" customHeight="1">
      <c r="A180" s="76"/>
      <c r="B180" s="316"/>
      <c r="C180" s="316"/>
      <c r="D180" s="312"/>
      <c r="E180" s="289"/>
      <c r="F180" s="79">
        <v>5</v>
      </c>
      <c r="G180" s="178" t="s">
        <v>134</v>
      </c>
    </row>
    <row r="181" spans="1:7" s="124" customFormat="1" ht="18" customHeight="1">
      <c r="A181" s="76"/>
      <c r="B181" s="317"/>
      <c r="C181" s="317"/>
      <c r="D181" s="314"/>
      <c r="E181" s="288"/>
      <c r="F181" s="82">
        <v>6</v>
      </c>
      <c r="G181" s="180" t="s">
        <v>129</v>
      </c>
    </row>
    <row r="182" spans="1:7" s="124" customFormat="1" ht="18" customHeight="1">
      <c r="A182" s="76"/>
      <c r="B182" s="315" t="s">
        <v>519</v>
      </c>
      <c r="C182" s="315"/>
      <c r="D182" s="310"/>
      <c r="E182" s="287" t="str">
        <f>HYPERLINK("#LAYOUT_p!lay보PFAM3C00","PFAM3C00")</f>
        <v>PFAM3C00</v>
      </c>
      <c r="F182" s="78">
        <v>1</v>
      </c>
      <c r="G182" s="179" t="s">
        <v>131</v>
      </c>
    </row>
    <row r="183" spans="1:7" s="124" customFormat="1" ht="18" customHeight="1">
      <c r="A183" s="76"/>
      <c r="B183" s="316"/>
      <c r="C183" s="316"/>
      <c r="D183" s="312"/>
      <c r="E183" s="289"/>
      <c r="F183" s="79">
        <v>2</v>
      </c>
      <c r="G183" s="178" t="s">
        <v>132</v>
      </c>
    </row>
    <row r="184" spans="1:7" s="124" customFormat="1" ht="18" customHeight="1">
      <c r="A184" s="76"/>
      <c r="B184" s="316"/>
      <c r="C184" s="316"/>
      <c r="D184" s="312"/>
      <c r="E184" s="289"/>
      <c r="F184" s="79">
        <v>3</v>
      </c>
      <c r="G184" s="178" t="s">
        <v>126</v>
      </c>
    </row>
    <row r="185" spans="1:7" s="124" customFormat="1" ht="18" customHeight="1">
      <c r="A185" s="76"/>
      <c r="B185" s="316"/>
      <c r="C185" s="316"/>
      <c r="D185" s="312"/>
      <c r="E185" s="289"/>
      <c r="F185" s="79">
        <v>4</v>
      </c>
      <c r="G185" s="178" t="s">
        <v>133</v>
      </c>
    </row>
    <row r="186" spans="1:7" s="124" customFormat="1" ht="18" customHeight="1">
      <c r="A186" s="76"/>
      <c r="B186" s="316"/>
      <c r="C186" s="316"/>
      <c r="D186" s="312"/>
      <c r="E186" s="289"/>
      <c r="F186" s="79">
        <v>5</v>
      </c>
      <c r="G186" s="178" t="s">
        <v>134</v>
      </c>
    </row>
    <row r="187" spans="1:7" s="124" customFormat="1" ht="18" customHeight="1">
      <c r="A187" s="76"/>
      <c r="B187" s="317"/>
      <c r="C187" s="317"/>
      <c r="D187" s="314"/>
      <c r="E187" s="288"/>
      <c r="F187" s="82">
        <v>6</v>
      </c>
      <c r="G187" s="180" t="s">
        <v>129</v>
      </c>
    </row>
    <row r="188" spans="1:7" s="124" customFormat="1" ht="18" customHeight="1">
      <c r="A188" s="76"/>
      <c r="B188" s="315" t="s">
        <v>520</v>
      </c>
      <c r="C188" s="315"/>
      <c r="D188" s="310"/>
      <c r="E188" s="347" t="str">
        <f>HYPERLINK("#LAYOUT_p!lay보PFAM3D00","PFAM3D00")</f>
        <v>PFAM3D00</v>
      </c>
      <c r="F188" s="78">
        <v>1</v>
      </c>
      <c r="G188" s="179" t="s">
        <v>375</v>
      </c>
    </row>
    <row r="189" spans="1:7" s="124" customFormat="1" ht="18" customHeight="1">
      <c r="A189" s="76"/>
      <c r="B189" s="316"/>
      <c r="C189" s="316"/>
      <c r="D189" s="312"/>
      <c r="E189" s="348"/>
      <c r="F189" s="79">
        <v>2</v>
      </c>
      <c r="G189" s="178" t="s">
        <v>376</v>
      </c>
    </row>
    <row r="190" spans="1:7" s="124" customFormat="1" ht="18" customHeight="1">
      <c r="A190" s="76"/>
      <c r="B190" s="316"/>
      <c r="C190" s="316"/>
      <c r="D190" s="312"/>
      <c r="E190" s="348"/>
      <c r="F190" s="79">
        <v>3</v>
      </c>
      <c r="G190" s="178" t="s">
        <v>377</v>
      </c>
    </row>
    <row r="191" spans="1:7" s="124" customFormat="1" ht="18" customHeight="1">
      <c r="A191" s="76"/>
      <c r="B191" s="316"/>
      <c r="C191" s="316"/>
      <c r="D191" s="312"/>
      <c r="E191" s="348"/>
      <c r="F191" s="79">
        <v>4</v>
      </c>
      <c r="G191" s="178" t="s">
        <v>378</v>
      </c>
    </row>
    <row r="192" spans="1:7" s="124" customFormat="1" ht="18" customHeight="1">
      <c r="A192" s="76"/>
      <c r="B192" s="317"/>
      <c r="C192" s="317"/>
      <c r="D192" s="314"/>
      <c r="E192" s="349"/>
      <c r="F192" s="82">
        <v>5</v>
      </c>
      <c r="G192" s="180" t="s">
        <v>129</v>
      </c>
    </row>
    <row r="193" spans="1:7" s="124" customFormat="1" ht="18" customHeight="1">
      <c r="A193" s="76"/>
      <c r="B193" s="315" t="s">
        <v>521</v>
      </c>
      <c r="C193" s="315"/>
      <c r="D193" s="310"/>
      <c r="E193" s="287" t="str">
        <f>HYPERLINK("#LAYOUT_p!lay보PMDA1A00","PMDA1A00")</f>
        <v>PMDA1A00</v>
      </c>
      <c r="F193" s="78">
        <v>1</v>
      </c>
      <c r="G193" s="179" t="s">
        <v>81</v>
      </c>
    </row>
    <row r="194" spans="1:7" s="124" customFormat="1" ht="18" customHeight="1">
      <c r="A194" s="76"/>
      <c r="B194" s="316"/>
      <c r="C194" s="316"/>
      <c r="D194" s="312"/>
      <c r="E194" s="289"/>
      <c r="F194" s="79">
        <v>2</v>
      </c>
      <c r="G194" s="178" t="s">
        <v>82</v>
      </c>
    </row>
    <row r="195" spans="1:7" s="124" customFormat="1" ht="18" customHeight="1">
      <c r="A195" s="76"/>
      <c r="B195" s="317"/>
      <c r="C195" s="317"/>
      <c r="D195" s="314"/>
      <c r="E195" s="351"/>
      <c r="F195" s="82">
        <v>3</v>
      </c>
      <c r="G195" s="180" t="s">
        <v>83</v>
      </c>
    </row>
    <row r="196" spans="1:7" s="124" customFormat="1" ht="18" customHeight="1">
      <c r="A196" s="76"/>
      <c r="B196" s="310" t="s">
        <v>522</v>
      </c>
      <c r="C196" s="309" t="s">
        <v>85</v>
      </c>
      <c r="D196" s="310"/>
      <c r="E196" s="352" t="str">
        <f>HYPERLINK("#LAYOUT_p!lay보PMDA1B01","PMDA1B01")</f>
        <v>PMDA1B01</v>
      </c>
      <c r="F196" s="78">
        <v>1</v>
      </c>
      <c r="G196" s="179" t="s">
        <v>86</v>
      </c>
    </row>
    <row r="197" spans="1:7" s="124" customFormat="1" ht="18" customHeight="1">
      <c r="A197" s="76"/>
      <c r="B197" s="312"/>
      <c r="C197" s="311"/>
      <c r="D197" s="312"/>
      <c r="E197" s="348"/>
      <c r="F197" s="79">
        <v>2</v>
      </c>
      <c r="G197" s="178" t="s">
        <v>87</v>
      </c>
    </row>
    <row r="198" spans="1:7" s="124" customFormat="1" ht="18" customHeight="1">
      <c r="A198" s="76"/>
      <c r="B198" s="312"/>
      <c r="C198" s="311"/>
      <c r="D198" s="312"/>
      <c r="E198" s="348"/>
      <c r="F198" s="79">
        <v>3</v>
      </c>
      <c r="G198" s="178" t="s">
        <v>88</v>
      </c>
    </row>
    <row r="199" spans="1:7" s="124" customFormat="1" ht="18" customHeight="1">
      <c r="A199" s="76"/>
      <c r="B199" s="312"/>
      <c r="C199" s="311"/>
      <c r="D199" s="312"/>
      <c r="E199" s="348"/>
      <c r="F199" s="79">
        <v>4</v>
      </c>
      <c r="G199" s="178" t="s">
        <v>89</v>
      </c>
    </row>
    <row r="200" spans="1:7" s="124" customFormat="1" ht="18" customHeight="1">
      <c r="A200" s="76"/>
      <c r="B200" s="312"/>
      <c r="C200" s="309" t="s">
        <v>91</v>
      </c>
      <c r="D200" s="310"/>
      <c r="E200" s="352" t="str">
        <f>HYPERLINK("#LAYOUT_p!lay보PMDA1B02","PMDA1B02")</f>
        <v>PMDA1B02</v>
      </c>
      <c r="F200" s="78">
        <v>1</v>
      </c>
      <c r="G200" s="179" t="s">
        <v>86</v>
      </c>
    </row>
    <row r="201" spans="1:7" s="124" customFormat="1" ht="18" customHeight="1">
      <c r="A201" s="76"/>
      <c r="B201" s="312"/>
      <c r="C201" s="311"/>
      <c r="D201" s="312"/>
      <c r="E201" s="348"/>
      <c r="F201" s="79">
        <v>2</v>
      </c>
      <c r="G201" s="178" t="s">
        <v>87</v>
      </c>
    </row>
    <row r="202" spans="1:7" s="124" customFormat="1" ht="18" customHeight="1">
      <c r="A202" s="76"/>
      <c r="B202" s="312"/>
      <c r="C202" s="311"/>
      <c r="D202" s="312"/>
      <c r="E202" s="348"/>
      <c r="F202" s="79">
        <v>3</v>
      </c>
      <c r="G202" s="178" t="s">
        <v>88</v>
      </c>
    </row>
    <row r="203" spans="1:7" s="124" customFormat="1" ht="18" customHeight="1">
      <c r="A203" s="76"/>
      <c r="B203" s="312"/>
      <c r="C203" s="311"/>
      <c r="D203" s="312"/>
      <c r="E203" s="348"/>
      <c r="F203" s="79">
        <v>4</v>
      </c>
      <c r="G203" s="178" t="s">
        <v>89</v>
      </c>
    </row>
    <row r="204" spans="1:7" s="124" customFormat="1" ht="18" customHeight="1">
      <c r="A204" s="76"/>
      <c r="B204" s="312"/>
      <c r="C204" s="309" t="s">
        <v>92</v>
      </c>
      <c r="D204" s="310"/>
      <c r="E204" s="352" t="str">
        <f>HYPERLINK("#LAYOUT_p!lay보PMDA1B03","PMDA1B03")</f>
        <v>PMDA1B03</v>
      </c>
      <c r="F204" s="78">
        <v>1</v>
      </c>
      <c r="G204" s="179" t="s">
        <v>86</v>
      </c>
    </row>
    <row r="205" spans="1:7" s="124" customFormat="1" ht="18" customHeight="1">
      <c r="A205" s="76"/>
      <c r="B205" s="312"/>
      <c r="C205" s="311"/>
      <c r="D205" s="312"/>
      <c r="E205" s="348"/>
      <c r="F205" s="79">
        <v>2</v>
      </c>
      <c r="G205" s="178" t="s">
        <v>87</v>
      </c>
    </row>
    <row r="206" spans="1:7" s="124" customFormat="1" ht="18" customHeight="1">
      <c r="A206" s="76"/>
      <c r="B206" s="312"/>
      <c r="C206" s="311"/>
      <c r="D206" s="312"/>
      <c r="E206" s="348"/>
      <c r="F206" s="79">
        <v>3</v>
      </c>
      <c r="G206" s="178" t="s">
        <v>88</v>
      </c>
    </row>
    <row r="207" spans="1:7" s="124" customFormat="1" ht="18" customHeight="1">
      <c r="A207" s="76"/>
      <c r="B207" s="312"/>
      <c r="C207" s="311"/>
      <c r="D207" s="312"/>
      <c r="E207" s="348"/>
      <c r="F207" s="79">
        <v>4</v>
      </c>
      <c r="G207" s="178" t="s">
        <v>89</v>
      </c>
    </row>
    <row r="208" spans="1:7" s="124" customFormat="1" ht="18" customHeight="1">
      <c r="A208" s="76"/>
      <c r="B208" s="312"/>
      <c r="C208" s="309" t="s">
        <v>93</v>
      </c>
      <c r="D208" s="310"/>
      <c r="E208" s="352" t="str">
        <f>HYPERLINK("#LAYOUT_p!lay보PMDA1B04","PMDA1B04")</f>
        <v>PMDA1B04</v>
      </c>
      <c r="F208" s="78">
        <v>1</v>
      </c>
      <c r="G208" s="179" t="s">
        <v>86</v>
      </c>
    </row>
    <row r="209" spans="1:7" s="124" customFormat="1" ht="18" customHeight="1">
      <c r="A209" s="76"/>
      <c r="B209" s="312"/>
      <c r="C209" s="311"/>
      <c r="D209" s="312"/>
      <c r="E209" s="348"/>
      <c r="F209" s="79">
        <v>2</v>
      </c>
      <c r="G209" s="178" t="s">
        <v>87</v>
      </c>
    </row>
    <row r="210" spans="1:7" s="124" customFormat="1" ht="18" customHeight="1">
      <c r="A210" s="76"/>
      <c r="B210" s="312"/>
      <c r="C210" s="311"/>
      <c r="D210" s="312"/>
      <c r="E210" s="348"/>
      <c r="F210" s="79">
        <v>3</v>
      </c>
      <c r="G210" s="178" t="s">
        <v>88</v>
      </c>
    </row>
    <row r="211" spans="1:7" s="124" customFormat="1" ht="18" customHeight="1">
      <c r="A211" s="76"/>
      <c r="B211" s="312"/>
      <c r="C211" s="311"/>
      <c r="D211" s="312"/>
      <c r="E211" s="348"/>
      <c r="F211" s="79">
        <v>4</v>
      </c>
      <c r="G211" s="178" t="s">
        <v>89</v>
      </c>
    </row>
    <row r="212" spans="1:7" s="124" customFormat="1" ht="18" customHeight="1">
      <c r="A212" s="76"/>
      <c r="B212" s="312"/>
      <c r="C212" s="309" t="s">
        <v>94</v>
      </c>
      <c r="D212" s="310"/>
      <c r="E212" s="352" t="str">
        <f>HYPERLINK("#LAYOUT_p!lay보PMDA1B05","PMDA1B05")</f>
        <v>PMDA1B05</v>
      </c>
      <c r="F212" s="78">
        <v>1</v>
      </c>
      <c r="G212" s="179" t="s">
        <v>86</v>
      </c>
    </row>
    <row r="213" spans="1:7" s="124" customFormat="1" ht="18" customHeight="1">
      <c r="A213" s="76"/>
      <c r="B213" s="312"/>
      <c r="C213" s="311"/>
      <c r="D213" s="312"/>
      <c r="E213" s="348"/>
      <c r="F213" s="79">
        <v>2</v>
      </c>
      <c r="G213" s="178" t="s">
        <v>87</v>
      </c>
    </row>
    <row r="214" spans="1:7" s="124" customFormat="1" ht="18" customHeight="1">
      <c r="A214" s="76"/>
      <c r="B214" s="312"/>
      <c r="C214" s="311"/>
      <c r="D214" s="312"/>
      <c r="E214" s="348"/>
      <c r="F214" s="79">
        <v>3</v>
      </c>
      <c r="G214" s="178" t="s">
        <v>88</v>
      </c>
    </row>
    <row r="215" spans="1:7" s="124" customFormat="1" ht="18" customHeight="1">
      <c r="A215" s="76"/>
      <c r="B215" s="312"/>
      <c r="C215" s="311"/>
      <c r="D215" s="312"/>
      <c r="E215" s="348"/>
      <c r="F215" s="79">
        <v>4</v>
      </c>
      <c r="G215" s="178" t="s">
        <v>89</v>
      </c>
    </row>
    <row r="216" spans="1:7" s="124" customFormat="1" ht="18" customHeight="1">
      <c r="A216" s="76"/>
      <c r="B216" s="312"/>
      <c r="C216" s="309" t="s">
        <v>95</v>
      </c>
      <c r="D216" s="310"/>
      <c r="E216" s="352" t="str">
        <f>HYPERLINK("#LAYOUT_p!lay보PMDA1B06","PMDA1B06")</f>
        <v>PMDA1B06</v>
      </c>
      <c r="F216" s="78">
        <v>1</v>
      </c>
      <c r="G216" s="179" t="s">
        <v>86</v>
      </c>
    </row>
    <row r="217" spans="1:7" s="124" customFormat="1" ht="18" customHeight="1">
      <c r="A217" s="76"/>
      <c r="B217" s="312"/>
      <c r="C217" s="311"/>
      <c r="D217" s="312"/>
      <c r="E217" s="348"/>
      <c r="F217" s="79">
        <v>2</v>
      </c>
      <c r="G217" s="178" t="s">
        <v>87</v>
      </c>
    </row>
    <row r="218" spans="1:7" s="124" customFormat="1" ht="18" customHeight="1">
      <c r="A218" s="76"/>
      <c r="B218" s="312"/>
      <c r="C218" s="311"/>
      <c r="D218" s="312"/>
      <c r="E218" s="348"/>
      <c r="F218" s="79">
        <v>3</v>
      </c>
      <c r="G218" s="178" t="s">
        <v>88</v>
      </c>
    </row>
    <row r="219" spans="1:7" s="124" customFormat="1" ht="18" customHeight="1">
      <c r="A219" s="76"/>
      <c r="B219" s="312"/>
      <c r="C219" s="311"/>
      <c r="D219" s="312"/>
      <c r="E219" s="348"/>
      <c r="F219" s="79">
        <v>4</v>
      </c>
      <c r="G219" s="178" t="s">
        <v>89</v>
      </c>
    </row>
    <row r="220" spans="1:7" s="124" customFormat="1" ht="18" customHeight="1">
      <c r="A220" s="76"/>
      <c r="B220" s="312"/>
      <c r="C220" s="309" t="s">
        <v>96</v>
      </c>
      <c r="D220" s="310"/>
      <c r="E220" s="352" t="str">
        <f>HYPERLINK("#LAYOUT_p!lay보PMDA1B07","PMDA1B07")</f>
        <v>PMDA1B07</v>
      </c>
      <c r="F220" s="78">
        <v>1</v>
      </c>
      <c r="G220" s="179" t="s">
        <v>86</v>
      </c>
    </row>
    <row r="221" spans="1:7" s="124" customFormat="1" ht="18" customHeight="1">
      <c r="A221" s="76"/>
      <c r="B221" s="312"/>
      <c r="C221" s="311"/>
      <c r="D221" s="312"/>
      <c r="E221" s="348"/>
      <c r="F221" s="79">
        <v>2</v>
      </c>
      <c r="G221" s="178" t="s">
        <v>87</v>
      </c>
    </row>
    <row r="222" spans="1:7" s="124" customFormat="1" ht="18" customHeight="1">
      <c r="A222" s="76"/>
      <c r="B222" s="312"/>
      <c r="C222" s="311"/>
      <c r="D222" s="312"/>
      <c r="E222" s="348"/>
      <c r="F222" s="79">
        <v>3</v>
      </c>
      <c r="G222" s="178" t="s">
        <v>88</v>
      </c>
    </row>
    <row r="223" spans="1:7" s="124" customFormat="1" ht="18" customHeight="1">
      <c r="A223" s="76"/>
      <c r="B223" s="312"/>
      <c r="C223" s="311"/>
      <c r="D223" s="312"/>
      <c r="E223" s="348"/>
      <c r="F223" s="79">
        <v>4</v>
      </c>
      <c r="G223" s="178" t="s">
        <v>89</v>
      </c>
    </row>
    <row r="224" spans="1:7" s="124" customFormat="1" ht="18" customHeight="1">
      <c r="A224" s="76"/>
      <c r="B224" s="312"/>
      <c r="C224" s="309" t="s">
        <v>97</v>
      </c>
      <c r="D224" s="310"/>
      <c r="E224" s="352" t="str">
        <f>HYPERLINK("#LAYOUT_p!lay보PMDA1B08","PMDA1B08")</f>
        <v>PMDA1B08</v>
      </c>
      <c r="F224" s="78">
        <v>1</v>
      </c>
      <c r="G224" s="179" t="s">
        <v>86</v>
      </c>
    </row>
    <row r="225" spans="1:7" s="124" customFormat="1" ht="18" customHeight="1">
      <c r="A225" s="76"/>
      <c r="B225" s="312"/>
      <c r="C225" s="311"/>
      <c r="D225" s="312"/>
      <c r="E225" s="348"/>
      <c r="F225" s="79">
        <v>2</v>
      </c>
      <c r="G225" s="178" t="s">
        <v>87</v>
      </c>
    </row>
    <row r="226" spans="1:7" s="124" customFormat="1" ht="18" customHeight="1">
      <c r="A226" s="76"/>
      <c r="B226" s="312"/>
      <c r="C226" s="311"/>
      <c r="D226" s="312"/>
      <c r="E226" s="348"/>
      <c r="F226" s="79">
        <v>3</v>
      </c>
      <c r="G226" s="178" t="s">
        <v>88</v>
      </c>
    </row>
    <row r="227" spans="1:7" s="124" customFormat="1" ht="18" customHeight="1">
      <c r="A227" s="76"/>
      <c r="B227" s="312"/>
      <c r="C227" s="311"/>
      <c r="D227" s="312"/>
      <c r="E227" s="348"/>
      <c r="F227" s="79">
        <v>4</v>
      </c>
      <c r="G227" s="178" t="s">
        <v>89</v>
      </c>
    </row>
    <row r="228" spans="1:7" s="124" customFormat="1" ht="18" customHeight="1">
      <c r="A228" s="76"/>
      <c r="B228" s="312"/>
      <c r="C228" s="309" t="s">
        <v>98</v>
      </c>
      <c r="D228" s="310"/>
      <c r="E228" s="352" t="str">
        <f>HYPERLINK("#LAYOUT_p!lay보PMDA1B09","PMDA1B09")</f>
        <v>PMDA1B09</v>
      </c>
      <c r="F228" s="78">
        <v>1</v>
      </c>
      <c r="G228" s="179" t="s">
        <v>86</v>
      </c>
    </row>
    <row r="229" spans="1:7" s="124" customFormat="1" ht="18" customHeight="1">
      <c r="A229" s="76"/>
      <c r="B229" s="312"/>
      <c r="C229" s="311"/>
      <c r="D229" s="312"/>
      <c r="E229" s="348"/>
      <c r="F229" s="79">
        <v>2</v>
      </c>
      <c r="G229" s="178" t="s">
        <v>87</v>
      </c>
    </row>
    <row r="230" spans="1:7" s="124" customFormat="1" ht="18" customHeight="1">
      <c r="A230" s="76"/>
      <c r="B230" s="312"/>
      <c r="C230" s="311"/>
      <c r="D230" s="312"/>
      <c r="E230" s="348"/>
      <c r="F230" s="79">
        <v>3</v>
      </c>
      <c r="G230" s="178" t="s">
        <v>88</v>
      </c>
    </row>
    <row r="231" spans="1:7" s="124" customFormat="1" ht="18" customHeight="1">
      <c r="A231" s="76"/>
      <c r="B231" s="312"/>
      <c r="C231" s="311"/>
      <c r="D231" s="312"/>
      <c r="E231" s="348"/>
      <c r="F231" s="79">
        <v>4</v>
      </c>
      <c r="G231" s="178" t="s">
        <v>89</v>
      </c>
    </row>
    <row r="232" spans="1:7" s="124" customFormat="1" ht="18" customHeight="1">
      <c r="A232" s="76"/>
      <c r="B232" s="312"/>
      <c r="C232" s="309" t="s">
        <v>99</v>
      </c>
      <c r="D232" s="310"/>
      <c r="E232" s="352" t="str">
        <f>HYPERLINK("#LAYOUT_p!lay보PMDA1B10","PMDA1B10")</f>
        <v>PMDA1B10</v>
      </c>
      <c r="F232" s="78">
        <v>1</v>
      </c>
      <c r="G232" s="179" t="s">
        <v>86</v>
      </c>
    </row>
    <row r="233" spans="1:7" s="124" customFormat="1" ht="18" customHeight="1">
      <c r="A233" s="76"/>
      <c r="B233" s="312"/>
      <c r="C233" s="311"/>
      <c r="D233" s="312"/>
      <c r="E233" s="348"/>
      <c r="F233" s="79">
        <v>2</v>
      </c>
      <c r="G233" s="178" t="s">
        <v>87</v>
      </c>
    </row>
    <row r="234" spans="1:7" s="124" customFormat="1" ht="18" customHeight="1">
      <c r="A234" s="76"/>
      <c r="B234" s="312"/>
      <c r="C234" s="311"/>
      <c r="D234" s="312"/>
      <c r="E234" s="348"/>
      <c r="F234" s="79">
        <v>3</v>
      </c>
      <c r="G234" s="178" t="s">
        <v>88</v>
      </c>
    </row>
    <row r="235" spans="1:7" s="124" customFormat="1" ht="18" customHeight="1">
      <c r="A235" s="76"/>
      <c r="B235" s="312"/>
      <c r="C235" s="311"/>
      <c r="D235" s="312"/>
      <c r="E235" s="348"/>
      <c r="F235" s="79">
        <v>4</v>
      </c>
      <c r="G235" s="178" t="s">
        <v>89</v>
      </c>
    </row>
    <row r="236" spans="1:7" s="124" customFormat="1" ht="18" customHeight="1">
      <c r="A236" s="76"/>
      <c r="B236" s="312"/>
      <c r="C236" s="309" t="s">
        <v>100</v>
      </c>
      <c r="D236" s="310"/>
      <c r="E236" s="352" t="str">
        <f>HYPERLINK("#LAYOUT_p!lay보PMDA1B11","PMDA1B11")</f>
        <v>PMDA1B11</v>
      </c>
      <c r="F236" s="78">
        <v>1</v>
      </c>
      <c r="G236" s="179" t="s">
        <v>86</v>
      </c>
    </row>
    <row r="237" spans="1:7" s="124" customFormat="1" ht="18" customHeight="1">
      <c r="A237" s="76"/>
      <c r="B237" s="312"/>
      <c r="C237" s="311"/>
      <c r="D237" s="312"/>
      <c r="E237" s="348"/>
      <c r="F237" s="79">
        <v>2</v>
      </c>
      <c r="G237" s="178" t="s">
        <v>87</v>
      </c>
    </row>
    <row r="238" spans="1:7" s="124" customFormat="1" ht="18" customHeight="1">
      <c r="A238" s="76"/>
      <c r="B238" s="312"/>
      <c r="C238" s="311"/>
      <c r="D238" s="312"/>
      <c r="E238" s="348"/>
      <c r="F238" s="79">
        <v>3</v>
      </c>
      <c r="G238" s="178" t="s">
        <v>88</v>
      </c>
    </row>
    <row r="239" spans="1:7" s="124" customFormat="1" ht="18" customHeight="1">
      <c r="A239" s="76"/>
      <c r="B239" s="312"/>
      <c r="C239" s="311"/>
      <c r="D239" s="312"/>
      <c r="E239" s="348"/>
      <c r="F239" s="79">
        <v>4</v>
      </c>
      <c r="G239" s="178" t="s">
        <v>89</v>
      </c>
    </row>
    <row r="240" spans="1:7" s="124" customFormat="1" ht="18" customHeight="1">
      <c r="A240" s="76"/>
      <c r="B240" s="312"/>
      <c r="C240" s="309" t="s">
        <v>1429</v>
      </c>
      <c r="D240" s="310"/>
      <c r="E240" s="352" t="str">
        <f>HYPERLINK("#LAYOUT_p!lay보PMDA1B12","PMDA1B12")</f>
        <v>PMDA1B12</v>
      </c>
      <c r="F240" s="78">
        <v>1</v>
      </c>
      <c r="G240" s="179" t="s">
        <v>86</v>
      </c>
    </row>
    <row r="241" spans="1:7" s="124" customFormat="1" ht="18" customHeight="1">
      <c r="A241" s="76"/>
      <c r="B241" s="312"/>
      <c r="C241" s="311"/>
      <c r="D241" s="312"/>
      <c r="E241" s="348"/>
      <c r="F241" s="79">
        <v>2</v>
      </c>
      <c r="G241" s="178" t="s">
        <v>87</v>
      </c>
    </row>
    <row r="242" spans="1:7" s="124" customFormat="1" ht="18" customHeight="1">
      <c r="A242" s="76"/>
      <c r="B242" s="312"/>
      <c r="C242" s="311"/>
      <c r="D242" s="312"/>
      <c r="E242" s="348"/>
      <c r="F242" s="79">
        <v>3</v>
      </c>
      <c r="G242" s="178" t="s">
        <v>88</v>
      </c>
    </row>
    <row r="243" spans="1:7" s="124" customFormat="1" ht="18" customHeight="1">
      <c r="A243" s="76"/>
      <c r="B243" s="312"/>
      <c r="C243" s="311"/>
      <c r="D243" s="312"/>
      <c r="E243" s="348"/>
      <c r="F243" s="79">
        <v>4</v>
      </c>
      <c r="G243" s="178" t="s">
        <v>89</v>
      </c>
    </row>
    <row r="244" spans="1:7" s="124" customFormat="1" ht="18" customHeight="1">
      <c r="A244" s="76"/>
      <c r="B244" s="312"/>
      <c r="C244" s="309" t="s">
        <v>101</v>
      </c>
      <c r="D244" s="310"/>
      <c r="E244" s="352" t="str">
        <f>HYPERLINK("#LAYOUT_p!lay보PMDA1B13","PMDA1B13")</f>
        <v>PMDA1B13</v>
      </c>
      <c r="F244" s="78">
        <v>1</v>
      </c>
      <c r="G244" s="179" t="s">
        <v>86</v>
      </c>
    </row>
    <row r="245" spans="1:7" s="124" customFormat="1" ht="18" customHeight="1">
      <c r="A245" s="76"/>
      <c r="B245" s="312"/>
      <c r="C245" s="311"/>
      <c r="D245" s="312"/>
      <c r="E245" s="348"/>
      <c r="F245" s="79">
        <v>2</v>
      </c>
      <c r="G245" s="178" t="s">
        <v>87</v>
      </c>
    </row>
    <row r="246" spans="1:7" s="124" customFormat="1" ht="18" customHeight="1">
      <c r="A246" s="76"/>
      <c r="B246" s="312"/>
      <c r="C246" s="311"/>
      <c r="D246" s="312"/>
      <c r="E246" s="348"/>
      <c r="F246" s="79">
        <v>3</v>
      </c>
      <c r="G246" s="178" t="s">
        <v>88</v>
      </c>
    </row>
    <row r="247" spans="1:7" s="124" customFormat="1" ht="18" customHeight="1">
      <c r="A247" s="76"/>
      <c r="B247" s="312"/>
      <c r="C247" s="311"/>
      <c r="D247" s="312"/>
      <c r="E247" s="348"/>
      <c r="F247" s="79">
        <v>4</v>
      </c>
      <c r="G247" s="178" t="s">
        <v>89</v>
      </c>
    </row>
    <row r="248" spans="1:7" s="124" customFormat="1" ht="18" customHeight="1">
      <c r="A248" s="76"/>
      <c r="B248" s="312"/>
      <c r="C248" s="313"/>
      <c r="D248" s="314"/>
      <c r="E248" s="353"/>
      <c r="F248" s="82">
        <v>8</v>
      </c>
      <c r="G248" s="180" t="s">
        <v>90</v>
      </c>
    </row>
    <row r="249" spans="1:7" s="124" customFormat="1" ht="18" customHeight="1">
      <c r="A249" s="76"/>
      <c r="B249" s="314"/>
      <c r="C249" s="318" t="s">
        <v>102</v>
      </c>
      <c r="D249" s="319"/>
      <c r="E249" s="197" t="str">
        <f>HYPERLINK("#LAYOUT_p!lay보PMDA1B13_T","PMDA1B13_T")</f>
        <v>PMDA1B13_T</v>
      </c>
      <c r="F249" s="121" t="s">
        <v>1</v>
      </c>
      <c r="G249" s="177"/>
    </row>
    <row r="250" spans="1:7" s="124" customFormat="1" ht="18" customHeight="1">
      <c r="A250" s="76"/>
      <c r="B250" s="310" t="s">
        <v>523</v>
      </c>
      <c r="C250" s="309" t="s">
        <v>524</v>
      </c>
      <c r="D250" s="310"/>
      <c r="E250" s="287" t="str">
        <f>HYPERLINK("#LAYOUT_p!lay보PMDA1C01","PMDA1C01")</f>
        <v>PMDA1C01</v>
      </c>
      <c r="F250" s="78">
        <v>1</v>
      </c>
      <c r="G250" s="179" t="s">
        <v>105</v>
      </c>
    </row>
    <row r="251" spans="1:7" s="124" customFormat="1" ht="18" customHeight="1">
      <c r="A251" s="76"/>
      <c r="B251" s="312"/>
      <c r="C251" s="311"/>
      <c r="D251" s="312"/>
      <c r="E251" s="289"/>
      <c r="F251" s="79">
        <v>2</v>
      </c>
      <c r="G251" s="178" t="s">
        <v>106</v>
      </c>
    </row>
    <row r="252" spans="1:7" s="124" customFormat="1" ht="18" customHeight="1">
      <c r="A252" s="76"/>
      <c r="B252" s="312"/>
      <c r="C252" s="311"/>
      <c r="D252" s="312"/>
      <c r="E252" s="289"/>
      <c r="F252" s="79">
        <v>3</v>
      </c>
      <c r="G252" s="178" t="s">
        <v>107</v>
      </c>
    </row>
    <row r="253" spans="1:7" s="124" customFormat="1" ht="18" customHeight="1">
      <c r="A253" s="76"/>
      <c r="B253" s="312"/>
      <c r="C253" s="313"/>
      <c r="D253" s="314"/>
      <c r="E253" s="288"/>
      <c r="F253" s="82">
        <v>4</v>
      </c>
      <c r="G253" s="180" t="s">
        <v>108</v>
      </c>
    </row>
    <row r="254" spans="1:7" s="124" customFormat="1" ht="18" customHeight="1">
      <c r="A254" s="76"/>
      <c r="B254" s="312"/>
      <c r="C254" s="309" t="s">
        <v>109</v>
      </c>
      <c r="D254" s="310"/>
      <c r="E254" s="287" t="str">
        <f>HYPERLINK("#LAYOUT_p!lay보PMDA1C02","PMDA1C02")</f>
        <v>PMDA1C02</v>
      </c>
      <c r="F254" s="78">
        <v>1</v>
      </c>
      <c r="G254" s="179" t="s">
        <v>105</v>
      </c>
    </row>
    <row r="255" spans="1:7" s="124" customFormat="1" ht="18" customHeight="1">
      <c r="A255" s="76"/>
      <c r="B255" s="312"/>
      <c r="C255" s="311"/>
      <c r="D255" s="312"/>
      <c r="E255" s="289"/>
      <c r="F255" s="79">
        <v>2</v>
      </c>
      <c r="G255" s="178" t="s">
        <v>106</v>
      </c>
    </row>
    <row r="256" spans="1:7" s="124" customFormat="1" ht="18" customHeight="1">
      <c r="A256" s="76"/>
      <c r="B256" s="312"/>
      <c r="C256" s="311"/>
      <c r="D256" s="312"/>
      <c r="E256" s="289"/>
      <c r="F256" s="79">
        <v>3</v>
      </c>
      <c r="G256" s="178" t="s">
        <v>107</v>
      </c>
    </row>
    <row r="257" spans="1:7" s="124" customFormat="1" ht="18" customHeight="1">
      <c r="A257" s="76"/>
      <c r="B257" s="312"/>
      <c r="C257" s="313"/>
      <c r="D257" s="314"/>
      <c r="E257" s="288"/>
      <c r="F257" s="82">
        <v>4</v>
      </c>
      <c r="G257" s="180" t="s">
        <v>108</v>
      </c>
    </row>
    <row r="258" spans="1:7" s="124" customFormat="1" ht="18" customHeight="1">
      <c r="A258" s="76"/>
      <c r="B258" s="312"/>
      <c r="C258" s="309" t="s">
        <v>110</v>
      </c>
      <c r="D258" s="310"/>
      <c r="E258" s="287" t="str">
        <f>HYPERLINK("#LAYOUT_p!lay보PMDA1C03","PMDA1C03")</f>
        <v>PMDA1C03</v>
      </c>
      <c r="F258" s="78">
        <v>1</v>
      </c>
      <c r="G258" s="179" t="s">
        <v>105</v>
      </c>
    </row>
    <row r="259" spans="1:7" s="124" customFormat="1" ht="18" customHeight="1">
      <c r="A259" s="76"/>
      <c r="B259" s="312"/>
      <c r="C259" s="311"/>
      <c r="D259" s="312"/>
      <c r="E259" s="289"/>
      <c r="F259" s="79">
        <v>2</v>
      </c>
      <c r="G259" s="178" t="s">
        <v>106</v>
      </c>
    </row>
    <row r="260" spans="1:7" s="124" customFormat="1" ht="18" customHeight="1">
      <c r="A260" s="76"/>
      <c r="B260" s="312"/>
      <c r="C260" s="311"/>
      <c r="D260" s="312"/>
      <c r="E260" s="289"/>
      <c r="F260" s="79">
        <v>3</v>
      </c>
      <c r="G260" s="178" t="s">
        <v>107</v>
      </c>
    </row>
    <row r="261" spans="1:7" s="124" customFormat="1" ht="18" customHeight="1">
      <c r="A261" s="76"/>
      <c r="B261" s="312"/>
      <c r="C261" s="313"/>
      <c r="D261" s="314"/>
      <c r="E261" s="288"/>
      <c r="F261" s="82">
        <v>4</v>
      </c>
      <c r="G261" s="180" t="s">
        <v>108</v>
      </c>
    </row>
    <row r="262" spans="1:7" s="124" customFormat="1" ht="18" customHeight="1">
      <c r="A262" s="76"/>
      <c r="B262" s="312"/>
      <c r="C262" s="309" t="s">
        <v>111</v>
      </c>
      <c r="D262" s="310"/>
      <c r="E262" s="287" t="str">
        <f>HYPERLINK("#LAYOUT_p!lay보PMDA1C04","PMDA1C04")</f>
        <v>PMDA1C04</v>
      </c>
      <c r="F262" s="78">
        <v>1</v>
      </c>
      <c r="G262" s="179" t="s">
        <v>105</v>
      </c>
    </row>
    <row r="263" spans="1:7" s="124" customFormat="1" ht="18" customHeight="1">
      <c r="A263" s="76"/>
      <c r="B263" s="312"/>
      <c r="C263" s="311"/>
      <c r="D263" s="312"/>
      <c r="E263" s="289"/>
      <c r="F263" s="79">
        <v>2</v>
      </c>
      <c r="G263" s="178" t="s">
        <v>106</v>
      </c>
    </row>
    <row r="264" spans="1:7" s="124" customFormat="1" ht="18" customHeight="1">
      <c r="A264" s="76"/>
      <c r="B264" s="312"/>
      <c r="C264" s="311"/>
      <c r="D264" s="312"/>
      <c r="E264" s="289"/>
      <c r="F264" s="79">
        <v>3</v>
      </c>
      <c r="G264" s="178" t="s">
        <v>107</v>
      </c>
    </row>
    <row r="265" spans="1:7" s="124" customFormat="1" ht="18" customHeight="1">
      <c r="A265" s="76"/>
      <c r="B265" s="312"/>
      <c r="C265" s="313"/>
      <c r="D265" s="314"/>
      <c r="E265" s="288"/>
      <c r="F265" s="82">
        <v>4</v>
      </c>
      <c r="G265" s="180" t="s">
        <v>108</v>
      </c>
    </row>
    <row r="266" spans="1:7" s="124" customFormat="1" ht="18" customHeight="1">
      <c r="A266" s="76"/>
      <c r="B266" s="312"/>
      <c r="C266" s="309" t="s">
        <v>112</v>
      </c>
      <c r="D266" s="310"/>
      <c r="E266" s="287" t="str">
        <f>HYPERLINK("#LAYOUT_p!lay보PMDA1C05","PMDA1C05")</f>
        <v>PMDA1C05</v>
      </c>
      <c r="F266" s="78">
        <v>1</v>
      </c>
      <c r="G266" s="179" t="s">
        <v>105</v>
      </c>
    </row>
    <row r="267" spans="1:7" s="124" customFormat="1" ht="18" customHeight="1">
      <c r="A267" s="76"/>
      <c r="B267" s="312"/>
      <c r="C267" s="311"/>
      <c r="D267" s="312"/>
      <c r="E267" s="289"/>
      <c r="F267" s="79">
        <v>2</v>
      </c>
      <c r="G267" s="178" t="s">
        <v>106</v>
      </c>
    </row>
    <row r="268" spans="1:7" s="124" customFormat="1" ht="18" customHeight="1">
      <c r="A268" s="76"/>
      <c r="B268" s="312"/>
      <c r="C268" s="311"/>
      <c r="D268" s="312"/>
      <c r="E268" s="289"/>
      <c r="F268" s="79">
        <v>3</v>
      </c>
      <c r="G268" s="178" t="s">
        <v>107</v>
      </c>
    </row>
    <row r="269" spans="1:7" s="124" customFormat="1" ht="18" customHeight="1">
      <c r="A269" s="76"/>
      <c r="B269" s="312"/>
      <c r="C269" s="313"/>
      <c r="D269" s="314"/>
      <c r="E269" s="288"/>
      <c r="F269" s="82">
        <v>4</v>
      </c>
      <c r="G269" s="180" t="s">
        <v>108</v>
      </c>
    </row>
    <row r="270" spans="1:7" s="124" customFormat="1" ht="18" customHeight="1">
      <c r="A270" s="76"/>
      <c r="B270" s="312"/>
      <c r="C270" s="309" t="s">
        <v>525</v>
      </c>
      <c r="D270" s="310"/>
      <c r="E270" s="287" t="str">
        <f>HYPERLINK("#LAYOUT_p!lay보PMDA1C06","PMDA1C06")</f>
        <v>PMDA1C06</v>
      </c>
      <c r="F270" s="78">
        <v>1</v>
      </c>
      <c r="G270" s="179" t="s">
        <v>105</v>
      </c>
    </row>
    <row r="271" spans="1:7" s="124" customFormat="1" ht="18" customHeight="1">
      <c r="A271" s="76"/>
      <c r="B271" s="312"/>
      <c r="C271" s="311"/>
      <c r="D271" s="312"/>
      <c r="E271" s="289"/>
      <c r="F271" s="79">
        <v>2</v>
      </c>
      <c r="G271" s="178" t="s">
        <v>106</v>
      </c>
    </row>
    <row r="272" spans="1:7" s="124" customFormat="1" ht="18" customHeight="1">
      <c r="A272" s="76"/>
      <c r="B272" s="312"/>
      <c r="C272" s="311"/>
      <c r="D272" s="312"/>
      <c r="E272" s="289"/>
      <c r="F272" s="79">
        <v>3</v>
      </c>
      <c r="G272" s="178" t="s">
        <v>107</v>
      </c>
    </row>
    <row r="273" spans="1:7" s="124" customFormat="1" ht="18" customHeight="1">
      <c r="A273" s="76"/>
      <c r="B273" s="312"/>
      <c r="C273" s="313"/>
      <c r="D273" s="314"/>
      <c r="E273" s="288"/>
      <c r="F273" s="82">
        <v>4</v>
      </c>
      <c r="G273" s="180" t="s">
        <v>108</v>
      </c>
    </row>
    <row r="274" spans="1:7" s="124" customFormat="1" ht="18" customHeight="1">
      <c r="A274" s="76"/>
      <c r="B274" s="312"/>
      <c r="C274" s="309" t="s">
        <v>114</v>
      </c>
      <c r="D274" s="310"/>
      <c r="E274" s="287" t="str">
        <f>HYPERLINK("#LAYOUT_p!lay보PMDA1C07","PMDA1C07")</f>
        <v>PMDA1C07</v>
      </c>
      <c r="F274" s="78">
        <v>1</v>
      </c>
      <c r="G274" s="179" t="s">
        <v>105</v>
      </c>
    </row>
    <row r="275" spans="1:7" s="124" customFormat="1" ht="18" customHeight="1">
      <c r="A275" s="76"/>
      <c r="B275" s="312"/>
      <c r="C275" s="311"/>
      <c r="D275" s="312"/>
      <c r="E275" s="289"/>
      <c r="F275" s="79">
        <v>2</v>
      </c>
      <c r="G275" s="178" t="s">
        <v>106</v>
      </c>
    </row>
    <row r="276" spans="1:7" s="124" customFormat="1" ht="18" customHeight="1">
      <c r="A276" s="76"/>
      <c r="B276" s="312"/>
      <c r="C276" s="311"/>
      <c r="D276" s="312"/>
      <c r="E276" s="289"/>
      <c r="F276" s="79">
        <v>3</v>
      </c>
      <c r="G276" s="178" t="s">
        <v>107</v>
      </c>
    </row>
    <row r="277" spans="1:7" s="124" customFormat="1" ht="18" customHeight="1">
      <c r="A277" s="76"/>
      <c r="B277" s="312"/>
      <c r="C277" s="313"/>
      <c r="D277" s="314"/>
      <c r="E277" s="288"/>
      <c r="F277" s="82">
        <v>4</v>
      </c>
      <c r="G277" s="180" t="s">
        <v>108</v>
      </c>
    </row>
    <row r="278" spans="1:7" s="124" customFormat="1" ht="18" customHeight="1">
      <c r="A278" s="76"/>
      <c r="B278" s="312"/>
      <c r="C278" s="309" t="s">
        <v>115</v>
      </c>
      <c r="D278" s="310"/>
      <c r="E278" s="287" t="str">
        <f>HYPERLINK("#LAYOUT_p!lay보PMDA1C08","PMDA1C08")</f>
        <v>PMDA1C08</v>
      </c>
      <c r="F278" s="78">
        <v>1</v>
      </c>
      <c r="G278" s="179" t="s">
        <v>105</v>
      </c>
    </row>
    <row r="279" spans="1:7" s="124" customFormat="1" ht="18" customHeight="1">
      <c r="A279" s="76"/>
      <c r="B279" s="312"/>
      <c r="C279" s="311"/>
      <c r="D279" s="312"/>
      <c r="E279" s="289"/>
      <c r="F279" s="79">
        <v>2</v>
      </c>
      <c r="G279" s="178" t="s">
        <v>106</v>
      </c>
    </row>
    <row r="280" spans="1:7" s="124" customFormat="1" ht="18" customHeight="1">
      <c r="A280" s="76"/>
      <c r="B280" s="312"/>
      <c r="C280" s="311"/>
      <c r="D280" s="312"/>
      <c r="E280" s="289"/>
      <c r="F280" s="79">
        <v>3</v>
      </c>
      <c r="G280" s="178" t="s">
        <v>107</v>
      </c>
    </row>
    <row r="281" spans="1:7" s="124" customFormat="1" ht="18" customHeight="1">
      <c r="A281" s="76"/>
      <c r="B281" s="312"/>
      <c r="C281" s="313"/>
      <c r="D281" s="314"/>
      <c r="E281" s="288"/>
      <c r="F281" s="82">
        <v>4</v>
      </c>
      <c r="G281" s="180" t="s">
        <v>108</v>
      </c>
    </row>
    <row r="282" spans="1:7" s="124" customFormat="1" ht="18" customHeight="1">
      <c r="A282" s="76"/>
      <c r="B282" s="312"/>
      <c r="C282" s="309" t="s">
        <v>116</v>
      </c>
      <c r="D282" s="310"/>
      <c r="E282" s="287" t="str">
        <f>HYPERLINK("#LAYOUT_p!lay보PMDA1C09","PMDA1C09")</f>
        <v>PMDA1C09</v>
      </c>
      <c r="F282" s="78">
        <v>1</v>
      </c>
      <c r="G282" s="179" t="s">
        <v>105</v>
      </c>
    </row>
    <row r="283" spans="1:7" s="124" customFormat="1" ht="18" customHeight="1">
      <c r="A283" s="76"/>
      <c r="B283" s="312"/>
      <c r="C283" s="311"/>
      <c r="D283" s="312"/>
      <c r="E283" s="289"/>
      <c r="F283" s="79">
        <v>2</v>
      </c>
      <c r="G283" s="178" t="s">
        <v>106</v>
      </c>
    </row>
    <row r="284" spans="1:7" s="124" customFormat="1" ht="18" customHeight="1">
      <c r="A284" s="76"/>
      <c r="B284" s="312"/>
      <c r="C284" s="311"/>
      <c r="D284" s="312"/>
      <c r="E284" s="289"/>
      <c r="F284" s="79">
        <v>3</v>
      </c>
      <c r="G284" s="178" t="s">
        <v>107</v>
      </c>
    </row>
    <row r="285" spans="1:7" s="124" customFormat="1" ht="18" customHeight="1">
      <c r="A285" s="76"/>
      <c r="B285" s="312"/>
      <c r="C285" s="313"/>
      <c r="D285" s="314"/>
      <c r="E285" s="288"/>
      <c r="F285" s="82">
        <v>4</v>
      </c>
      <c r="G285" s="180" t="s">
        <v>108</v>
      </c>
    </row>
    <row r="286" spans="1:7" s="124" customFormat="1" ht="18" customHeight="1">
      <c r="A286" s="76"/>
      <c r="B286" s="312"/>
      <c r="C286" s="309" t="s">
        <v>117</v>
      </c>
      <c r="D286" s="310"/>
      <c r="E286" s="287" t="str">
        <f>HYPERLINK("#LAYOUT_p!lay보PMDA1C10","PMDA1C10")</f>
        <v>PMDA1C10</v>
      </c>
      <c r="F286" s="78">
        <v>1</v>
      </c>
      <c r="G286" s="179" t="s">
        <v>105</v>
      </c>
    </row>
    <row r="287" spans="1:7" s="124" customFormat="1" ht="18" customHeight="1">
      <c r="A287" s="76"/>
      <c r="B287" s="312"/>
      <c r="C287" s="311"/>
      <c r="D287" s="312"/>
      <c r="E287" s="289"/>
      <c r="F287" s="79">
        <v>2</v>
      </c>
      <c r="G287" s="178" t="s">
        <v>106</v>
      </c>
    </row>
    <row r="288" spans="1:7" s="124" customFormat="1" ht="18" customHeight="1">
      <c r="A288" s="76"/>
      <c r="B288" s="312"/>
      <c r="C288" s="311"/>
      <c r="D288" s="312"/>
      <c r="E288" s="289"/>
      <c r="F288" s="79">
        <v>3</v>
      </c>
      <c r="G288" s="178" t="s">
        <v>107</v>
      </c>
    </row>
    <row r="289" spans="1:7" s="124" customFormat="1" ht="18" customHeight="1">
      <c r="A289" s="76"/>
      <c r="B289" s="312"/>
      <c r="C289" s="313"/>
      <c r="D289" s="314"/>
      <c r="E289" s="288"/>
      <c r="F289" s="82">
        <v>4</v>
      </c>
      <c r="G289" s="180" t="s">
        <v>108</v>
      </c>
    </row>
    <row r="290" spans="1:7" s="124" customFormat="1" ht="18" customHeight="1">
      <c r="A290" s="76"/>
      <c r="B290" s="312"/>
      <c r="C290" s="309" t="s">
        <v>118</v>
      </c>
      <c r="D290" s="310"/>
      <c r="E290" s="287" t="str">
        <f>HYPERLINK("#LAYOUT_p!lay보PMDA1C11","PMDA1C11")</f>
        <v>PMDA1C11</v>
      </c>
      <c r="F290" s="78">
        <v>1</v>
      </c>
      <c r="G290" s="179" t="s">
        <v>105</v>
      </c>
    </row>
    <row r="291" spans="1:7" s="124" customFormat="1" ht="18" customHeight="1">
      <c r="A291" s="76"/>
      <c r="B291" s="312"/>
      <c r="C291" s="311"/>
      <c r="D291" s="312"/>
      <c r="E291" s="289"/>
      <c r="F291" s="79">
        <v>2</v>
      </c>
      <c r="G291" s="178" t="s">
        <v>106</v>
      </c>
    </row>
    <row r="292" spans="1:7" s="124" customFormat="1" ht="18" customHeight="1">
      <c r="A292" s="76"/>
      <c r="B292" s="312"/>
      <c r="C292" s="311"/>
      <c r="D292" s="312"/>
      <c r="E292" s="289"/>
      <c r="F292" s="79">
        <v>3</v>
      </c>
      <c r="G292" s="178" t="s">
        <v>107</v>
      </c>
    </row>
    <row r="293" spans="1:7" s="124" customFormat="1" ht="18" customHeight="1">
      <c r="A293" s="76"/>
      <c r="B293" s="312"/>
      <c r="C293" s="313"/>
      <c r="D293" s="314"/>
      <c r="E293" s="288"/>
      <c r="F293" s="82">
        <v>4</v>
      </c>
      <c r="G293" s="180" t="s">
        <v>108</v>
      </c>
    </row>
    <row r="294" spans="1:7" s="124" customFormat="1" ht="18" customHeight="1">
      <c r="A294" s="76"/>
      <c r="B294" s="312"/>
      <c r="C294" s="309" t="s">
        <v>119</v>
      </c>
      <c r="D294" s="310"/>
      <c r="E294" s="287" t="str">
        <f>HYPERLINK("#LAYOUT_p!lay보PMDA1C12","PMDA1C12")</f>
        <v>PMDA1C12</v>
      </c>
      <c r="F294" s="78">
        <v>1</v>
      </c>
      <c r="G294" s="179" t="s">
        <v>105</v>
      </c>
    </row>
    <row r="295" spans="1:7" s="124" customFormat="1" ht="18" customHeight="1">
      <c r="A295" s="76"/>
      <c r="B295" s="312"/>
      <c r="C295" s="311"/>
      <c r="D295" s="312"/>
      <c r="E295" s="289"/>
      <c r="F295" s="79">
        <v>2</v>
      </c>
      <c r="G295" s="178" t="s">
        <v>106</v>
      </c>
    </row>
    <row r="296" spans="1:7" s="124" customFormat="1" ht="18" customHeight="1">
      <c r="A296" s="76"/>
      <c r="B296" s="312"/>
      <c r="C296" s="311"/>
      <c r="D296" s="312"/>
      <c r="E296" s="289"/>
      <c r="F296" s="79">
        <v>3</v>
      </c>
      <c r="G296" s="178" t="s">
        <v>107</v>
      </c>
    </row>
    <row r="297" spans="1:7" s="124" customFormat="1" ht="18" customHeight="1">
      <c r="A297" s="76"/>
      <c r="B297" s="312"/>
      <c r="C297" s="313"/>
      <c r="D297" s="314"/>
      <c r="E297" s="288"/>
      <c r="F297" s="82">
        <v>4</v>
      </c>
      <c r="G297" s="180" t="s">
        <v>108</v>
      </c>
    </row>
    <row r="298" spans="1:7" s="124" customFormat="1" ht="18" customHeight="1">
      <c r="A298" s="76"/>
      <c r="B298" s="312"/>
      <c r="C298" s="309" t="s">
        <v>120</v>
      </c>
      <c r="D298" s="310"/>
      <c r="E298" s="287" t="str">
        <f>HYPERLINK("#LAYOUT_p!lay보PMDA1C13","PMDA1C13")</f>
        <v>PMDA1C13</v>
      </c>
      <c r="F298" s="78">
        <v>1</v>
      </c>
      <c r="G298" s="179" t="s">
        <v>105</v>
      </c>
    </row>
    <row r="299" spans="1:7" s="124" customFormat="1" ht="18" customHeight="1">
      <c r="A299" s="76"/>
      <c r="B299" s="312"/>
      <c r="C299" s="311"/>
      <c r="D299" s="312"/>
      <c r="E299" s="289"/>
      <c r="F299" s="79">
        <v>2</v>
      </c>
      <c r="G299" s="178" t="s">
        <v>106</v>
      </c>
    </row>
    <row r="300" spans="1:7" s="124" customFormat="1" ht="18" customHeight="1">
      <c r="A300" s="76"/>
      <c r="B300" s="312"/>
      <c r="C300" s="311"/>
      <c r="D300" s="312"/>
      <c r="E300" s="289"/>
      <c r="F300" s="79">
        <v>3</v>
      </c>
      <c r="G300" s="178" t="s">
        <v>107</v>
      </c>
    </row>
    <row r="301" spans="1:7" s="124" customFormat="1" ht="18" customHeight="1">
      <c r="A301" s="76"/>
      <c r="B301" s="312"/>
      <c r="C301" s="313"/>
      <c r="D301" s="314"/>
      <c r="E301" s="288"/>
      <c r="F301" s="82">
        <v>4</v>
      </c>
      <c r="G301" s="180" t="s">
        <v>108</v>
      </c>
    </row>
    <row r="302" spans="1:7" s="124" customFormat="1" ht="18" customHeight="1">
      <c r="A302" s="76"/>
      <c r="B302" s="312"/>
      <c r="C302" s="309" t="s">
        <v>121</v>
      </c>
      <c r="D302" s="310"/>
      <c r="E302" s="287" t="str">
        <f>HYPERLINK("#LAYOUT_p!lay보PMDA1C14","PMDA1C14")</f>
        <v>PMDA1C14</v>
      </c>
      <c r="F302" s="78">
        <v>1</v>
      </c>
      <c r="G302" s="179" t="s">
        <v>105</v>
      </c>
    </row>
    <row r="303" spans="1:7" s="124" customFormat="1" ht="18" customHeight="1">
      <c r="A303" s="76"/>
      <c r="B303" s="312"/>
      <c r="C303" s="311"/>
      <c r="D303" s="312"/>
      <c r="E303" s="289"/>
      <c r="F303" s="79">
        <v>2</v>
      </c>
      <c r="G303" s="178" t="s">
        <v>106</v>
      </c>
    </row>
    <row r="304" spans="1:7" s="124" customFormat="1" ht="18" customHeight="1">
      <c r="A304" s="76"/>
      <c r="B304" s="312"/>
      <c r="C304" s="311"/>
      <c r="D304" s="312"/>
      <c r="E304" s="289"/>
      <c r="F304" s="79">
        <v>3</v>
      </c>
      <c r="G304" s="178" t="s">
        <v>107</v>
      </c>
    </row>
    <row r="305" spans="1:7" s="124" customFormat="1" ht="18" customHeight="1">
      <c r="A305" s="76"/>
      <c r="B305" s="312"/>
      <c r="C305" s="313"/>
      <c r="D305" s="314"/>
      <c r="E305" s="288"/>
      <c r="F305" s="82">
        <v>4</v>
      </c>
      <c r="G305" s="180" t="s">
        <v>108</v>
      </c>
    </row>
    <row r="306" spans="1:7" s="124" customFormat="1" ht="18" customHeight="1">
      <c r="A306" s="76"/>
      <c r="B306" s="312"/>
      <c r="C306" s="309" t="s">
        <v>122</v>
      </c>
      <c r="D306" s="310"/>
      <c r="E306" s="287" t="str">
        <f>HYPERLINK("#LAYOUT_p!lay보PMDA1C15","PMDA1C15")</f>
        <v>PMDA1C15</v>
      </c>
      <c r="F306" s="78">
        <v>1</v>
      </c>
      <c r="G306" s="179" t="s">
        <v>105</v>
      </c>
    </row>
    <row r="307" spans="1:7" s="124" customFormat="1" ht="18" customHeight="1">
      <c r="A307" s="76"/>
      <c r="B307" s="312"/>
      <c r="C307" s="311"/>
      <c r="D307" s="312"/>
      <c r="E307" s="289"/>
      <c r="F307" s="79">
        <v>2</v>
      </c>
      <c r="G307" s="178" t="s">
        <v>106</v>
      </c>
    </row>
    <row r="308" spans="1:7" s="124" customFormat="1" ht="18" customHeight="1">
      <c r="A308" s="76"/>
      <c r="B308" s="312"/>
      <c r="C308" s="311"/>
      <c r="D308" s="312"/>
      <c r="E308" s="289"/>
      <c r="F308" s="79">
        <v>3</v>
      </c>
      <c r="G308" s="178" t="s">
        <v>107</v>
      </c>
    </row>
    <row r="309" spans="1:7" s="124" customFormat="1" ht="18" customHeight="1">
      <c r="A309" s="76"/>
      <c r="B309" s="314"/>
      <c r="C309" s="313"/>
      <c r="D309" s="314"/>
      <c r="E309" s="288"/>
      <c r="F309" s="82">
        <v>4</v>
      </c>
      <c r="G309" s="180" t="s">
        <v>108</v>
      </c>
    </row>
    <row r="310" spans="1:7" s="124" customFormat="1" ht="18" customHeight="1">
      <c r="A310" s="76"/>
      <c r="B310" s="310" t="s">
        <v>526</v>
      </c>
      <c r="C310" s="309" t="s">
        <v>164</v>
      </c>
      <c r="D310" s="310"/>
      <c r="E310" s="287" t="str">
        <f>HYPERLINK("#LAYOUT_p!lay보PPSY1A01","PPSY1A01")</f>
        <v>PPSY1A01</v>
      </c>
      <c r="F310" s="78">
        <v>1</v>
      </c>
      <c r="G310" s="179" t="s">
        <v>105</v>
      </c>
    </row>
    <row r="311" spans="1:7" s="124" customFormat="1" ht="18" customHeight="1">
      <c r="A311" s="76"/>
      <c r="B311" s="312"/>
      <c r="C311" s="311"/>
      <c r="D311" s="312"/>
      <c r="E311" s="289"/>
      <c r="F311" s="79">
        <v>2</v>
      </c>
      <c r="G311" s="178" t="s">
        <v>106</v>
      </c>
    </row>
    <row r="312" spans="1:7" s="124" customFormat="1" ht="18" customHeight="1">
      <c r="A312" s="76"/>
      <c r="B312" s="312"/>
      <c r="C312" s="311"/>
      <c r="D312" s="312"/>
      <c r="E312" s="289"/>
      <c r="F312" s="79">
        <v>3</v>
      </c>
      <c r="G312" s="178" t="s">
        <v>107</v>
      </c>
    </row>
    <row r="313" spans="1:7" s="124" customFormat="1" ht="18" customHeight="1">
      <c r="A313" s="76"/>
      <c r="B313" s="312"/>
      <c r="C313" s="313"/>
      <c r="D313" s="314"/>
      <c r="E313" s="288"/>
      <c r="F313" s="82">
        <v>4</v>
      </c>
      <c r="G313" s="180" t="s">
        <v>108</v>
      </c>
    </row>
    <row r="314" spans="1:7" s="124" customFormat="1" ht="18" customHeight="1">
      <c r="A314" s="76"/>
      <c r="B314" s="312"/>
      <c r="C314" s="309" t="s">
        <v>165</v>
      </c>
      <c r="D314" s="310"/>
      <c r="E314" s="287" t="str">
        <f>HYPERLINK("#LAYOUT_p!lay보PPSY1A02","PPSY1A02")</f>
        <v>PPSY1A02</v>
      </c>
      <c r="F314" s="78">
        <v>1</v>
      </c>
      <c r="G314" s="179" t="s">
        <v>105</v>
      </c>
    </row>
    <row r="315" spans="1:7" s="124" customFormat="1" ht="18" customHeight="1">
      <c r="A315" s="76"/>
      <c r="B315" s="312"/>
      <c r="C315" s="311"/>
      <c r="D315" s="312"/>
      <c r="E315" s="289"/>
      <c r="F315" s="79">
        <v>2</v>
      </c>
      <c r="G315" s="178" t="s">
        <v>106</v>
      </c>
    </row>
    <row r="316" spans="1:7" s="124" customFormat="1" ht="18" customHeight="1">
      <c r="A316" s="76"/>
      <c r="B316" s="312"/>
      <c r="C316" s="311"/>
      <c r="D316" s="312"/>
      <c r="E316" s="289"/>
      <c r="F316" s="79">
        <v>3</v>
      </c>
      <c r="G316" s="178" t="s">
        <v>107</v>
      </c>
    </row>
    <row r="317" spans="1:7" s="124" customFormat="1" ht="18" customHeight="1">
      <c r="A317" s="76"/>
      <c r="B317" s="312"/>
      <c r="C317" s="313"/>
      <c r="D317" s="314"/>
      <c r="E317" s="288"/>
      <c r="F317" s="82">
        <v>4</v>
      </c>
      <c r="G317" s="180" t="s">
        <v>108</v>
      </c>
    </row>
    <row r="318" spans="1:7" s="124" customFormat="1" ht="18" customHeight="1">
      <c r="A318" s="76"/>
      <c r="B318" s="312"/>
      <c r="C318" s="309" t="s">
        <v>166</v>
      </c>
      <c r="D318" s="310"/>
      <c r="E318" s="287" t="str">
        <f>HYPERLINK("#LAYOUT_p!lay보PPSY1A03","PPSY1A03")</f>
        <v>PPSY1A03</v>
      </c>
      <c r="F318" s="78">
        <v>1</v>
      </c>
      <c r="G318" s="179" t="s">
        <v>105</v>
      </c>
    </row>
    <row r="319" spans="1:7" s="124" customFormat="1" ht="18" customHeight="1">
      <c r="A319" s="76"/>
      <c r="B319" s="312"/>
      <c r="C319" s="311"/>
      <c r="D319" s="312"/>
      <c r="E319" s="289"/>
      <c r="F319" s="79">
        <v>2</v>
      </c>
      <c r="G319" s="178" t="s">
        <v>106</v>
      </c>
    </row>
    <row r="320" spans="1:7" s="124" customFormat="1" ht="18" customHeight="1">
      <c r="A320" s="76"/>
      <c r="B320" s="312"/>
      <c r="C320" s="311"/>
      <c r="D320" s="312"/>
      <c r="E320" s="289"/>
      <c r="F320" s="79">
        <v>3</v>
      </c>
      <c r="G320" s="178" t="s">
        <v>107</v>
      </c>
    </row>
    <row r="321" spans="1:7" s="124" customFormat="1" ht="18" customHeight="1">
      <c r="A321" s="76"/>
      <c r="B321" s="312"/>
      <c r="C321" s="313"/>
      <c r="D321" s="314"/>
      <c r="E321" s="288"/>
      <c r="F321" s="82">
        <v>4</v>
      </c>
      <c r="G321" s="180" t="s">
        <v>108</v>
      </c>
    </row>
    <row r="322" spans="1:7" s="124" customFormat="1" ht="18" customHeight="1">
      <c r="A322" s="76"/>
      <c r="B322" s="312"/>
      <c r="C322" s="309" t="s">
        <v>167</v>
      </c>
      <c r="D322" s="310"/>
      <c r="E322" s="287" t="str">
        <f>HYPERLINK("#LAYOUT_p!lay보PPSY1A04","PPSY1A04")</f>
        <v>PPSY1A04</v>
      </c>
      <c r="F322" s="78">
        <v>1</v>
      </c>
      <c r="G322" s="179" t="s">
        <v>105</v>
      </c>
    </row>
    <row r="323" spans="1:7" s="124" customFormat="1" ht="18" customHeight="1">
      <c r="A323" s="76"/>
      <c r="B323" s="312"/>
      <c r="C323" s="311"/>
      <c r="D323" s="312"/>
      <c r="E323" s="289"/>
      <c r="F323" s="79">
        <v>2</v>
      </c>
      <c r="G323" s="178" t="s">
        <v>106</v>
      </c>
    </row>
    <row r="324" spans="1:7" s="124" customFormat="1" ht="18" customHeight="1">
      <c r="A324" s="76"/>
      <c r="B324" s="312"/>
      <c r="C324" s="311"/>
      <c r="D324" s="312"/>
      <c r="E324" s="289"/>
      <c r="F324" s="79">
        <v>3</v>
      </c>
      <c r="G324" s="178" t="s">
        <v>107</v>
      </c>
    </row>
    <row r="325" spans="1:7" s="124" customFormat="1" ht="18" customHeight="1">
      <c r="A325" s="76"/>
      <c r="B325" s="312"/>
      <c r="C325" s="313"/>
      <c r="D325" s="314"/>
      <c r="E325" s="288"/>
      <c r="F325" s="82">
        <v>4</v>
      </c>
      <c r="G325" s="180" t="s">
        <v>108</v>
      </c>
    </row>
    <row r="326" spans="1:7" s="124" customFormat="1" ht="18" customHeight="1">
      <c r="A326" s="76"/>
      <c r="B326" s="312"/>
      <c r="C326" s="309" t="s">
        <v>168</v>
      </c>
      <c r="D326" s="310"/>
      <c r="E326" s="287" t="str">
        <f>HYPERLINK("#LAYOUT_p!lay보PPSY1A05","PPSY1A05")</f>
        <v>PPSY1A05</v>
      </c>
      <c r="F326" s="78">
        <v>1</v>
      </c>
      <c r="G326" s="179" t="s">
        <v>105</v>
      </c>
    </row>
    <row r="327" spans="1:7" s="124" customFormat="1" ht="18" customHeight="1">
      <c r="A327" s="76"/>
      <c r="B327" s="312"/>
      <c r="C327" s="311"/>
      <c r="D327" s="312"/>
      <c r="E327" s="289"/>
      <c r="F327" s="79">
        <v>2</v>
      </c>
      <c r="G327" s="178" t="s">
        <v>106</v>
      </c>
    </row>
    <row r="328" spans="1:7" s="124" customFormat="1" ht="18" customHeight="1">
      <c r="A328" s="76"/>
      <c r="B328" s="312"/>
      <c r="C328" s="311"/>
      <c r="D328" s="312"/>
      <c r="E328" s="289"/>
      <c r="F328" s="79">
        <v>3</v>
      </c>
      <c r="G328" s="178" t="s">
        <v>107</v>
      </c>
    </row>
    <row r="329" spans="1:7" s="124" customFormat="1" ht="18" customHeight="1">
      <c r="A329" s="76"/>
      <c r="B329" s="314"/>
      <c r="C329" s="313"/>
      <c r="D329" s="314"/>
      <c r="E329" s="288"/>
      <c r="F329" s="82">
        <v>4</v>
      </c>
      <c r="G329" s="180" t="s">
        <v>108</v>
      </c>
    </row>
    <row r="330" spans="1:7" s="124" customFormat="1" ht="18" customHeight="1">
      <c r="A330" s="76"/>
      <c r="B330" s="310" t="s">
        <v>527</v>
      </c>
      <c r="C330" s="309" t="s">
        <v>170</v>
      </c>
      <c r="D330" s="310"/>
      <c r="E330" s="287" t="str">
        <f>HYPERLINK("#LAYOUT_p!lay보PPSY2A01","PPSY2A01")</f>
        <v>PPSY2A01</v>
      </c>
      <c r="F330" s="78">
        <v>1</v>
      </c>
      <c r="G330" s="179" t="s">
        <v>171</v>
      </c>
    </row>
    <row r="331" spans="1:7" s="124" customFormat="1" ht="18" customHeight="1">
      <c r="A331" s="76"/>
      <c r="B331" s="312"/>
      <c r="C331" s="311"/>
      <c r="D331" s="312"/>
      <c r="E331" s="289"/>
      <c r="F331" s="79">
        <v>2</v>
      </c>
      <c r="G331" s="178" t="s">
        <v>172</v>
      </c>
    </row>
    <row r="332" spans="1:7" s="124" customFormat="1" ht="18" customHeight="1">
      <c r="A332" s="76"/>
      <c r="B332" s="312"/>
      <c r="C332" s="311"/>
      <c r="D332" s="312"/>
      <c r="E332" s="289"/>
      <c r="F332" s="79">
        <v>3</v>
      </c>
      <c r="G332" s="178" t="s">
        <v>173</v>
      </c>
    </row>
    <row r="333" spans="1:7" s="124" customFormat="1" ht="18" customHeight="1">
      <c r="A333" s="76"/>
      <c r="B333" s="312"/>
      <c r="C333" s="313"/>
      <c r="D333" s="314"/>
      <c r="E333" s="288"/>
      <c r="F333" s="82">
        <v>4</v>
      </c>
      <c r="G333" s="180" t="s">
        <v>174</v>
      </c>
    </row>
    <row r="334" spans="1:7" s="124" customFormat="1" ht="18" customHeight="1">
      <c r="A334" s="76"/>
      <c r="B334" s="312"/>
      <c r="C334" s="309" t="s">
        <v>175</v>
      </c>
      <c r="D334" s="310"/>
      <c r="E334" s="287" t="str">
        <f>HYPERLINK("#LAYOUT_p!lay보PPSY2A02","PPSY2A02")</f>
        <v>PPSY2A02</v>
      </c>
      <c r="F334" s="78">
        <v>1</v>
      </c>
      <c r="G334" s="179" t="s">
        <v>171</v>
      </c>
    </row>
    <row r="335" spans="1:7" s="124" customFormat="1" ht="18" customHeight="1">
      <c r="A335" s="76"/>
      <c r="B335" s="312"/>
      <c r="C335" s="311"/>
      <c r="D335" s="312"/>
      <c r="E335" s="289"/>
      <c r="F335" s="79">
        <v>2</v>
      </c>
      <c r="G335" s="178" t="s">
        <v>172</v>
      </c>
    </row>
    <row r="336" spans="1:7" s="124" customFormat="1" ht="18" customHeight="1">
      <c r="A336" s="76"/>
      <c r="B336" s="312"/>
      <c r="C336" s="311"/>
      <c r="D336" s="312"/>
      <c r="E336" s="289"/>
      <c r="F336" s="79">
        <v>3</v>
      </c>
      <c r="G336" s="178" t="s">
        <v>173</v>
      </c>
    </row>
    <row r="337" spans="1:7" s="124" customFormat="1" ht="18" customHeight="1">
      <c r="A337" s="76"/>
      <c r="B337" s="314"/>
      <c r="C337" s="313"/>
      <c r="D337" s="314"/>
      <c r="E337" s="288"/>
      <c r="F337" s="82">
        <v>4</v>
      </c>
      <c r="G337" s="180" t="s">
        <v>174</v>
      </c>
    </row>
    <row r="338" spans="1:7" s="124" customFormat="1" ht="18" customHeight="1">
      <c r="A338" s="76"/>
      <c r="B338" s="310" t="s">
        <v>527</v>
      </c>
      <c r="C338" s="309" t="s">
        <v>176</v>
      </c>
      <c r="D338" s="310"/>
      <c r="E338" s="287" t="str">
        <f>HYPERLINK("#LAYOUT_p!lay보PPSY2A03","PPSY2A03")</f>
        <v>PPSY2A03</v>
      </c>
      <c r="F338" s="78">
        <v>1</v>
      </c>
      <c r="G338" s="179" t="s">
        <v>105</v>
      </c>
    </row>
    <row r="339" spans="1:7" s="124" customFormat="1" ht="18" customHeight="1">
      <c r="A339" s="76"/>
      <c r="B339" s="312"/>
      <c r="C339" s="311"/>
      <c r="D339" s="312"/>
      <c r="E339" s="289"/>
      <c r="F339" s="79">
        <v>2</v>
      </c>
      <c r="G339" s="178" t="s">
        <v>106</v>
      </c>
    </row>
    <row r="340" spans="1:7" s="124" customFormat="1" ht="18" customHeight="1">
      <c r="A340" s="76"/>
      <c r="B340" s="312"/>
      <c r="C340" s="311"/>
      <c r="D340" s="312"/>
      <c r="E340" s="289"/>
      <c r="F340" s="79">
        <v>3</v>
      </c>
      <c r="G340" s="178" t="s">
        <v>107</v>
      </c>
    </row>
    <row r="341" spans="1:7" s="124" customFormat="1" ht="18" customHeight="1">
      <c r="A341" s="76"/>
      <c r="B341" s="312"/>
      <c r="C341" s="313"/>
      <c r="D341" s="314"/>
      <c r="E341" s="288"/>
      <c r="F341" s="82">
        <v>4</v>
      </c>
      <c r="G341" s="180" t="s">
        <v>108</v>
      </c>
    </row>
    <row r="342" spans="1:7" s="124" customFormat="1" ht="18" customHeight="1">
      <c r="A342" s="76"/>
      <c r="B342" s="312"/>
      <c r="C342" s="309" t="s">
        <v>177</v>
      </c>
      <c r="D342" s="310"/>
      <c r="E342" s="287" t="str">
        <f>HYPERLINK("#LAYOUT_p!lay보PPSY2A04","PPSY2A04")</f>
        <v>PPSY2A04</v>
      </c>
      <c r="F342" s="78">
        <v>1</v>
      </c>
      <c r="G342" s="179" t="s">
        <v>105</v>
      </c>
    </row>
    <row r="343" spans="1:7" s="124" customFormat="1" ht="18" customHeight="1">
      <c r="A343" s="76"/>
      <c r="B343" s="312"/>
      <c r="C343" s="311"/>
      <c r="D343" s="312"/>
      <c r="E343" s="289"/>
      <c r="F343" s="79">
        <v>2</v>
      </c>
      <c r="G343" s="178" t="s">
        <v>106</v>
      </c>
    </row>
    <row r="344" spans="1:7" s="124" customFormat="1" ht="18" customHeight="1">
      <c r="A344" s="76"/>
      <c r="B344" s="312"/>
      <c r="C344" s="311"/>
      <c r="D344" s="312"/>
      <c r="E344" s="289"/>
      <c r="F344" s="79">
        <v>3</v>
      </c>
      <c r="G344" s="178" t="s">
        <v>107</v>
      </c>
    </row>
    <row r="345" spans="1:7" s="124" customFormat="1" ht="18" customHeight="1">
      <c r="A345" s="76"/>
      <c r="B345" s="314"/>
      <c r="C345" s="313"/>
      <c r="D345" s="314"/>
      <c r="E345" s="288"/>
      <c r="F345" s="82">
        <v>4</v>
      </c>
      <c r="G345" s="180" t="s">
        <v>108</v>
      </c>
    </row>
    <row r="346" spans="1:7" s="124" customFormat="1" ht="18" customHeight="1">
      <c r="A346" s="76"/>
      <c r="B346" s="310" t="s">
        <v>136</v>
      </c>
      <c r="C346" s="309" t="s">
        <v>178</v>
      </c>
      <c r="D346" s="310"/>
      <c r="E346" s="287" t="str">
        <f>HYPERLINK("#LAYOUT_p!lay보PPSY3A01","PPSY3A01")</f>
        <v>PPSY3A01</v>
      </c>
      <c r="F346" s="78">
        <v>1</v>
      </c>
      <c r="G346" s="179" t="s">
        <v>105</v>
      </c>
    </row>
    <row r="347" spans="1:7" s="124" customFormat="1" ht="18" customHeight="1">
      <c r="A347" s="76"/>
      <c r="B347" s="312"/>
      <c r="C347" s="311"/>
      <c r="D347" s="312"/>
      <c r="E347" s="289"/>
      <c r="F347" s="79">
        <v>2</v>
      </c>
      <c r="G347" s="178" t="s">
        <v>106</v>
      </c>
    </row>
    <row r="348" spans="1:7" s="124" customFormat="1" ht="18" customHeight="1">
      <c r="A348" s="76"/>
      <c r="B348" s="312"/>
      <c r="C348" s="311"/>
      <c r="D348" s="312"/>
      <c r="E348" s="289"/>
      <c r="F348" s="79">
        <v>3</v>
      </c>
      <c r="G348" s="178" t="s">
        <v>107</v>
      </c>
    </row>
    <row r="349" spans="1:7" s="124" customFormat="1" ht="18" customHeight="1">
      <c r="A349" s="76"/>
      <c r="B349" s="312"/>
      <c r="C349" s="313"/>
      <c r="D349" s="314"/>
      <c r="E349" s="288"/>
      <c r="F349" s="82">
        <v>4</v>
      </c>
      <c r="G349" s="180" t="s">
        <v>108</v>
      </c>
    </row>
    <row r="350" spans="1:7" s="124" customFormat="1" ht="18" customHeight="1">
      <c r="A350" s="76"/>
      <c r="B350" s="312"/>
      <c r="C350" s="309" t="s">
        <v>179</v>
      </c>
      <c r="D350" s="310"/>
      <c r="E350" s="287" t="str">
        <f>HYPERLINK("#LAYOUT_p!lay보PPSY3A02","PPSY3A02")</f>
        <v>PPSY3A02</v>
      </c>
      <c r="F350" s="78">
        <v>1</v>
      </c>
      <c r="G350" s="179" t="s">
        <v>105</v>
      </c>
    </row>
    <row r="351" spans="1:7" s="124" customFormat="1" ht="18" customHeight="1">
      <c r="A351" s="76"/>
      <c r="B351" s="312"/>
      <c r="C351" s="311"/>
      <c r="D351" s="312"/>
      <c r="E351" s="289"/>
      <c r="F351" s="79">
        <v>2</v>
      </c>
      <c r="G351" s="178" t="s">
        <v>106</v>
      </c>
    </row>
    <row r="352" spans="1:7" s="124" customFormat="1" ht="18" customHeight="1">
      <c r="A352" s="76"/>
      <c r="B352" s="312"/>
      <c r="C352" s="311"/>
      <c r="D352" s="312"/>
      <c r="E352" s="289"/>
      <c r="F352" s="79">
        <v>3</v>
      </c>
      <c r="G352" s="178" t="s">
        <v>107</v>
      </c>
    </row>
    <row r="353" spans="1:7" s="124" customFormat="1" ht="18" customHeight="1">
      <c r="A353" s="76"/>
      <c r="B353" s="312"/>
      <c r="C353" s="313"/>
      <c r="D353" s="314"/>
      <c r="E353" s="288"/>
      <c r="F353" s="82">
        <v>4</v>
      </c>
      <c r="G353" s="180" t="s">
        <v>108</v>
      </c>
    </row>
    <row r="354" spans="1:7" s="124" customFormat="1" ht="18" customHeight="1">
      <c r="A354" s="76"/>
      <c r="B354" s="312"/>
      <c r="C354" s="309" t="s">
        <v>180</v>
      </c>
      <c r="D354" s="310"/>
      <c r="E354" s="287" t="str">
        <f>HYPERLINK("#LAYOUT_p!lay보PPSY3A03","PPSY3A03")</f>
        <v>PPSY3A03</v>
      </c>
      <c r="F354" s="78">
        <v>1</v>
      </c>
      <c r="G354" s="179" t="s">
        <v>105</v>
      </c>
    </row>
    <row r="355" spans="1:7" s="124" customFormat="1" ht="18" customHeight="1">
      <c r="A355" s="76"/>
      <c r="B355" s="312"/>
      <c r="C355" s="311"/>
      <c r="D355" s="312"/>
      <c r="E355" s="289"/>
      <c r="F355" s="79">
        <v>2</v>
      </c>
      <c r="G355" s="178" t="s">
        <v>106</v>
      </c>
    </row>
    <row r="356" spans="1:7" s="124" customFormat="1" ht="18" customHeight="1">
      <c r="A356" s="76"/>
      <c r="B356" s="312"/>
      <c r="C356" s="311"/>
      <c r="D356" s="312"/>
      <c r="E356" s="289"/>
      <c r="F356" s="79">
        <v>3</v>
      </c>
      <c r="G356" s="178" t="s">
        <v>107</v>
      </c>
    </row>
    <row r="357" spans="1:7" s="124" customFormat="1" ht="18" customHeight="1">
      <c r="A357" s="76"/>
      <c r="B357" s="312"/>
      <c r="C357" s="313"/>
      <c r="D357" s="314"/>
      <c r="E357" s="288"/>
      <c r="F357" s="82">
        <v>4</v>
      </c>
      <c r="G357" s="180" t="s">
        <v>108</v>
      </c>
    </row>
    <row r="358" spans="1:7" s="124" customFormat="1" ht="18" customHeight="1">
      <c r="A358" s="76"/>
      <c r="B358" s="312"/>
      <c r="C358" s="309" t="s">
        <v>181</v>
      </c>
      <c r="D358" s="310"/>
      <c r="E358" s="287" t="str">
        <f>HYPERLINK("#LAYOUT_p!lay보PPSY3A04","PPSY3A04")</f>
        <v>PPSY3A04</v>
      </c>
      <c r="F358" s="78">
        <v>1</v>
      </c>
      <c r="G358" s="179" t="s">
        <v>105</v>
      </c>
    </row>
    <row r="359" spans="1:7" s="124" customFormat="1" ht="18" customHeight="1">
      <c r="A359" s="76"/>
      <c r="B359" s="312"/>
      <c r="C359" s="311"/>
      <c r="D359" s="312"/>
      <c r="E359" s="289"/>
      <c r="F359" s="79">
        <v>2</v>
      </c>
      <c r="G359" s="178" t="s">
        <v>106</v>
      </c>
    </row>
    <row r="360" spans="1:7" s="124" customFormat="1" ht="18" customHeight="1">
      <c r="A360" s="76"/>
      <c r="B360" s="312"/>
      <c r="C360" s="311"/>
      <c r="D360" s="312"/>
      <c r="E360" s="289"/>
      <c r="F360" s="79">
        <v>3</v>
      </c>
      <c r="G360" s="178" t="s">
        <v>107</v>
      </c>
    </row>
    <row r="361" spans="1:7" s="124" customFormat="1" ht="18" customHeight="1">
      <c r="A361" s="76"/>
      <c r="B361" s="312"/>
      <c r="C361" s="313"/>
      <c r="D361" s="314"/>
      <c r="E361" s="288"/>
      <c r="F361" s="82">
        <v>4</v>
      </c>
      <c r="G361" s="180" t="s">
        <v>108</v>
      </c>
    </row>
    <row r="362" spans="1:7" s="124" customFormat="1" ht="18" customHeight="1">
      <c r="A362" s="76"/>
      <c r="B362" s="312"/>
      <c r="C362" s="309" t="s">
        <v>182</v>
      </c>
      <c r="D362" s="310"/>
      <c r="E362" s="287" t="str">
        <f>HYPERLINK("#LAYOUT_p!lay보PPSY3A05","PPSY3A05")</f>
        <v>PPSY3A05</v>
      </c>
      <c r="F362" s="78">
        <v>1</v>
      </c>
      <c r="G362" s="179" t="s">
        <v>105</v>
      </c>
    </row>
    <row r="363" spans="1:7" s="124" customFormat="1" ht="18" customHeight="1">
      <c r="A363" s="76"/>
      <c r="B363" s="312"/>
      <c r="C363" s="311"/>
      <c r="D363" s="312"/>
      <c r="E363" s="289"/>
      <c r="F363" s="79">
        <v>2</v>
      </c>
      <c r="G363" s="178" t="s">
        <v>106</v>
      </c>
    </row>
    <row r="364" spans="1:7" s="124" customFormat="1" ht="18" customHeight="1">
      <c r="A364" s="76"/>
      <c r="B364" s="312"/>
      <c r="C364" s="311"/>
      <c r="D364" s="312"/>
      <c r="E364" s="289"/>
      <c r="F364" s="79">
        <v>3</v>
      </c>
      <c r="G364" s="178" t="s">
        <v>107</v>
      </c>
    </row>
    <row r="365" spans="1:7" s="124" customFormat="1" ht="18" customHeight="1">
      <c r="A365" s="76"/>
      <c r="B365" s="312"/>
      <c r="C365" s="313"/>
      <c r="D365" s="314"/>
      <c r="E365" s="288"/>
      <c r="F365" s="82">
        <v>4</v>
      </c>
      <c r="G365" s="180" t="s">
        <v>108</v>
      </c>
    </row>
    <row r="366" spans="1:7" s="124" customFormat="1" ht="18" customHeight="1">
      <c r="A366" s="76"/>
      <c r="B366" s="312"/>
      <c r="C366" s="309" t="s">
        <v>183</v>
      </c>
      <c r="D366" s="310"/>
      <c r="E366" s="287" t="str">
        <f>HYPERLINK("#LAYOUT_p!lay보PPSY3A06","PPSY3A06")</f>
        <v>PPSY3A06</v>
      </c>
      <c r="F366" s="78">
        <v>1</v>
      </c>
      <c r="G366" s="179" t="s">
        <v>105</v>
      </c>
    </row>
    <row r="367" spans="1:7" s="124" customFormat="1" ht="18" customHeight="1">
      <c r="A367" s="76"/>
      <c r="B367" s="312"/>
      <c r="C367" s="311"/>
      <c r="D367" s="312"/>
      <c r="E367" s="289"/>
      <c r="F367" s="79">
        <v>2</v>
      </c>
      <c r="G367" s="178" t="s">
        <v>106</v>
      </c>
    </row>
    <row r="368" spans="1:7" s="124" customFormat="1" ht="18" customHeight="1">
      <c r="A368" s="76"/>
      <c r="B368" s="312"/>
      <c r="C368" s="311"/>
      <c r="D368" s="312"/>
      <c r="E368" s="289"/>
      <c r="F368" s="79">
        <v>3</v>
      </c>
      <c r="G368" s="178" t="s">
        <v>107</v>
      </c>
    </row>
    <row r="369" spans="1:7" s="124" customFormat="1" ht="18" customHeight="1">
      <c r="A369" s="76"/>
      <c r="B369" s="312"/>
      <c r="C369" s="313"/>
      <c r="D369" s="314"/>
      <c r="E369" s="288"/>
      <c r="F369" s="82">
        <v>4</v>
      </c>
      <c r="G369" s="180" t="s">
        <v>108</v>
      </c>
    </row>
    <row r="370" spans="1:7" s="124" customFormat="1" ht="18" customHeight="1">
      <c r="A370" s="76"/>
      <c r="B370" s="312"/>
      <c r="C370" s="309" t="s">
        <v>184</v>
      </c>
      <c r="D370" s="310"/>
      <c r="E370" s="287" t="str">
        <f>HYPERLINK("#LAYOUT_p!lay보PPSY3A07","PPSY3A07")</f>
        <v>PPSY3A07</v>
      </c>
      <c r="F370" s="78">
        <v>1</v>
      </c>
      <c r="G370" s="179" t="s">
        <v>105</v>
      </c>
    </row>
    <row r="371" spans="1:7" s="124" customFormat="1" ht="18" customHeight="1">
      <c r="A371" s="76"/>
      <c r="B371" s="312"/>
      <c r="C371" s="311"/>
      <c r="D371" s="312"/>
      <c r="E371" s="289"/>
      <c r="F371" s="79">
        <v>2</v>
      </c>
      <c r="G371" s="178" t="s">
        <v>106</v>
      </c>
    </row>
    <row r="372" spans="1:7" s="124" customFormat="1" ht="18" customHeight="1">
      <c r="A372" s="76"/>
      <c r="B372" s="312"/>
      <c r="C372" s="311"/>
      <c r="D372" s="312"/>
      <c r="E372" s="289"/>
      <c r="F372" s="79">
        <v>3</v>
      </c>
      <c r="G372" s="178" t="s">
        <v>107</v>
      </c>
    </row>
    <row r="373" spans="1:7" s="124" customFormat="1" ht="18" customHeight="1">
      <c r="A373" s="76"/>
      <c r="B373" s="312"/>
      <c r="C373" s="313"/>
      <c r="D373" s="314"/>
      <c r="E373" s="288"/>
      <c r="F373" s="82">
        <v>4</v>
      </c>
      <c r="G373" s="180" t="s">
        <v>108</v>
      </c>
    </row>
    <row r="374" spans="1:7" s="124" customFormat="1" ht="18" customHeight="1">
      <c r="A374" s="76"/>
      <c r="B374" s="312"/>
      <c r="C374" s="309" t="s">
        <v>185</v>
      </c>
      <c r="D374" s="310"/>
      <c r="E374" s="287" t="str">
        <f>HYPERLINK("#LAYOUT_p!lay보PPSY3A08","PPSY3A08")</f>
        <v>PPSY3A08</v>
      </c>
      <c r="F374" s="78">
        <v>1</v>
      </c>
      <c r="G374" s="179" t="s">
        <v>105</v>
      </c>
    </row>
    <row r="375" spans="1:7" s="124" customFormat="1" ht="18" customHeight="1">
      <c r="A375" s="76"/>
      <c r="B375" s="312"/>
      <c r="C375" s="311"/>
      <c r="D375" s="312"/>
      <c r="E375" s="289"/>
      <c r="F375" s="79">
        <v>2</v>
      </c>
      <c r="G375" s="178" t="s">
        <v>106</v>
      </c>
    </row>
    <row r="376" spans="1:7" s="124" customFormat="1" ht="18" customHeight="1">
      <c r="A376" s="76"/>
      <c r="B376" s="312"/>
      <c r="C376" s="311"/>
      <c r="D376" s="312"/>
      <c r="E376" s="289"/>
      <c r="F376" s="79">
        <v>3</v>
      </c>
      <c r="G376" s="178" t="s">
        <v>107</v>
      </c>
    </row>
    <row r="377" spans="1:7" s="124" customFormat="1" ht="18" customHeight="1">
      <c r="A377" s="76"/>
      <c r="B377" s="312"/>
      <c r="C377" s="313"/>
      <c r="D377" s="314"/>
      <c r="E377" s="288"/>
      <c r="F377" s="82">
        <v>4</v>
      </c>
      <c r="G377" s="180" t="s">
        <v>108</v>
      </c>
    </row>
    <row r="378" spans="1:7" s="124" customFormat="1" ht="18" customHeight="1">
      <c r="A378" s="76"/>
      <c r="B378" s="312"/>
      <c r="C378" s="309" t="s">
        <v>186</v>
      </c>
      <c r="D378" s="310"/>
      <c r="E378" s="287" t="str">
        <f>HYPERLINK("#LAYOUT_p!lay보PPSY3A09","PPSY3A09")</f>
        <v>PPSY3A09</v>
      </c>
      <c r="F378" s="78">
        <v>1</v>
      </c>
      <c r="G378" s="179" t="s">
        <v>105</v>
      </c>
    </row>
    <row r="379" spans="1:7" s="124" customFormat="1" ht="18" customHeight="1">
      <c r="A379" s="76"/>
      <c r="B379" s="312"/>
      <c r="C379" s="311"/>
      <c r="D379" s="312"/>
      <c r="E379" s="289"/>
      <c r="F379" s="79">
        <v>2</v>
      </c>
      <c r="G379" s="178" t="s">
        <v>106</v>
      </c>
    </row>
    <row r="380" spans="1:7" s="124" customFormat="1" ht="18" customHeight="1">
      <c r="A380" s="76"/>
      <c r="B380" s="312"/>
      <c r="C380" s="311"/>
      <c r="D380" s="312"/>
      <c r="E380" s="289"/>
      <c r="F380" s="79">
        <v>3</v>
      </c>
      <c r="G380" s="178" t="s">
        <v>107</v>
      </c>
    </row>
    <row r="381" spans="1:7" s="124" customFormat="1" ht="18" customHeight="1">
      <c r="A381" s="76"/>
      <c r="B381" s="312"/>
      <c r="C381" s="313"/>
      <c r="D381" s="314"/>
      <c r="E381" s="288"/>
      <c r="F381" s="82">
        <v>4</v>
      </c>
      <c r="G381" s="180" t="s">
        <v>108</v>
      </c>
    </row>
    <row r="382" spans="1:7" s="124" customFormat="1" ht="18" customHeight="1">
      <c r="A382" s="76"/>
      <c r="B382" s="312"/>
      <c r="C382" s="309" t="s">
        <v>187</v>
      </c>
      <c r="D382" s="310"/>
      <c r="E382" s="287" t="str">
        <f>HYPERLINK("#LAYOUT_p!lay보PPSY3A10","PPSY3A10")</f>
        <v>PPSY3A10</v>
      </c>
      <c r="F382" s="78">
        <v>1</v>
      </c>
      <c r="G382" s="179" t="s">
        <v>105</v>
      </c>
    </row>
    <row r="383" spans="1:7" s="124" customFormat="1" ht="18" customHeight="1">
      <c r="A383" s="76"/>
      <c r="B383" s="312"/>
      <c r="C383" s="311"/>
      <c r="D383" s="312"/>
      <c r="E383" s="289"/>
      <c r="F383" s="79">
        <v>2</v>
      </c>
      <c r="G383" s="178" t="s">
        <v>106</v>
      </c>
    </row>
    <row r="384" spans="1:7" s="124" customFormat="1" ht="18" customHeight="1">
      <c r="A384" s="76"/>
      <c r="B384" s="312"/>
      <c r="C384" s="311"/>
      <c r="D384" s="312"/>
      <c r="E384" s="289"/>
      <c r="F384" s="79">
        <v>3</v>
      </c>
      <c r="G384" s="178" t="s">
        <v>107</v>
      </c>
    </row>
    <row r="385" spans="1:7" s="124" customFormat="1" ht="18" customHeight="1">
      <c r="A385" s="76"/>
      <c r="B385" s="314"/>
      <c r="C385" s="313"/>
      <c r="D385" s="314"/>
      <c r="E385" s="288"/>
      <c r="F385" s="79">
        <v>4</v>
      </c>
      <c r="G385" s="178" t="s">
        <v>108</v>
      </c>
    </row>
    <row r="386" spans="1:7" s="124" customFormat="1" ht="18" customHeight="1">
      <c r="A386" s="76"/>
      <c r="B386" s="310" t="s">
        <v>383</v>
      </c>
      <c r="C386" s="309" t="s">
        <v>384</v>
      </c>
      <c r="D386" s="310"/>
      <c r="E386" s="287" t="str">
        <f>HYPERLINK("#LAYOUT_p!lay보PPSY4A01","PPSY4A01")</f>
        <v>PPSY4A01</v>
      </c>
      <c r="F386" s="78">
        <v>0</v>
      </c>
      <c r="G386" s="179" t="s">
        <v>385</v>
      </c>
    </row>
    <row r="387" spans="1:7" s="124" customFormat="1" ht="18" customHeight="1">
      <c r="A387" s="76"/>
      <c r="B387" s="312"/>
      <c r="C387" s="313"/>
      <c r="D387" s="314"/>
      <c r="E387" s="288"/>
      <c r="F387" s="82">
        <v>1</v>
      </c>
      <c r="G387" s="180" t="s">
        <v>386</v>
      </c>
    </row>
    <row r="388" spans="1:7" s="124" customFormat="1" ht="18" customHeight="1">
      <c r="A388" s="76"/>
      <c r="B388" s="312"/>
      <c r="C388" s="309" t="s">
        <v>387</v>
      </c>
      <c r="D388" s="310"/>
      <c r="E388" s="287" t="str">
        <f>HYPERLINK("#LAYOUT_p!lay보PPSY4A02","PPSY4A02")</f>
        <v>PPSY4A02</v>
      </c>
      <c r="F388" s="78">
        <v>0</v>
      </c>
      <c r="G388" s="179" t="s">
        <v>385</v>
      </c>
    </row>
    <row r="389" spans="1:7" s="124" customFormat="1" ht="18" customHeight="1">
      <c r="A389" s="76"/>
      <c r="B389" s="312"/>
      <c r="C389" s="313"/>
      <c r="D389" s="314"/>
      <c r="E389" s="288"/>
      <c r="F389" s="82">
        <v>1</v>
      </c>
      <c r="G389" s="180" t="s">
        <v>386</v>
      </c>
    </row>
    <row r="390" spans="1:7" s="124" customFormat="1" ht="18" customHeight="1">
      <c r="A390" s="76"/>
      <c r="B390" s="312"/>
      <c r="C390" s="309" t="s">
        <v>388</v>
      </c>
      <c r="D390" s="310"/>
      <c r="E390" s="287" t="str">
        <f>HYPERLINK("#LAYOUT_p!lay보PPSY4A03","PPSY4A03")</f>
        <v>PPSY4A03</v>
      </c>
      <c r="F390" s="78">
        <v>0</v>
      </c>
      <c r="G390" s="179" t="s">
        <v>385</v>
      </c>
    </row>
    <row r="391" spans="1:7" s="124" customFormat="1" ht="18" customHeight="1">
      <c r="A391" s="76"/>
      <c r="B391" s="312"/>
      <c r="C391" s="313"/>
      <c r="D391" s="314"/>
      <c r="E391" s="288"/>
      <c r="F391" s="82">
        <v>1</v>
      </c>
      <c r="G391" s="180" t="s">
        <v>386</v>
      </c>
    </row>
    <row r="392" spans="1:7" s="124" customFormat="1" ht="18" customHeight="1">
      <c r="A392" s="76"/>
      <c r="B392" s="312"/>
      <c r="C392" s="309" t="s">
        <v>389</v>
      </c>
      <c r="D392" s="310"/>
      <c r="E392" s="287" t="str">
        <f>HYPERLINK("#LAYOUT_p!lay보PPSY4A04","PPSY4A04")</f>
        <v>PPSY4A04</v>
      </c>
      <c r="F392" s="78">
        <v>0</v>
      </c>
      <c r="G392" s="179" t="s">
        <v>385</v>
      </c>
    </row>
    <row r="393" spans="1:7" s="124" customFormat="1" ht="18" customHeight="1">
      <c r="A393" s="76"/>
      <c r="B393" s="312"/>
      <c r="C393" s="313"/>
      <c r="D393" s="314"/>
      <c r="E393" s="288"/>
      <c r="F393" s="82">
        <v>1</v>
      </c>
      <c r="G393" s="180" t="s">
        <v>386</v>
      </c>
    </row>
    <row r="394" spans="1:7" s="124" customFormat="1" ht="18" customHeight="1">
      <c r="A394" s="76"/>
      <c r="B394" s="312"/>
      <c r="C394" s="309" t="s">
        <v>390</v>
      </c>
      <c r="D394" s="310"/>
      <c r="E394" s="287" t="str">
        <f>HYPERLINK("#LAYOUT_p!lay보PPSY4A05","PPSY4A05")</f>
        <v>PPSY4A05</v>
      </c>
      <c r="F394" s="78">
        <v>0</v>
      </c>
      <c r="G394" s="179" t="s">
        <v>385</v>
      </c>
    </row>
    <row r="395" spans="1:7" s="124" customFormat="1" ht="18" customHeight="1">
      <c r="A395" s="76"/>
      <c r="B395" s="312"/>
      <c r="C395" s="313"/>
      <c r="D395" s="314"/>
      <c r="E395" s="288"/>
      <c r="F395" s="82">
        <v>1</v>
      </c>
      <c r="G395" s="180" t="s">
        <v>386</v>
      </c>
    </row>
    <row r="396" spans="1:7" s="124" customFormat="1" ht="18" customHeight="1">
      <c r="A396" s="76"/>
      <c r="B396" s="312"/>
      <c r="C396" s="309" t="s">
        <v>391</v>
      </c>
      <c r="D396" s="310"/>
      <c r="E396" s="287" t="str">
        <f>HYPERLINK("#LAYOUT_p!lay보PPSY4A06","PPSY4A06")</f>
        <v>PPSY4A06</v>
      </c>
      <c r="F396" s="78">
        <v>0</v>
      </c>
      <c r="G396" s="179" t="s">
        <v>385</v>
      </c>
    </row>
    <row r="397" spans="1:7" s="124" customFormat="1" ht="18" customHeight="1">
      <c r="A397" s="76"/>
      <c r="B397" s="312"/>
      <c r="C397" s="313"/>
      <c r="D397" s="314"/>
      <c r="E397" s="288"/>
      <c r="F397" s="82">
        <v>1</v>
      </c>
      <c r="G397" s="180" t="s">
        <v>386</v>
      </c>
    </row>
    <row r="398" spans="1:7" s="124" customFormat="1" ht="18" customHeight="1">
      <c r="A398" s="76"/>
      <c r="B398" s="312"/>
      <c r="C398" s="309" t="s">
        <v>392</v>
      </c>
      <c r="D398" s="310"/>
      <c r="E398" s="287" t="str">
        <f>HYPERLINK("#LAYOUT_p!lay보PPSY4A07","PPSY4A07")</f>
        <v>PPSY4A07</v>
      </c>
      <c r="F398" s="78">
        <v>0</v>
      </c>
      <c r="G398" s="179" t="s">
        <v>385</v>
      </c>
    </row>
    <row r="399" spans="1:7" s="124" customFormat="1" ht="18" customHeight="1">
      <c r="A399" s="76"/>
      <c r="B399" s="312"/>
      <c r="C399" s="313"/>
      <c r="D399" s="314"/>
      <c r="E399" s="288"/>
      <c r="F399" s="82">
        <v>1</v>
      </c>
      <c r="G399" s="180" t="s">
        <v>386</v>
      </c>
    </row>
    <row r="400" spans="1:7" s="124" customFormat="1" ht="18" customHeight="1">
      <c r="A400" s="76"/>
      <c r="B400" s="312"/>
      <c r="C400" s="309" t="s">
        <v>393</v>
      </c>
      <c r="D400" s="310"/>
      <c r="E400" s="287" t="str">
        <f>HYPERLINK("#LAYOUT_p!lay보PPSY4A08","PPSY4A08")</f>
        <v>PPSY4A08</v>
      </c>
      <c r="F400" s="78">
        <v>0</v>
      </c>
      <c r="G400" s="179" t="s">
        <v>385</v>
      </c>
    </row>
    <row r="401" spans="1:7" s="124" customFormat="1" ht="18" customHeight="1">
      <c r="A401" s="76"/>
      <c r="B401" s="312"/>
      <c r="C401" s="313"/>
      <c r="D401" s="314"/>
      <c r="E401" s="288"/>
      <c r="F401" s="82">
        <v>1</v>
      </c>
      <c r="G401" s="180" t="s">
        <v>386</v>
      </c>
    </row>
    <row r="402" spans="1:7" s="124" customFormat="1" ht="18" customHeight="1">
      <c r="A402" s="76"/>
      <c r="B402" s="312"/>
      <c r="C402" s="309" t="s">
        <v>394</v>
      </c>
      <c r="D402" s="310"/>
      <c r="E402" s="287" t="str">
        <f>HYPERLINK("#LAYOUT_p!lay보PPSY4A09","PPSY4A09")</f>
        <v>PPSY4A09</v>
      </c>
      <c r="F402" s="78">
        <v>0</v>
      </c>
      <c r="G402" s="179" t="s">
        <v>385</v>
      </c>
    </row>
    <row r="403" spans="1:7" s="124" customFormat="1" ht="18" customHeight="1">
      <c r="A403" s="76"/>
      <c r="B403" s="312"/>
      <c r="C403" s="313"/>
      <c r="D403" s="314"/>
      <c r="E403" s="288"/>
      <c r="F403" s="82">
        <v>1</v>
      </c>
      <c r="G403" s="180" t="s">
        <v>386</v>
      </c>
    </row>
    <row r="404" spans="1:7" s="124" customFormat="1" ht="18" customHeight="1">
      <c r="A404" s="76"/>
      <c r="B404" s="312"/>
      <c r="C404" s="309" t="s">
        <v>395</v>
      </c>
      <c r="D404" s="310"/>
      <c r="E404" s="287" t="str">
        <f>HYPERLINK("#LAYOUT_p!lay보PPSY4A10","PPSY4A10")</f>
        <v>PPSY4A10</v>
      </c>
      <c r="F404" s="78">
        <v>0</v>
      </c>
      <c r="G404" s="179" t="s">
        <v>385</v>
      </c>
    </row>
    <row r="405" spans="1:7" s="124" customFormat="1" ht="18" customHeight="1">
      <c r="A405" s="76"/>
      <c r="B405" s="312"/>
      <c r="C405" s="313"/>
      <c r="D405" s="314"/>
      <c r="E405" s="288"/>
      <c r="F405" s="82">
        <v>1</v>
      </c>
      <c r="G405" s="180" t="s">
        <v>386</v>
      </c>
    </row>
    <row r="406" spans="1:7" s="124" customFormat="1" ht="18" customHeight="1">
      <c r="A406" s="76"/>
      <c r="B406" s="312"/>
      <c r="C406" s="309" t="s">
        <v>396</v>
      </c>
      <c r="D406" s="310"/>
      <c r="E406" s="287" t="str">
        <f>HYPERLINK("#LAYOUT_p!lay보PPSY4A11","PPSY4A11")</f>
        <v>PPSY4A11</v>
      </c>
      <c r="F406" s="78">
        <v>0</v>
      </c>
      <c r="G406" s="179" t="s">
        <v>385</v>
      </c>
    </row>
    <row r="407" spans="1:7" s="124" customFormat="1" ht="18" customHeight="1">
      <c r="A407" s="76"/>
      <c r="B407" s="312"/>
      <c r="C407" s="313"/>
      <c r="D407" s="314"/>
      <c r="E407" s="288"/>
      <c r="F407" s="82">
        <v>1</v>
      </c>
      <c r="G407" s="180" t="s">
        <v>386</v>
      </c>
    </row>
    <row r="408" spans="1:7" s="124" customFormat="1" ht="18" customHeight="1">
      <c r="A408" s="76"/>
      <c r="B408" s="312"/>
      <c r="C408" s="309" t="s">
        <v>397</v>
      </c>
      <c r="D408" s="310"/>
      <c r="E408" s="287" t="str">
        <f>HYPERLINK("#LAYOUT_p!lay보PPSY4A12","PPSY4A12")</f>
        <v>PPSY4A12</v>
      </c>
      <c r="F408" s="78">
        <v>0</v>
      </c>
      <c r="G408" s="179" t="s">
        <v>385</v>
      </c>
    </row>
    <row r="409" spans="1:7" s="124" customFormat="1" ht="18" customHeight="1">
      <c r="A409" s="76"/>
      <c r="B409" s="312"/>
      <c r="C409" s="313"/>
      <c r="D409" s="314"/>
      <c r="E409" s="288"/>
      <c r="F409" s="82">
        <v>1</v>
      </c>
      <c r="G409" s="180" t="s">
        <v>386</v>
      </c>
    </row>
    <row r="410" spans="1:7" s="124" customFormat="1" ht="18" customHeight="1">
      <c r="A410" s="76"/>
      <c r="B410" s="312"/>
      <c r="C410" s="309" t="s">
        <v>398</v>
      </c>
      <c r="D410" s="310"/>
      <c r="E410" s="287" t="str">
        <f>HYPERLINK("#LAYOUT_p!lay보PPSY4A13","PPSY4A13")</f>
        <v>PPSY4A13</v>
      </c>
      <c r="F410" s="78">
        <v>0</v>
      </c>
      <c r="G410" s="179" t="s">
        <v>385</v>
      </c>
    </row>
    <row r="411" spans="1:7" s="124" customFormat="1" ht="18" customHeight="1">
      <c r="A411" s="76"/>
      <c r="B411" s="312"/>
      <c r="C411" s="313"/>
      <c r="D411" s="314"/>
      <c r="E411" s="288"/>
      <c r="F411" s="82">
        <v>1</v>
      </c>
      <c r="G411" s="180" t="s">
        <v>386</v>
      </c>
    </row>
    <row r="412" spans="1:7" s="124" customFormat="1" ht="18" customHeight="1">
      <c r="A412" s="76"/>
      <c r="B412" s="312"/>
      <c r="C412" s="309" t="s">
        <v>399</v>
      </c>
      <c r="D412" s="310"/>
      <c r="E412" s="287" t="str">
        <f>HYPERLINK("#LAYOUT_p!lay보PPSY4A14","PPSY4A14")</f>
        <v>PPSY4A14</v>
      </c>
      <c r="F412" s="78">
        <v>0</v>
      </c>
      <c r="G412" s="179" t="s">
        <v>385</v>
      </c>
    </row>
    <row r="413" spans="1:7" s="124" customFormat="1" ht="18" customHeight="1">
      <c r="A413" s="76"/>
      <c r="B413" s="312"/>
      <c r="C413" s="313"/>
      <c r="D413" s="314"/>
      <c r="E413" s="288"/>
      <c r="F413" s="82">
        <v>1</v>
      </c>
      <c r="G413" s="180" t="s">
        <v>386</v>
      </c>
    </row>
    <row r="414" spans="1:7" s="124" customFormat="1" ht="18" customHeight="1">
      <c r="A414" s="76"/>
      <c r="B414" s="312"/>
      <c r="C414" s="309" t="s">
        <v>400</v>
      </c>
      <c r="D414" s="310"/>
      <c r="E414" s="287" t="str">
        <f>HYPERLINK("#LAYOUT_p!lay보PPSY4A15","PPSY4A15")</f>
        <v>PPSY4A15</v>
      </c>
      <c r="F414" s="78">
        <v>0</v>
      </c>
      <c r="G414" s="179" t="s">
        <v>385</v>
      </c>
    </row>
    <row r="415" spans="1:7" s="124" customFormat="1" ht="18" customHeight="1">
      <c r="A415" s="76"/>
      <c r="B415" s="312"/>
      <c r="C415" s="313"/>
      <c r="D415" s="314"/>
      <c r="E415" s="288"/>
      <c r="F415" s="82">
        <v>1</v>
      </c>
      <c r="G415" s="180" t="s">
        <v>386</v>
      </c>
    </row>
    <row r="416" spans="1:7" s="124" customFormat="1" ht="18" customHeight="1">
      <c r="A416" s="76"/>
      <c r="B416" s="312"/>
      <c r="C416" s="309" t="s">
        <v>401</v>
      </c>
      <c r="D416" s="310"/>
      <c r="E416" s="287" t="str">
        <f>HYPERLINK("#LAYOUT_p!lay보PPSY4A16","PPSY4A16")</f>
        <v>PPSY4A16</v>
      </c>
      <c r="F416" s="78">
        <v>0</v>
      </c>
      <c r="G416" s="179" t="s">
        <v>385</v>
      </c>
    </row>
    <row r="417" spans="1:7" s="124" customFormat="1" ht="18" customHeight="1">
      <c r="A417" s="76"/>
      <c r="B417" s="312"/>
      <c r="C417" s="313"/>
      <c r="D417" s="314"/>
      <c r="E417" s="288"/>
      <c r="F417" s="82">
        <v>1</v>
      </c>
      <c r="G417" s="180" t="s">
        <v>386</v>
      </c>
    </row>
    <row r="418" spans="1:7" s="124" customFormat="1" ht="18" customHeight="1">
      <c r="A418" s="76"/>
      <c r="B418" s="312"/>
      <c r="C418" s="309" t="s">
        <v>402</v>
      </c>
      <c r="D418" s="310"/>
      <c r="E418" s="287" t="str">
        <f>HYPERLINK("#LAYOUT_p!lay보PPSY4A17","PPSY4A17")</f>
        <v>PPSY4A17</v>
      </c>
      <c r="F418" s="78">
        <v>0</v>
      </c>
      <c r="G418" s="179" t="s">
        <v>385</v>
      </c>
    </row>
    <row r="419" spans="1:7" s="124" customFormat="1" ht="18" customHeight="1">
      <c r="A419" s="76"/>
      <c r="B419" s="312"/>
      <c r="C419" s="313"/>
      <c r="D419" s="314"/>
      <c r="E419" s="288"/>
      <c r="F419" s="82">
        <v>1</v>
      </c>
      <c r="G419" s="180" t="s">
        <v>386</v>
      </c>
    </row>
    <row r="420" spans="1:7" s="124" customFormat="1" ht="18" customHeight="1">
      <c r="A420" s="76"/>
      <c r="B420" s="312"/>
      <c r="C420" s="309" t="s">
        <v>403</v>
      </c>
      <c r="D420" s="310"/>
      <c r="E420" s="287" t="str">
        <f>HYPERLINK("#LAYOUT_p!lay보PPSY4A18","PPSY4A18")</f>
        <v>PPSY4A18</v>
      </c>
      <c r="F420" s="78">
        <v>0</v>
      </c>
      <c r="G420" s="179" t="s">
        <v>385</v>
      </c>
    </row>
    <row r="421" spans="1:7" s="124" customFormat="1" ht="18" customHeight="1">
      <c r="A421" s="76"/>
      <c r="B421" s="312"/>
      <c r="C421" s="313"/>
      <c r="D421" s="314"/>
      <c r="E421" s="288"/>
      <c r="F421" s="82">
        <v>1</v>
      </c>
      <c r="G421" s="180" t="s">
        <v>386</v>
      </c>
    </row>
    <row r="422" spans="1:7" s="124" customFormat="1" ht="18" customHeight="1">
      <c r="A422" s="76"/>
      <c r="B422" s="312"/>
      <c r="C422" s="309" t="s">
        <v>404</v>
      </c>
      <c r="D422" s="310"/>
      <c r="E422" s="287" t="str">
        <f>HYPERLINK("#LAYOUT_p!lay보PPSY4A19","PPSY4A19")</f>
        <v>PPSY4A19</v>
      </c>
      <c r="F422" s="78">
        <v>0</v>
      </c>
      <c r="G422" s="179" t="s">
        <v>385</v>
      </c>
    </row>
    <row r="423" spans="1:7" s="124" customFormat="1" ht="18" customHeight="1">
      <c r="A423" s="76"/>
      <c r="B423" s="312"/>
      <c r="C423" s="313"/>
      <c r="D423" s="314"/>
      <c r="E423" s="288"/>
      <c r="F423" s="82">
        <v>1</v>
      </c>
      <c r="G423" s="180" t="s">
        <v>386</v>
      </c>
    </row>
    <row r="424" spans="1:7" s="124" customFormat="1" ht="18" customHeight="1">
      <c r="A424" s="76"/>
      <c r="B424" s="312"/>
      <c r="C424" s="309" t="s">
        <v>405</v>
      </c>
      <c r="D424" s="310"/>
      <c r="E424" s="287" t="str">
        <f>HYPERLINK("#LAYOUT_p!lay보PPSY4A20","PPSY4A20")</f>
        <v>PPSY4A20</v>
      </c>
      <c r="F424" s="78">
        <v>0</v>
      </c>
      <c r="G424" s="179" t="s">
        <v>385</v>
      </c>
    </row>
    <row r="425" spans="1:7" s="124" customFormat="1" ht="18" customHeight="1">
      <c r="A425" s="76"/>
      <c r="B425" s="312"/>
      <c r="C425" s="313"/>
      <c r="D425" s="314"/>
      <c r="E425" s="288"/>
      <c r="F425" s="82">
        <v>1</v>
      </c>
      <c r="G425" s="180" t="s">
        <v>386</v>
      </c>
    </row>
    <row r="426" spans="1:7" s="124" customFormat="1" ht="18" customHeight="1">
      <c r="A426" s="76"/>
      <c r="B426" s="312"/>
      <c r="C426" s="309" t="s">
        <v>406</v>
      </c>
      <c r="D426" s="310"/>
      <c r="E426" s="287" t="str">
        <f>HYPERLINK("#LAYOUT_p!lay보PPSY4A21","PPSY4A21")</f>
        <v>PPSY4A21</v>
      </c>
      <c r="F426" s="78">
        <v>0</v>
      </c>
      <c r="G426" s="179" t="s">
        <v>385</v>
      </c>
    </row>
    <row r="427" spans="1:7" s="124" customFormat="1" ht="18" customHeight="1">
      <c r="A427" s="76"/>
      <c r="B427" s="312"/>
      <c r="C427" s="313"/>
      <c r="D427" s="314"/>
      <c r="E427" s="288"/>
      <c r="F427" s="82">
        <v>1</v>
      </c>
      <c r="G427" s="180" t="s">
        <v>386</v>
      </c>
    </row>
    <row r="428" spans="1:7" s="124" customFormat="1" ht="18" customHeight="1">
      <c r="A428" s="76"/>
      <c r="B428" s="312"/>
      <c r="C428" s="309" t="s">
        <v>407</v>
      </c>
      <c r="D428" s="310"/>
      <c r="E428" s="287" t="str">
        <f>HYPERLINK("#LAYOUT_p!lay보PPSY4A22","PPSY4A22")</f>
        <v>PPSY4A22</v>
      </c>
      <c r="F428" s="78">
        <v>0</v>
      </c>
      <c r="G428" s="179" t="s">
        <v>385</v>
      </c>
    </row>
    <row r="429" spans="1:7" s="124" customFormat="1" ht="18" customHeight="1">
      <c r="A429" s="76"/>
      <c r="B429" s="312"/>
      <c r="C429" s="313"/>
      <c r="D429" s="314"/>
      <c r="E429" s="288"/>
      <c r="F429" s="82">
        <v>1</v>
      </c>
      <c r="G429" s="180" t="s">
        <v>386</v>
      </c>
    </row>
    <row r="430" spans="1:7" s="124" customFormat="1" ht="18" customHeight="1">
      <c r="A430" s="76"/>
      <c r="B430" s="312"/>
      <c r="C430" s="309" t="s">
        <v>408</v>
      </c>
      <c r="D430" s="310"/>
      <c r="E430" s="287" t="str">
        <f>HYPERLINK("#LAYOUT_p!lay보PPSY4A23","PPSY4A23")</f>
        <v>PPSY4A23</v>
      </c>
      <c r="F430" s="78">
        <v>0</v>
      </c>
      <c r="G430" s="179" t="s">
        <v>385</v>
      </c>
    </row>
    <row r="431" spans="1:7" s="124" customFormat="1" ht="18" customHeight="1">
      <c r="A431" s="76"/>
      <c r="B431" s="312"/>
      <c r="C431" s="313"/>
      <c r="D431" s="314"/>
      <c r="E431" s="288"/>
      <c r="F431" s="82">
        <v>1</v>
      </c>
      <c r="G431" s="180" t="s">
        <v>386</v>
      </c>
    </row>
    <row r="432" spans="1:7" s="124" customFormat="1" ht="18" customHeight="1">
      <c r="A432" s="76"/>
      <c r="B432" s="312"/>
      <c r="C432" s="309" t="s">
        <v>409</v>
      </c>
      <c r="D432" s="310"/>
      <c r="E432" s="287" t="str">
        <f>HYPERLINK("#LAYOUT_p!lay보PPSY4A24","PPSY4A24")</f>
        <v>PPSY4A24</v>
      </c>
      <c r="F432" s="78">
        <v>0</v>
      </c>
      <c r="G432" s="179" t="s">
        <v>385</v>
      </c>
    </row>
    <row r="433" spans="1:7" s="124" customFormat="1" ht="18" customHeight="1">
      <c r="A433" s="76"/>
      <c r="B433" s="312"/>
      <c r="C433" s="313"/>
      <c r="D433" s="314"/>
      <c r="E433" s="288"/>
      <c r="F433" s="82">
        <v>1</v>
      </c>
      <c r="G433" s="180" t="s">
        <v>386</v>
      </c>
    </row>
    <row r="434" spans="1:7" s="124" customFormat="1" ht="18" customHeight="1">
      <c r="A434" s="76"/>
      <c r="B434" s="312"/>
      <c r="C434" s="309" t="s">
        <v>410</v>
      </c>
      <c r="D434" s="310"/>
      <c r="E434" s="287" t="str">
        <f>HYPERLINK("#LAYOUT_p!lay보PPSY4A25","PPSY4A25")</f>
        <v>PPSY4A25</v>
      </c>
      <c r="F434" s="78">
        <v>0</v>
      </c>
      <c r="G434" s="179" t="s">
        <v>385</v>
      </c>
    </row>
    <row r="435" spans="1:7" s="124" customFormat="1" ht="18" customHeight="1">
      <c r="A435" s="76"/>
      <c r="B435" s="312"/>
      <c r="C435" s="313"/>
      <c r="D435" s="314"/>
      <c r="E435" s="288"/>
      <c r="F435" s="82">
        <v>1</v>
      </c>
      <c r="G435" s="180" t="s">
        <v>386</v>
      </c>
    </row>
    <row r="436" spans="1:7" s="124" customFormat="1" ht="18" customHeight="1">
      <c r="A436" s="76"/>
      <c r="B436" s="312"/>
      <c r="C436" s="309" t="s">
        <v>411</v>
      </c>
      <c r="D436" s="310"/>
      <c r="E436" s="287" t="str">
        <f>HYPERLINK("#LAYOUT_p!lay보PPSY4A26","PPSY4A26")</f>
        <v>PPSY4A26</v>
      </c>
      <c r="F436" s="78">
        <v>0</v>
      </c>
      <c r="G436" s="179" t="s">
        <v>385</v>
      </c>
    </row>
    <row r="437" spans="1:7" s="124" customFormat="1" ht="18" customHeight="1">
      <c r="A437" s="76"/>
      <c r="B437" s="312"/>
      <c r="C437" s="313"/>
      <c r="D437" s="314"/>
      <c r="E437" s="288"/>
      <c r="F437" s="82">
        <v>1</v>
      </c>
      <c r="G437" s="180" t="s">
        <v>386</v>
      </c>
    </row>
    <row r="438" spans="1:7" s="124" customFormat="1" ht="18" customHeight="1">
      <c r="A438" s="76"/>
      <c r="B438" s="312"/>
      <c r="C438" s="309" t="s">
        <v>412</v>
      </c>
      <c r="D438" s="310"/>
      <c r="E438" s="287" t="str">
        <f>HYPERLINK("#LAYOUT_p!lay보PPSY4A27","PPSY4A27")</f>
        <v>PPSY4A27</v>
      </c>
      <c r="F438" s="78">
        <v>0</v>
      </c>
      <c r="G438" s="179" t="s">
        <v>385</v>
      </c>
    </row>
    <row r="439" spans="1:7" s="124" customFormat="1" ht="18" customHeight="1">
      <c r="A439" s="76"/>
      <c r="B439" s="312"/>
      <c r="C439" s="313"/>
      <c r="D439" s="314"/>
      <c r="E439" s="288"/>
      <c r="F439" s="82">
        <v>1</v>
      </c>
      <c r="G439" s="180" t="s">
        <v>386</v>
      </c>
    </row>
    <row r="440" spans="1:7" s="124" customFormat="1" ht="18" customHeight="1">
      <c r="A440" s="76"/>
      <c r="B440" s="312"/>
      <c r="C440" s="309" t="s">
        <v>413</v>
      </c>
      <c r="D440" s="310"/>
      <c r="E440" s="287" t="str">
        <f>HYPERLINK("#LAYOUT_p!lay보PPSY4A28","PPSY4A28")</f>
        <v>PPSY4A28</v>
      </c>
      <c r="F440" s="78">
        <v>0</v>
      </c>
      <c r="G440" s="179" t="s">
        <v>385</v>
      </c>
    </row>
    <row r="441" spans="1:7" s="124" customFormat="1" ht="18" customHeight="1">
      <c r="A441" s="76"/>
      <c r="B441" s="312"/>
      <c r="C441" s="313"/>
      <c r="D441" s="314"/>
      <c r="E441" s="288"/>
      <c r="F441" s="82">
        <v>1</v>
      </c>
      <c r="G441" s="180" t="s">
        <v>386</v>
      </c>
    </row>
    <row r="442" spans="1:7" s="124" customFormat="1" ht="18" customHeight="1">
      <c r="A442" s="76"/>
      <c r="B442" s="312"/>
      <c r="C442" s="309" t="s">
        <v>414</v>
      </c>
      <c r="D442" s="310"/>
      <c r="E442" s="287" t="str">
        <f>HYPERLINK("#LAYOUT_p!lay보PPSY4A29","PPSY4A29")</f>
        <v>PPSY4A29</v>
      </c>
      <c r="F442" s="78">
        <v>0</v>
      </c>
      <c r="G442" s="179" t="s">
        <v>385</v>
      </c>
    </row>
    <row r="443" spans="1:7" s="124" customFormat="1" ht="18" customHeight="1">
      <c r="A443" s="76"/>
      <c r="B443" s="312"/>
      <c r="C443" s="313"/>
      <c r="D443" s="314"/>
      <c r="E443" s="288"/>
      <c r="F443" s="82">
        <v>1</v>
      </c>
      <c r="G443" s="180" t="s">
        <v>386</v>
      </c>
    </row>
    <row r="444" spans="1:7" s="124" customFormat="1" ht="18" customHeight="1">
      <c r="A444" s="76"/>
      <c r="B444" s="312"/>
      <c r="C444" s="309" t="s">
        <v>415</v>
      </c>
      <c r="D444" s="310"/>
      <c r="E444" s="287" t="str">
        <f>HYPERLINK("#LAYOUT_p!lay보PPSY4A30","PPSY4A30")</f>
        <v>PPSY4A30</v>
      </c>
      <c r="F444" s="78">
        <v>0</v>
      </c>
      <c r="G444" s="179" t="s">
        <v>385</v>
      </c>
    </row>
    <row r="445" spans="1:7" s="124" customFormat="1" ht="18" customHeight="1">
      <c r="A445" s="76"/>
      <c r="B445" s="314"/>
      <c r="C445" s="313"/>
      <c r="D445" s="314"/>
      <c r="E445" s="288"/>
      <c r="F445" s="82">
        <v>1</v>
      </c>
      <c r="G445" s="180" t="s">
        <v>386</v>
      </c>
    </row>
    <row r="446" spans="1:7" s="124" customFormat="1" ht="18" customHeight="1">
      <c r="A446" s="243"/>
      <c r="B446" s="346" t="s">
        <v>1837</v>
      </c>
      <c r="C446" s="346"/>
      <c r="D446" s="319"/>
      <c r="E446" s="197" t="str">
        <f>HYPERLINK("#LAYOUT_p!lay보PPSY4Asc","PPSY4Asc")</f>
        <v>PPSY4Asc</v>
      </c>
      <c r="F446" s="79" t="s">
        <v>1832</v>
      </c>
      <c r="G446" s="248" t="s">
        <v>1836</v>
      </c>
    </row>
    <row r="447" spans="1:7" s="124" customFormat="1" ht="18" customHeight="1">
      <c r="A447" s="76"/>
      <c r="B447" s="310" t="s">
        <v>239</v>
      </c>
      <c r="C447" s="309" t="s">
        <v>240</v>
      </c>
      <c r="D447" s="310"/>
      <c r="E447" s="287" t="str">
        <f>HYPERLINK("#LAYOUT_p!lay보PPSY5A01","PPSY5A01")</f>
        <v>PPSY5A01</v>
      </c>
      <c r="F447" s="78">
        <v>1</v>
      </c>
      <c r="G447" s="179" t="s">
        <v>105</v>
      </c>
    </row>
    <row r="448" spans="1:7" s="124" customFormat="1" ht="18" customHeight="1">
      <c r="A448" s="76"/>
      <c r="B448" s="312"/>
      <c r="C448" s="311"/>
      <c r="D448" s="312"/>
      <c r="E448" s="289"/>
      <c r="F448" s="79">
        <v>2</v>
      </c>
      <c r="G448" s="178" t="s">
        <v>106</v>
      </c>
    </row>
    <row r="449" spans="1:7" s="124" customFormat="1" ht="18" customHeight="1">
      <c r="A449" s="76"/>
      <c r="B449" s="312"/>
      <c r="C449" s="311"/>
      <c r="D449" s="312"/>
      <c r="E449" s="289"/>
      <c r="F449" s="79">
        <v>3</v>
      </c>
      <c r="G449" s="178" t="s">
        <v>107</v>
      </c>
    </row>
    <row r="450" spans="1:7" s="124" customFormat="1" ht="18" customHeight="1">
      <c r="A450" s="76"/>
      <c r="B450" s="312"/>
      <c r="C450" s="313"/>
      <c r="D450" s="314"/>
      <c r="E450" s="288"/>
      <c r="F450" s="82">
        <v>4</v>
      </c>
      <c r="G450" s="180" t="s">
        <v>108</v>
      </c>
    </row>
    <row r="451" spans="1:7" s="124" customFormat="1" ht="18" customHeight="1">
      <c r="A451" s="76"/>
      <c r="B451" s="312"/>
      <c r="C451" s="309" t="s">
        <v>528</v>
      </c>
      <c r="D451" s="310"/>
      <c r="E451" s="287" t="str">
        <f>HYPERLINK("#LAYOUT_p!lay보PPSY5A02","PPSY5A02")</f>
        <v>PPSY5A02</v>
      </c>
      <c r="F451" s="78">
        <v>1</v>
      </c>
      <c r="G451" s="179" t="s">
        <v>105</v>
      </c>
    </row>
    <row r="452" spans="1:7" s="124" customFormat="1" ht="18" customHeight="1">
      <c r="A452" s="76"/>
      <c r="B452" s="312"/>
      <c r="C452" s="311"/>
      <c r="D452" s="312"/>
      <c r="E452" s="289"/>
      <c r="F452" s="79">
        <v>2</v>
      </c>
      <c r="G452" s="178" t="s">
        <v>106</v>
      </c>
    </row>
    <row r="453" spans="1:7" s="124" customFormat="1" ht="18" customHeight="1">
      <c r="A453" s="76"/>
      <c r="B453" s="312"/>
      <c r="C453" s="311"/>
      <c r="D453" s="312"/>
      <c r="E453" s="289"/>
      <c r="F453" s="79">
        <v>3</v>
      </c>
      <c r="G453" s="178" t="s">
        <v>107</v>
      </c>
    </row>
    <row r="454" spans="1:7" s="124" customFormat="1" ht="18" customHeight="1">
      <c r="A454" s="76"/>
      <c r="B454" s="312"/>
      <c r="C454" s="313"/>
      <c r="D454" s="314"/>
      <c r="E454" s="288"/>
      <c r="F454" s="82">
        <v>4</v>
      </c>
      <c r="G454" s="180" t="s">
        <v>108</v>
      </c>
    </row>
    <row r="455" spans="1:7" s="124" customFormat="1" ht="18" customHeight="1">
      <c r="A455" s="76"/>
      <c r="B455" s="312"/>
      <c r="C455" s="309" t="s">
        <v>241</v>
      </c>
      <c r="D455" s="310"/>
      <c r="E455" s="287" t="str">
        <f>HYPERLINK("#LAYOUT_p!lay보PPSY5A03","PPSY5A03")</f>
        <v>PPSY5A03</v>
      </c>
      <c r="F455" s="78">
        <v>1</v>
      </c>
      <c r="G455" s="179" t="s">
        <v>105</v>
      </c>
    </row>
    <row r="456" spans="1:7" s="124" customFormat="1" ht="18" customHeight="1">
      <c r="A456" s="76"/>
      <c r="B456" s="312"/>
      <c r="C456" s="311"/>
      <c r="D456" s="312"/>
      <c r="E456" s="289"/>
      <c r="F456" s="79">
        <v>2</v>
      </c>
      <c r="G456" s="178" t="s">
        <v>106</v>
      </c>
    </row>
    <row r="457" spans="1:7" s="124" customFormat="1" ht="18" customHeight="1">
      <c r="A457" s="76"/>
      <c r="B457" s="312"/>
      <c r="C457" s="311"/>
      <c r="D457" s="312"/>
      <c r="E457" s="289"/>
      <c r="F457" s="79">
        <v>3</v>
      </c>
      <c r="G457" s="178" t="s">
        <v>107</v>
      </c>
    </row>
    <row r="458" spans="1:7" s="124" customFormat="1" ht="18" customHeight="1">
      <c r="A458" s="76"/>
      <c r="B458" s="312"/>
      <c r="C458" s="313"/>
      <c r="D458" s="314"/>
      <c r="E458" s="288"/>
      <c r="F458" s="82">
        <v>4</v>
      </c>
      <c r="G458" s="180" t="s">
        <v>108</v>
      </c>
    </row>
    <row r="459" spans="1:7" s="124" customFormat="1" ht="18" customHeight="1">
      <c r="A459" s="76"/>
      <c r="B459" s="312"/>
      <c r="C459" s="309" t="s">
        <v>242</v>
      </c>
      <c r="D459" s="310"/>
      <c r="E459" s="287" t="str">
        <f>HYPERLINK("#LAYOUT_p!lay보PPSY5A04","PPSY5A04")</f>
        <v>PPSY5A04</v>
      </c>
      <c r="F459" s="78">
        <v>1</v>
      </c>
      <c r="G459" s="179" t="s">
        <v>105</v>
      </c>
    </row>
    <row r="460" spans="1:7" s="124" customFormat="1" ht="18" customHeight="1">
      <c r="A460" s="76"/>
      <c r="B460" s="312"/>
      <c r="C460" s="311"/>
      <c r="D460" s="312"/>
      <c r="E460" s="289"/>
      <c r="F460" s="79">
        <v>2</v>
      </c>
      <c r="G460" s="178" t="s">
        <v>106</v>
      </c>
    </row>
    <row r="461" spans="1:7" s="124" customFormat="1" ht="18" customHeight="1">
      <c r="A461" s="76"/>
      <c r="B461" s="312"/>
      <c r="C461" s="311"/>
      <c r="D461" s="312"/>
      <c r="E461" s="289"/>
      <c r="F461" s="79">
        <v>3</v>
      </c>
      <c r="G461" s="178" t="s">
        <v>107</v>
      </c>
    </row>
    <row r="462" spans="1:7" s="124" customFormat="1" ht="18" customHeight="1">
      <c r="A462" s="76"/>
      <c r="B462" s="312"/>
      <c r="C462" s="313"/>
      <c r="D462" s="314"/>
      <c r="E462" s="288"/>
      <c r="F462" s="82">
        <v>4</v>
      </c>
      <c r="G462" s="180" t="s">
        <v>108</v>
      </c>
    </row>
    <row r="463" spans="1:7" s="124" customFormat="1" ht="18" customHeight="1">
      <c r="A463" s="76"/>
      <c r="B463" s="312"/>
      <c r="C463" s="309" t="s">
        <v>243</v>
      </c>
      <c r="D463" s="310"/>
      <c r="E463" s="287" t="str">
        <f>HYPERLINK("#LAYOUT_p!lay보PPSY5A05","PPSY5A05")</f>
        <v>PPSY5A05</v>
      </c>
      <c r="F463" s="78">
        <v>1</v>
      </c>
      <c r="G463" s="179" t="s">
        <v>105</v>
      </c>
    </row>
    <row r="464" spans="1:7" s="124" customFormat="1" ht="18" customHeight="1">
      <c r="A464" s="76"/>
      <c r="B464" s="312"/>
      <c r="C464" s="311"/>
      <c r="D464" s="312"/>
      <c r="E464" s="289"/>
      <c r="F464" s="79">
        <v>2</v>
      </c>
      <c r="G464" s="178" t="s">
        <v>106</v>
      </c>
    </row>
    <row r="465" spans="1:7" s="124" customFormat="1" ht="18" customHeight="1">
      <c r="A465" s="76"/>
      <c r="B465" s="312"/>
      <c r="C465" s="311"/>
      <c r="D465" s="312"/>
      <c r="E465" s="289"/>
      <c r="F465" s="79">
        <v>3</v>
      </c>
      <c r="G465" s="178" t="s">
        <v>107</v>
      </c>
    </row>
    <row r="466" spans="1:7" s="124" customFormat="1" ht="18" customHeight="1">
      <c r="A466" s="76"/>
      <c r="B466" s="312"/>
      <c r="C466" s="313"/>
      <c r="D466" s="314"/>
      <c r="E466" s="288"/>
      <c r="F466" s="82">
        <v>4</v>
      </c>
      <c r="G466" s="180" t="s">
        <v>108</v>
      </c>
    </row>
    <row r="467" spans="1:7" s="124" customFormat="1" ht="18" customHeight="1">
      <c r="A467" s="76"/>
      <c r="B467" s="312"/>
      <c r="C467" s="309" t="s">
        <v>244</v>
      </c>
      <c r="D467" s="310"/>
      <c r="E467" s="287" t="str">
        <f>HYPERLINK("#LAYOUT_p!lay보PPSY5A06","PPSY5A06")</f>
        <v>PPSY5A06</v>
      </c>
      <c r="F467" s="78">
        <v>1</v>
      </c>
      <c r="G467" s="179" t="s">
        <v>105</v>
      </c>
    </row>
    <row r="468" spans="1:7" s="124" customFormat="1" ht="18" customHeight="1">
      <c r="A468" s="76"/>
      <c r="B468" s="312"/>
      <c r="C468" s="311"/>
      <c r="D468" s="312"/>
      <c r="E468" s="289"/>
      <c r="F468" s="79">
        <v>2</v>
      </c>
      <c r="G468" s="178" t="s">
        <v>106</v>
      </c>
    </row>
    <row r="469" spans="1:7" s="124" customFormat="1" ht="18" customHeight="1">
      <c r="A469" s="76"/>
      <c r="B469" s="312"/>
      <c r="C469" s="311"/>
      <c r="D469" s="312"/>
      <c r="E469" s="289"/>
      <c r="F469" s="79">
        <v>3</v>
      </c>
      <c r="G469" s="178" t="s">
        <v>107</v>
      </c>
    </row>
    <row r="470" spans="1:7" s="124" customFormat="1" ht="18" customHeight="1">
      <c r="A470" s="76"/>
      <c r="B470" s="312"/>
      <c r="C470" s="313"/>
      <c r="D470" s="314"/>
      <c r="E470" s="288"/>
      <c r="F470" s="82">
        <v>4</v>
      </c>
      <c r="G470" s="180" t="s">
        <v>108</v>
      </c>
    </row>
    <row r="471" spans="1:7" s="124" customFormat="1" ht="18" customHeight="1">
      <c r="A471" s="76"/>
      <c r="B471" s="312"/>
      <c r="C471" s="309" t="s">
        <v>245</v>
      </c>
      <c r="D471" s="310"/>
      <c r="E471" s="287" t="str">
        <f>HYPERLINK("#LAYOUT_p!lay보PPSY5A07","PPSY5A07")</f>
        <v>PPSY5A07</v>
      </c>
      <c r="F471" s="78">
        <v>1</v>
      </c>
      <c r="G471" s="179" t="s">
        <v>105</v>
      </c>
    </row>
    <row r="472" spans="1:7" s="124" customFormat="1" ht="18" customHeight="1">
      <c r="A472" s="76"/>
      <c r="B472" s="312"/>
      <c r="C472" s="311"/>
      <c r="D472" s="312"/>
      <c r="E472" s="289"/>
      <c r="F472" s="79">
        <v>2</v>
      </c>
      <c r="G472" s="178" t="s">
        <v>106</v>
      </c>
    </row>
    <row r="473" spans="1:7" s="124" customFormat="1" ht="18" customHeight="1">
      <c r="A473" s="76"/>
      <c r="B473" s="312"/>
      <c r="C473" s="311"/>
      <c r="D473" s="312"/>
      <c r="E473" s="289"/>
      <c r="F473" s="79">
        <v>3</v>
      </c>
      <c r="G473" s="178" t="s">
        <v>107</v>
      </c>
    </row>
    <row r="474" spans="1:7" s="124" customFormat="1" ht="18" customHeight="1">
      <c r="A474" s="76"/>
      <c r="B474" s="312"/>
      <c r="C474" s="313"/>
      <c r="D474" s="314"/>
      <c r="E474" s="288"/>
      <c r="F474" s="82">
        <v>4</v>
      </c>
      <c r="G474" s="180" t="s">
        <v>108</v>
      </c>
    </row>
    <row r="475" spans="1:7" s="124" customFormat="1" ht="18" customHeight="1">
      <c r="A475" s="76"/>
      <c r="B475" s="312"/>
      <c r="C475" s="309" t="s">
        <v>246</v>
      </c>
      <c r="D475" s="310"/>
      <c r="E475" s="287" t="str">
        <f>HYPERLINK("#LAYOUT_p!lay보PPSY5A08","PPSY5A08")</f>
        <v>PPSY5A08</v>
      </c>
      <c r="F475" s="78">
        <v>1</v>
      </c>
      <c r="G475" s="179" t="s">
        <v>105</v>
      </c>
    </row>
    <row r="476" spans="1:7" s="124" customFormat="1" ht="18" customHeight="1">
      <c r="A476" s="76"/>
      <c r="B476" s="312"/>
      <c r="C476" s="311"/>
      <c r="D476" s="312"/>
      <c r="E476" s="289"/>
      <c r="F476" s="79">
        <v>2</v>
      </c>
      <c r="G476" s="178" t="s">
        <v>106</v>
      </c>
    </row>
    <row r="477" spans="1:7" s="124" customFormat="1" ht="18" customHeight="1">
      <c r="A477" s="76"/>
      <c r="B477" s="312"/>
      <c r="C477" s="311"/>
      <c r="D477" s="312"/>
      <c r="E477" s="289"/>
      <c r="F477" s="79">
        <v>3</v>
      </c>
      <c r="G477" s="178" t="s">
        <v>107</v>
      </c>
    </row>
    <row r="478" spans="1:7" s="124" customFormat="1" ht="18" customHeight="1">
      <c r="A478" s="76"/>
      <c r="B478" s="314"/>
      <c r="C478" s="313"/>
      <c r="D478" s="314"/>
      <c r="E478" s="288"/>
      <c r="F478" s="82">
        <v>4</v>
      </c>
      <c r="G478" s="180" t="s">
        <v>108</v>
      </c>
    </row>
    <row r="479" spans="1:7" s="124" customFormat="1" ht="18" customHeight="1">
      <c r="A479" s="76"/>
      <c r="B479" s="315" t="s">
        <v>529</v>
      </c>
      <c r="C479" s="315"/>
      <c r="D479" s="310"/>
      <c r="E479" s="287" t="str">
        <f>HYPERLINK("#LAYOUT_p!lay보PPHY1A00","PPHY1A00")</f>
        <v>PPHY1A00</v>
      </c>
      <c r="F479" s="78">
        <v>1</v>
      </c>
      <c r="G479" s="179" t="s">
        <v>304</v>
      </c>
    </row>
    <row r="480" spans="1:7" s="124" customFormat="1" ht="18" customHeight="1">
      <c r="A480" s="76"/>
      <c r="B480" s="316"/>
      <c r="C480" s="316"/>
      <c r="D480" s="312"/>
      <c r="E480" s="289"/>
      <c r="F480" s="79">
        <v>2</v>
      </c>
      <c r="G480" s="178" t="s">
        <v>305</v>
      </c>
    </row>
    <row r="481" spans="1:7" s="124" customFormat="1" ht="18" customHeight="1">
      <c r="A481" s="76"/>
      <c r="B481" s="316"/>
      <c r="C481" s="316"/>
      <c r="D481" s="312"/>
      <c r="E481" s="289"/>
      <c r="F481" s="79">
        <v>3</v>
      </c>
      <c r="G481" s="178" t="s">
        <v>306</v>
      </c>
    </row>
    <row r="482" spans="1:7" s="124" customFormat="1" ht="18" customHeight="1">
      <c r="A482" s="76"/>
      <c r="B482" s="317"/>
      <c r="C482" s="317"/>
      <c r="D482" s="314"/>
      <c r="E482" s="288"/>
      <c r="F482" s="82">
        <v>4</v>
      </c>
      <c r="G482" s="180" t="s">
        <v>307</v>
      </c>
    </row>
    <row r="483" spans="1:7" s="124" customFormat="1" ht="18" customHeight="1">
      <c r="A483" s="76"/>
      <c r="B483" s="281" t="s">
        <v>530</v>
      </c>
      <c r="C483" s="281"/>
      <c r="D483" s="282"/>
      <c r="E483" s="287" t="str">
        <f>HYPERLINK("#LAYOUT_p!lay보PPHY1B00","PPHY1B00")</f>
        <v>PPHY1B00</v>
      </c>
      <c r="F483" s="78">
        <v>1</v>
      </c>
      <c r="G483" s="179" t="s">
        <v>309</v>
      </c>
    </row>
    <row r="484" spans="1:7" s="124" customFormat="1" ht="18" customHeight="1">
      <c r="A484" s="76"/>
      <c r="B484" s="283"/>
      <c r="C484" s="283"/>
      <c r="D484" s="284"/>
      <c r="E484" s="289"/>
      <c r="F484" s="79">
        <v>2</v>
      </c>
      <c r="G484" s="178" t="s">
        <v>310</v>
      </c>
    </row>
    <row r="485" spans="1:7" s="124" customFormat="1" ht="18" customHeight="1">
      <c r="A485" s="76"/>
      <c r="B485" s="283"/>
      <c r="C485" s="283"/>
      <c r="D485" s="284"/>
      <c r="E485" s="289"/>
      <c r="F485" s="79">
        <v>3</v>
      </c>
      <c r="G485" s="178" t="s">
        <v>311</v>
      </c>
    </row>
    <row r="486" spans="1:7" s="124" customFormat="1" ht="18" customHeight="1">
      <c r="A486" s="76"/>
      <c r="B486" s="283"/>
      <c r="C486" s="283"/>
      <c r="D486" s="284"/>
      <c r="E486" s="289"/>
      <c r="F486" s="79">
        <v>4</v>
      </c>
      <c r="G486" s="178" t="s">
        <v>312</v>
      </c>
    </row>
    <row r="487" spans="1:7" s="124" customFormat="1" ht="18" customHeight="1">
      <c r="A487" s="76"/>
      <c r="B487" s="285"/>
      <c r="C487" s="285"/>
      <c r="D487" s="286"/>
      <c r="E487" s="288"/>
      <c r="F487" s="82">
        <v>5</v>
      </c>
      <c r="G487" s="180" t="s">
        <v>313</v>
      </c>
    </row>
    <row r="488" spans="1:7" s="124" customFormat="1" ht="18" customHeight="1">
      <c r="A488" s="76"/>
      <c r="B488" s="322" t="s">
        <v>531</v>
      </c>
      <c r="C488" s="322"/>
      <c r="D488" s="323"/>
      <c r="E488" s="197" t="str">
        <f>HYPERLINK("#LAYOUT_p!lay보PPHY1C00","PPHY1C00")</f>
        <v>PPHY1C00</v>
      </c>
      <c r="F488" s="121" t="s">
        <v>1</v>
      </c>
      <c r="G488" s="177" t="s">
        <v>315</v>
      </c>
    </row>
    <row r="489" spans="1:7" s="124" customFormat="1" ht="18" customHeight="1">
      <c r="A489" s="76"/>
      <c r="B489" s="282" t="s">
        <v>316</v>
      </c>
      <c r="C489" s="324" t="s">
        <v>317</v>
      </c>
      <c r="D489" s="323"/>
      <c r="E489" s="197" t="str">
        <f>HYPERLINK("#LAYOUT_p!lay보PPHY2A00","PPHY2A00")</f>
        <v>PPHY2A00</v>
      </c>
      <c r="F489" s="121" t="s">
        <v>0</v>
      </c>
      <c r="G489" s="177" t="s">
        <v>3</v>
      </c>
    </row>
    <row r="490" spans="1:7" s="124" customFormat="1" ht="18" customHeight="1">
      <c r="A490" s="76"/>
      <c r="B490" s="286"/>
      <c r="C490" s="324" t="s">
        <v>318</v>
      </c>
      <c r="D490" s="323"/>
      <c r="E490" s="198" t="str">
        <f>HYPERLINK("#LAYOUT_p!lay보PPHY2B00","PPHY2B00")</f>
        <v>PPHY2B00</v>
      </c>
      <c r="F490" s="121" t="s">
        <v>0</v>
      </c>
      <c r="G490" s="177" t="s">
        <v>4</v>
      </c>
    </row>
    <row r="491" spans="1:7" s="124" customFormat="1" ht="18" customHeight="1">
      <c r="A491" s="76"/>
      <c r="B491" s="282" t="s">
        <v>532</v>
      </c>
      <c r="C491" s="320" t="s">
        <v>475</v>
      </c>
      <c r="D491" s="281"/>
      <c r="E491" s="287" t="str">
        <f>HYPERLINK("#LAYOUT_p!lay보PBRP1","PBRP1")</f>
        <v>PBRP1</v>
      </c>
      <c r="F491" s="130">
        <v>1</v>
      </c>
      <c r="G491" s="184" t="s">
        <v>476</v>
      </c>
    </row>
    <row r="492" spans="1:7" s="124" customFormat="1" ht="18" customHeight="1">
      <c r="A492" s="76"/>
      <c r="B492" s="284"/>
      <c r="C492" s="321"/>
      <c r="D492" s="285"/>
      <c r="E492" s="288"/>
      <c r="F492" s="131">
        <v>2</v>
      </c>
      <c r="G492" s="185" t="s">
        <v>477</v>
      </c>
    </row>
    <row r="493" spans="1:7" s="124" customFormat="1" ht="18" customHeight="1">
      <c r="A493" s="76"/>
      <c r="B493" s="284"/>
      <c r="C493" s="309" t="s">
        <v>1092</v>
      </c>
      <c r="D493" s="310"/>
      <c r="E493" s="287" t="str">
        <f>HYPERLINK("#LAYOUT_p!lay보PBRP2","PBRP2")</f>
        <v>PBRP2</v>
      </c>
      <c r="F493" s="78">
        <v>1</v>
      </c>
      <c r="G493" s="179" t="s">
        <v>1074</v>
      </c>
    </row>
    <row r="494" spans="1:7" s="124" customFormat="1" ht="18" customHeight="1">
      <c r="A494" s="76"/>
      <c r="B494" s="284"/>
      <c r="C494" s="311"/>
      <c r="D494" s="312"/>
      <c r="E494" s="289"/>
      <c r="F494" s="79">
        <v>2</v>
      </c>
      <c r="G494" s="178" t="s">
        <v>1075</v>
      </c>
    </row>
    <row r="495" spans="1:7" s="124" customFormat="1" ht="18" customHeight="1">
      <c r="A495" s="76"/>
      <c r="B495" s="284"/>
      <c r="C495" s="311"/>
      <c r="D495" s="312"/>
      <c r="E495" s="289"/>
      <c r="F495" s="79">
        <v>3</v>
      </c>
      <c r="G495" s="178" t="s">
        <v>1076</v>
      </c>
    </row>
    <row r="496" spans="1:7" s="124" customFormat="1" ht="18" customHeight="1">
      <c r="A496" s="76"/>
      <c r="B496" s="284"/>
      <c r="C496" s="311"/>
      <c r="D496" s="312"/>
      <c r="E496" s="289"/>
      <c r="F496" s="79">
        <v>4</v>
      </c>
      <c r="G496" s="178" t="s">
        <v>1077</v>
      </c>
    </row>
    <row r="497" spans="1:7" s="124" customFormat="1" ht="18" customHeight="1">
      <c r="A497" s="76"/>
      <c r="B497" s="284"/>
      <c r="C497" s="311"/>
      <c r="D497" s="312"/>
      <c r="E497" s="289"/>
      <c r="F497" s="79">
        <v>5</v>
      </c>
      <c r="G497" s="178" t="s">
        <v>1078</v>
      </c>
    </row>
    <row r="498" spans="1:7" s="124" customFormat="1" ht="18" customHeight="1">
      <c r="A498" s="76"/>
      <c r="B498" s="284"/>
      <c r="C498" s="311"/>
      <c r="D498" s="312"/>
      <c r="E498" s="289"/>
      <c r="F498" s="79">
        <v>6</v>
      </c>
      <c r="G498" s="178" t="s">
        <v>1079</v>
      </c>
    </row>
    <row r="499" spans="1:7" s="124" customFormat="1" ht="18" customHeight="1">
      <c r="A499" s="76"/>
      <c r="B499" s="284"/>
      <c r="C499" s="311"/>
      <c r="D499" s="312"/>
      <c r="E499" s="289"/>
      <c r="F499" s="79">
        <v>7</v>
      </c>
      <c r="G499" s="178" t="s">
        <v>1080</v>
      </c>
    </row>
    <row r="500" spans="1:7" s="124" customFormat="1" ht="18" customHeight="1">
      <c r="A500" s="76"/>
      <c r="B500" s="284"/>
      <c r="C500" s="311"/>
      <c r="D500" s="312"/>
      <c r="E500" s="289"/>
      <c r="F500" s="79">
        <v>8</v>
      </c>
      <c r="G500" s="178" t="s">
        <v>1081</v>
      </c>
    </row>
    <row r="501" spans="1:7" s="124" customFormat="1" ht="18" customHeight="1">
      <c r="A501" s="76"/>
      <c r="B501" s="284"/>
      <c r="C501" s="311"/>
      <c r="D501" s="312"/>
      <c r="E501" s="289"/>
      <c r="F501" s="79">
        <v>9</v>
      </c>
      <c r="G501" s="178" t="s">
        <v>1082</v>
      </c>
    </row>
    <row r="502" spans="1:7" s="124" customFormat="1" ht="18" customHeight="1">
      <c r="A502" s="76"/>
      <c r="B502" s="284"/>
      <c r="C502" s="311"/>
      <c r="D502" s="312"/>
      <c r="E502" s="289"/>
      <c r="F502" s="79">
        <v>10</v>
      </c>
      <c r="G502" s="178" t="s">
        <v>1083</v>
      </c>
    </row>
    <row r="503" spans="1:7" s="124" customFormat="1" ht="18" customHeight="1">
      <c r="A503" s="76"/>
      <c r="B503" s="284"/>
      <c r="C503" s="311"/>
      <c r="D503" s="312"/>
      <c r="E503" s="289"/>
      <c r="F503" s="79">
        <v>11</v>
      </c>
      <c r="G503" s="178" t="s">
        <v>1084</v>
      </c>
    </row>
    <row r="504" spans="1:7" s="124" customFormat="1" ht="18" customHeight="1">
      <c r="A504" s="76"/>
      <c r="B504" s="284"/>
      <c r="C504" s="311"/>
      <c r="D504" s="312"/>
      <c r="E504" s="289"/>
      <c r="F504" s="79">
        <v>12</v>
      </c>
      <c r="G504" s="178" t="s">
        <v>1085</v>
      </c>
    </row>
    <row r="505" spans="1:7" s="124" customFormat="1" ht="18" customHeight="1">
      <c r="A505" s="76"/>
      <c r="B505" s="284"/>
      <c r="C505" s="311"/>
      <c r="D505" s="312"/>
      <c r="E505" s="289"/>
      <c r="F505" s="79">
        <v>13</v>
      </c>
      <c r="G505" s="178" t="s">
        <v>1086</v>
      </c>
    </row>
    <row r="506" spans="1:7" s="124" customFormat="1" ht="18" customHeight="1">
      <c r="A506" s="76"/>
      <c r="B506" s="284"/>
      <c r="C506" s="311"/>
      <c r="D506" s="312"/>
      <c r="E506" s="289"/>
      <c r="F506" s="79">
        <v>14</v>
      </c>
      <c r="G506" s="178" t="s">
        <v>1087</v>
      </c>
    </row>
    <row r="507" spans="1:7" s="124" customFormat="1" ht="18" customHeight="1">
      <c r="A507" s="76"/>
      <c r="B507" s="284"/>
      <c r="C507" s="311"/>
      <c r="D507" s="312"/>
      <c r="E507" s="289"/>
      <c r="F507" s="79">
        <v>15</v>
      </c>
      <c r="G507" s="178" t="s">
        <v>1088</v>
      </c>
    </row>
    <row r="508" spans="1:7" s="124" customFormat="1" ht="18" customHeight="1">
      <c r="A508" s="76"/>
      <c r="B508" s="284"/>
      <c r="C508" s="311"/>
      <c r="D508" s="312"/>
      <c r="E508" s="289"/>
      <c r="F508" s="79">
        <v>16</v>
      </c>
      <c r="G508" s="178" t="s">
        <v>1089</v>
      </c>
    </row>
    <row r="509" spans="1:7" s="124" customFormat="1" ht="18" customHeight="1">
      <c r="A509" s="76"/>
      <c r="B509" s="284"/>
      <c r="C509" s="313"/>
      <c r="D509" s="314"/>
      <c r="E509" s="288"/>
      <c r="F509" s="79">
        <v>17</v>
      </c>
      <c r="G509" s="178" t="s">
        <v>1090</v>
      </c>
    </row>
    <row r="510" spans="1:7" s="124" customFormat="1" ht="18" customHeight="1">
      <c r="A510" s="76"/>
      <c r="B510" s="286"/>
      <c r="C510" s="324" t="s">
        <v>478</v>
      </c>
      <c r="D510" s="323"/>
      <c r="E510" s="197" t="str">
        <f>HYPERLINK("#LAYOUT_p!lay보PBRP3","PBRP3")</f>
        <v>PBRP3</v>
      </c>
      <c r="F510" s="125" t="s">
        <v>1</v>
      </c>
      <c r="G510" s="186" t="s">
        <v>479</v>
      </c>
    </row>
    <row r="511" spans="1:7" s="124" customFormat="1" ht="18" customHeight="1">
      <c r="A511" s="76"/>
      <c r="B511" s="310" t="s">
        <v>533</v>
      </c>
      <c r="C511" s="309" t="s">
        <v>154</v>
      </c>
      <c r="D511" s="310"/>
      <c r="E511" s="287" t="str">
        <f>HYPERLINK("#LAYOUT_p!lay보PSCHOOL1","PSCHOOL1")</f>
        <v>PSCHOOL1</v>
      </c>
      <c r="F511" s="126">
        <v>1</v>
      </c>
      <c r="G511" s="179" t="s">
        <v>534</v>
      </c>
    </row>
    <row r="512" spans="1:7" s="124" customFormat="1" ht="18" customHeight="1">
      <c r="A512" s="76"/>
      <c r="B512" s="312"/>
      <c r="C512" s="311"/>
      <c r="D512" s="312"/>
      <c r="E512" s="289"/>
      <c r="F512" s="84">
        <v>2</v>
      </c>
      <c r="G512" s="178" t="s">
        <v>535</v>
      </c>
    </row>
    <row r="513" spans="1:7" s="124" customFormat="1" ht="18" customHeight="1">
      <c r="A513" s="76"/>
      <c r="B513" s="312"/>
      <c r="C513" s="311"/>
      <c r="D513" s="312"/>
      <c r="E513" s="289"/>
      <c r="F513" s="84">
        <v>3</v>
      </c>
      <c r="G513" s="178" t="s">
        <v>536</v>
      </c>
    </row>
    <row r="514" spans="1:7" s="124" customFormat="1" ht="18" customHeight="1">
      <c r="A514" s="76"/>
      <c r="B514" s="312"/>
      <c r="C514" s="311"/>
      <c r="D514" s="312"/>
      <c r="E514" s="289"/>
      <c r="F514" s="84">
        <v>4</v>
      </c>
      <c r="G514" s="178" t="s">
        <v>375</v>
      </c>
    </row>
    <row r="515" spans="1:7" s="124" customFormat="1" ht="18" customHeight="1">
      <c r="A515" s="76"/>
      <c r="B515" s="312"/>
      <c r="C515" s="311"/>
      <c r="D515" s="312"/>
      <c r="E515" s="289"/>
      <c r="F515" s="84">
        <v>5</v>
      </c>
      <c r="G515" s="178" t="s">
        <v>1617</v>
      </c>
    </row>
    <row r="516" spans="1:7" s="124" customFormat="1" ht="18" customHeight="1">
      <c r="A516" s="76"/>
      <c r="B516" s="312"/>
      <c r="C516" s="311"/>
      <c r="D516" s="312"/>
      <c r="E516" s="289"/>
      <c r="F516" s="84">
        <v>6</v>
      </c>
      <c r="G516" s="178" t="s">
        <v>1618</v>
      </c>
    </row>
    <row r="517" spans="1:7" s="124" customFormat="1" ht="18" customHeight="1">
      <c r="A517" s="76"/>
      <c r="B517" s="312"/>
      <c r="C517" s="311"/>
      <c r="D517" s="312"/>
      <c r="E517" s="289"/>
      <c r="F517" s="84">
        <v>7</v>
      </c>
      <c r="G517" s="178" t="s">
        <v>1619</v>
      </c>
    </row>
    <row r="518" spans="1:7" s="124" customFormat="1" ht="18" customHeight="1">
      <c r="A518" s="76"/>
      <c r="B518" s="312"/>
      <c r="C518" s="311"/>
      <c r="D518" s="312"/>
      <c r="E518" s="289"/>
      <c r="F518" s="84">
        <v>8</v>
      </c>
      <c r="G518" s="178" t="s">
        <v>129</v>
      </c>
    </row>
    <row r="519" spans="1:7" s="124" customFormat="1" ht="18" customHeight="1">
      <c r="A519" s="76"/>
      <c r="B519" s="312"/>
      <c r="C519" s="313"/>
      <c r="D519" s="314"/>
      <c r="E519" s="288"/>
      <c r="F519" s="85">
        <v>10</v>
      </c>
      <c r="G519" s="180" t="s">
        <v>90</v>
      </c>
    </row>
    <row r="520" spans="1:7" s="124" customFormat="1" ht="18" customHeight="1">
      <c r="A520" s="76"/>
      <c r="B520" s="312"/>
      <c r="C520" s="309" t="s">
        <v>159</v>
      </c>
      <c r="D520" s="310"/>
      <c r="E520" s="287" t="str">
        <f>HYPERLINK("#LAYOUT_p!lay보PSCHOOL2","PSCHOOL2")</f>
        <v>PSCHOOL2</v>
      </c>
      <c r="F520" s="126">
        <v>1</v>
      </c>
      <c r="G520" s="179" t="s">
        <v>534</v>
      </c>
    </row>
    <row r="521" spans="1:7" s="124" customFormat="1" ht="18" customHeight="1">
      <c r="A521" s="76"/>
      <c r="B521" s="312"/>
      <c r="C521" s="311"/>
      <c r="D521" s="312"/>
      <c r="E521" s="289"/>
      <c r="F521" s="84">
        <v>2</v>
      </c>
      <c r="G521" s="178" t="s">
        <v>535</v>
      </c>
    </row>
    <row r="522" spans="1:7" s="124" customFormat="1" ht="18" customHeight="1">
      <c r="A522" s="76"/>
      <c r="B522" s="312"/>
      <c r="C522" s="311"/>
      <c r="D522" s="312"/>
      <c r="E522" s="289"/>
      <c r="F522" s="84">
        <v>3</v>
      </c>
      <c r="G522" s="178" t="s">
        <v>536</v>
      </c>
    </row>
    <row r="523" spans="1:7" s="124" customFormat="1" ht="18" customHeight="1">
      <c r="A523" s="76"/>
      <c r="B523" s="312"/>
      <c r="C523" s="311"/>
      <c r="D523" s="312"/>
      <c r="E523" s="289"/>
      <c r="F523" s="84">
        <v>4</v>
      </c>
      <c r="G523" s="178" t="s">
        <v>375</v>
      </c>
    </row>
    <row r="524" spans="1:7" s="124" customFormat="1" ht="18" customHeight="1">
      <c r="A524" s="76"/>
      <c r="B524" s="312"/>
      <c r="C524" s="311"/>
      <c r="D524" s="312"/>
      <c r="E524" s="289"/>
      <c r="F524" s="84">
        <v>5</v>
      </c>
      <c r="G524" s="178" t="s">
        <v>1617</v>
      </c>
    </row>
    <row r="525" spans="1:7" s="124" customFormat="1" ht="18" customHeight="1">
      <c r="A525" s="76"/>
      <c r="B525" s="312"/>
      <c r="C525" s="311"/>
      <c r="D525" s="312"/>
      <c r="E525" s="289"/>
      <c r="F525" s="84">
        <v>6</v>
      </c>
      <c r="G525" s="178" t="s">
        <v>1618</v>
      </c>
    </row>
    <row r="526" spans="1:7" s="124" customFormat="1" ht="18" customHeight="1">
      <c r="A526" s="76"/>
      <c r="B526" s="312"/>
      <c r="C526" s="311"/>
      <c r="D526" s="312"/>
      <c r="E526" s="289"/>
      <c r="F526" s="84">
        <v>7</v>
      </c>
      <c r="G526" s="178" t="s">
        <v>1619</v>
      </c>
    </row>
    <row r="527" spans="1:7" s="124" customFormat="1" ht="18" customHeight="1">
      <c r="A527" s="76"/>
      <c r="B527" s="312"/>
      <c r="C527" s="311"/>
      <c r="D527" s="312"/>
      <c r="E527" s="289"/>
      <c r="F527" s="84">
        <v>8</v>
      </c>
      <c r="G527" s="178" t="s">
        <v>129</v>
      </c>
    </row>
    <row r="528" spans="1:7" s="124" customFormat="1" ht="18" customHeight="1">
      <c r="A528" s="76"/>
      <c r="B528" s="312"/>
      <c r="C528" s="313"/>
      <c r="D528" s="314"/>
      <c r="E528" s="288"/>
      <c r="F528" s="85">
        <v>10</v>
      </c>
      <c r="G528" s="180" t="s">
        <v>90</v>
      </c>
    </row>
    <row r="529" spans="1:7" s="124" customFormat="1" ht="18" customHeight="1">
      <c r="A529" s="76"/>
      <c r="B529" s="312"/>
      <c r="C529" s="309" t="s">
        <v>537</v>
      </c>
      <c r="D529" s="310"/>
      <c r="E529" s="287" t="str">
        <f>HYPERLINK("#LAYOUT_p!lay보PSCHOOL3","PSCHOOL3")</f>
        <v>PSCHOOL3</v>
      </c>
      <c r="F529" s="126">
        <v>1</v>
      </c>
      <c r="G529" s="179" t="s">
        <v>534</v>
      </c>
    </row>
    <row r="530" spans="1:7" s="124" customFormat="1" ht="18" customHeight="1">
      <c r="A530" s="76"/>
      <c r="B530" s="312"/>
      <c r="C530" s="311"/>
      <c r="D530" s="312"/>
      <c r="E530" s="289"/>
      <c r="F530" s="84">
        <v>2</v>
      </c>
      <c r="G530" s="178" t="s">
        <v>535</v>
      </c>
    </row>
    <row r="531" spans="1:7" s="124" customFormat="1" ht="18" customHeight="1">
      <c r="A531" s="76"/>
      <c r="B531" s="312"/>
      <c r="C531" s="311"/>
      <c r="D531" s="312"/>
      <c r="E531" s="289"/>
      <c r="F531" s="84">
        <v>3</v>
      </c>
      <c r="G531" s="178" t="s">
        <v>536</v>
      </c>
    </row>
    <row r="532" spans="1:7" s="124" customFormat="1" ht="18" customHeight="1">
      <c r="A532" s="76"/>
      <c r="B532" s="312"/>
      <c r="C532" s="311"/>
      <c r="D532" s="312"/>
      <c r="E532" s="289"/>
      <c r="F532" s="84">
        <v>4</v>
      </c>
      <c r="G532" s="178" t="s">
        <v>375</v>
      </c>
    </row>
    <row r="533" spans="1:7" s="124" customFormat="1" ht="18" customHeight="1">
      <c r="A533" s="76"/>
      <c r="B533" s="312"/>
      <c r="C533" s="311"/>
      <c r="D533" s="312"/>
      <c r="E533" s="289"/>
      <c r="F533" s="84">
        <v>5</v>
      </c>
      <c r="G533" s="178" t="s">
        <v>1617</v>
      </c>
    </row>
    <row r="534" spans="1:7" s="124" customFormat="1" ht="18" customHeight="1">
      <c r="A534" s="76"/>
      <c r="B534" s="312"/>
      <c r="C534" s="311"/>
      <c r="D534" s="312"/>
      <c r="E534" s="289"/>
      <c r="F534" s="84">
        <v>6</v>
      </c>
      <c r="G534" s="178" t="s">
        <v>1618</v>
      </c>
    </row>
    <row r="535" spans="1:7" s="124" customFormat="1" ht="18" customHeight="1">
      <c r="A535" s="76"/>
      <c r="B535" s="312"/>
      <c r="C535" s="311"/>
      <c r="D535" s="312"/>
      <c r="E535" s="289"/>
      <c r="F535" s="84">
        <v>7</v>
      </c>
      <c r="G535" s="178" t="s">
        <v>1619</v>
      </c>
    </row>
    <row r="536" spans="1:7" s="124" customFormat="1" ht="18" customHeight="1">
      <c r="A536" s="76"/>
      <c r="B536" s="312"/>
      <c r="C536" s="311"/>
      <c r="D536" s="312"/>
      <c r="E536" s="289"/>
      <c r="F536" s="84">
        <v>8</v>
      </c>
      <c r="G536" s="178" t="s">
        <v>129</v>
      </c>
    </row>
    <row r="537" spans="1:7" s="124" customFormat="1" ht="18" customHeight="1">
      <c r="A537" s="76"/>
      <c r="B537" s="314"/>
      <c r="C537" s="313"/>
      <c r="D537" s="314"/>
      <c r="E537" s="288"/>
      <c r="F537" s="85">
        <v>10</v>
      </c>
      <c r="G537" s="180" t="s">
        <v>90</v>
      </c>
    </row>
    <row r="538" spans="1:7" s="124" customFormat="1" ht="18" customHeight="1">
      <c r="A538" s="76"/>
      <c r="B538" s="310" t="s">
        <v>538</v>
      </c>
      <c r="C538" s="309" t="s">
        <v>154</v>
      </c>
      <c r="D538" s="310"/>
      <c r="E538" s="287" t="str">
        <f>HYPERLINK("#LAYOUT_p!lay보PWORKW1","PWORKW1")</f>
        <v>PWORKW1</v>
      </c>
      <c r="F538" s="126">
        <v>1</v>
      </c>
      <c r="G538" s="183" t="s">
        <v>487</v>
      </c>
    </row>
    <row r="539" spans="1:7" s="124" customFormat="1" ht="18" customHeight="1">
      <c r="A539" s="76"/>
      <c r="B539" s="312"/>
      <c r="C539" s="311"/>
      <c r="D539" s="312"/>
      <c r="E539" s="289"/>
      <c r="F539" s="84">
        <v>2</v>
      </c>
      <c r="G539" s="187" t="s">
        <v>488</v>
      </c>
    </row>
    <row r="540" spans="1:7" s="124" customFormat="1" ht="18" customHeight="1">
      <c r="A540" s="76"/>
      <c r="B540" s="312"/>
      <c r="C540" s="313"/>
      <c r="D540" s="314"/>
      <c r="E540" s="288"/>
      <c r="F540" s="85">
        <v>3</v>
      </c>
      <c r="G540" s="188" t="s">
        <v>90</v>
      </c>
    </row>
    <row r="541" spans="1:7" s="124" customFormat="1" ht="18" customHeight="1">
      <c r="A541" s="76"/>
      <c r="B541" s="312"/>
      <c r="C541" s="309" t="s">
        <v>159</v>
      </c>
      <c r="D541" s="310"/>
      <c r="E541" s="287" t="str">
        <f>HYPERLINK("#LAYOUT_p!lay보PWORKW2","PWORKW2")</f>
        <v>PWORKW2</v>
      </c>
      <c r="F541" s="126">
        <v>1</v>
      </c>
      <c r="G541" s="183" t="s">
        <v>487</v>
      </c>
    </row>
    <row r="542" spans="1:7" s="124" customFormat="1" ht="18" customHeight="1">
      <c r="A542" s="76"/>
      <c r="B542" s="312"/>
      <c r="C542" s="311"/>
      <c r="D542" s="312"/>
      <c r="E542" s="289"/>
      <c r="F542" s="84">
        <v>2</v>
      </c>
      <c r="G542" s="187" t="s">
        <v>488</v>
      </c>
    </row>
    <row r="543" spans="1:7" s="124" customFormat="1" ht="18" customHeight="1">
      <c r="A543" s="76"/>
      <c r="B543" s="312"/>
      <c r="C543" s="313"/>
      <c r="D543" s="314"/>
      <c r="E543" s="288"/>
      <c r="F543" s="85">
        <v>3</v>
      </c>
      <c r="G543" s="188" t="s">
        <v>90</v>
      </c>
    </row>
    <row r="544" spans="1:7" s="124" customFormat="1" ht="18" customHeight="1">
      <c r="A544" s="76"/>
      <c r="B544" s="312"/>
      <c r="C544" s="309" t="s">
        <v>537</v>
      </c>
      <c r="D544" s="310"/>
      <c r="E544" s="287" t="str">
        <f>HYPERLINK("#LAYOUT_p!lay보PWORKW3","PWORKW3")</f>
        <v>PWORKW3</v>
      </c>
      <c r="F544" s="126">
        <v>1</v>
      </c>
      <c r="G544" s="183" t="s">
        <v>487</v>
      </c>
    </row>
    <row r="545" spans="1:7" s="124" customFormat="1" ht="18" customHeight="1">
      <c r="A545" s="76"/>
      <c r="B545" s="312"/>
      <c r="C545" s="311"/>
      <c r="D545" s="312"/>
      <c r="E545" s="289"/>
      <c r="F545" s="84">
        <v>2</v>
      </c>
      <c r="G545" s="187" t="s">
        <v>488</v>
      </c>
    </row>
    <row r="546" spans="1:7" s="124" customFormat="1" ht="18" customHeight="1">
      <c r="A546" s="76"/>
      <c r="B546" s="314"/>
      <c r="C546" s="313"/>
      <c r="D546" s="314"/>
      <c r="E546" s="288"/>
      <c r="F546" s="85">
        <v>3</v>
      </c>
      <c r="G546" s="187" t="s">
        <v>90</v>
      </c>
    </row>
    <row r="547" spans="1:7" s="124" customFormat="1" ht="18" customHeight="1">
      <c r="A547" s="76"/>
      <c r="B547" s="310" t="s">
        <v>539</v>
      </c>
      <c r="C547" s="309" t="s">
        <v>154</v>
      </c>
      <c r="D547" s="310"/>
      <c r="E547" s="287" t="str">
        <f>HYPERLINK("#LAYOUT_p!lay보PJOB1","PJOB1")</f>
        <v>PJOB1</v>
      </c>
      <c r="F547" s="132">
        <v>1</v>
      </c>
      <c r="G547" s="183" t="s">
        <v>540</v>
      </c>
    </row>
    <row r="548" spans="1:7" s="124" customFormat="1" ht="18" customHeight="1">
      <c r="A548" s="76"/>
      <c r="B548" s="312"/>
      <c r="C548" s="311"/>
      <c r="D548" s="312"/>
      <c r="E548" s="289"/>
      <c r="F548" s="133">
        <v>2</v>
      </c>
      <c r="G548" s="187" t="s">
        <v>541</v>
      </c>
    </row>
    <row r="549" spans="1:7" s="124" customFormat="1" ht="18" customHeight="1">
      <c r="A549" s="76"/>
      <c r="B549" s="312"/>
      <c r="C549" s="311"/>
      <c r="D549" s="312"/>
      <c r="E549" s="289"/>
      <c r="F549" s="133">
        <v>3</v>
      </c>
      <c r="G549" s="187" t="s">
        <v>542</v>
      </c>
    </row>
    <row r="550" spans="1:7" s="124" customFormat="1" ht="18" customHeight="1">
      <c r="A550" s="76"/>
      <c r="B550" s="312"/>
      <c r="C550" s="311"/>
      <c r="D550" s="312"/>
      <c r="E550" s="289"/>
      <c r="F550" s="133">
        <v>4</v>
      </c>
      <c r="G550" s="187" t="s">
        <v>543</v>
      </c>
    </row>
    <row r="551" spans="1:7" s="124" customFormat="1" ht="18" customHeight="1">
      <c r="A551" s="76"/>
      <c r="B551" s="312"/>
      <c r="C551" s="311"/>
      <c r="D551" s="312"/>
      <c r="E551" s="289"/>
      <c r="F551" s="133">
        <v>5</v>
      </c>
      <c r="G551" s="187" t="s">
        <v>544</v>
      </c>
    </row>
    <row r="552" spans="1:7" s="124" customFormat="1" ht="18" customHeight="1">
      <c r="A552" s="76"/>
      <c r="B552" s="312"/>
      <c r="C552" s="311"/>
      <c r="D552" s="312"/>
      <c r="E552" s="289"/>
      <c r="F552" s="133">
        <v>6</v>
      </c>
      <c r="G552" s="187" t="s">
        <v>545</v>
      </c>
    </row>
    <row r="553" spans="1:7" s="124" customFormat="1" ht="18" customHeight="1">
      <c r="A553" s="76"/>
      <c r="B553" s="312"/>
      <c r="C553" s="311"/>
      <c r="D553" s="312"/>
      <c r="E553" s="289"/>
      <c r="F553" s="133">
        <v>7</v>
      </c>
      <c r="G553" s="187" t="s">
        <v>546</v>
      </c>
    </row>
    <row r="554" spans="1:7" s="124" customFormat="1" ht="18" customHeight="1">
      <c r="A554" s="76"/>
      <c r="B554" s="312"/>
      <c r="C554" s="311"/>
      <c r="D554" s="312"/>
      <c r="E554" s="289"/>
      <c r="F554" s="133">
        <v>8</v>
      </c>
      <c r="G554" s="187" t="s">
        <v>547</v>
      </c>
    </row>
    <row r="555" spans="1:7" s="124" customFormat="1" ht="18" customHeight="1">
      <c r="A555" s="76"/>
      <c r="B555" s="312"/>
      <c r="C555" s="311"/>
      <c r="D555" s="312"/>
      <c r="E555" s="289"/>
      <c r="F555" s="133">
        <v>9</v>
      </c>
      <c r="G555" s="187" t="s">
        <v>548</v>
      </c>
    </row>
    <row r="556" spans="1:7" s="124" customFormat="1" ht="18" customHeight="1">
      <c r="A556" s="76"/>
      <c r="B556" s="312"/>
      <c r="C556" s="311"/>
      <c r="D556" s="312"/>
      <c r="E556" s="289"/>
      <c r="F556" s="133">
        <v>10</v>
      </c>
      <c r="G556" s="187" t="s">
        <v>549</v>
      </c>
    </row>
    <row r="557" spans="1:7" s="124" customFormat="1" ht="18" customHeight="1">
      <c r="A557" s="76"/>
      <c r="B557" s="312"/>
      <c r="C557" s="311"/>
      <c r="D557" s="312"/>
      <c r="E557" s="288"/>
      <c r="F557" s="134">
        <v>11</v>
      </c>
      <c r="G557" s="188" t="s">
        <v>101</v>
      </c>
    </row>
    <row r="558" spans="1:7" s="124" customFormat="1" ht="18" customHeight="1">
      <c r="A558" s="76"/>
      <c r="B558" s="312"/>
      <c r="C558" s="313"/>
      <c r="D558" s="314"/>
      <c r="E558" s="197" t="str">
        <f>HYPERLINK("#LAYOUT_p!lay보PJOB1_T","PJOB1_T")</f>
        <v>PJOB1_T</v>
      </c>
      <c r="F558" s="85" t="s">
        <v>1</v>
      </c>
      <c r="G558" s="188" t="s">
        <v>102</v>
      </c>
    </row>
    <row r="559" spans="1:7" s="124" customFormat="1" ht="18" customHeight="1">
      <c r="A559" s="76"/>
      <c r="B559" s="312"/>
      <c r="C559" s="309" t="s">
        <v>159</v>
      </c>
      <c r="D559" s="310"/>
      <c r="E559" s="287" t="str">
        <f>HYPERLINK("#LAYOUT_p!lay보PJOB2","PJOB2")</f>
        <v>PJOB2</v>
      </c>
      <c r="F559" s="132">
        <v>1</v>
      </c>
      <c r="G559" s="183" t="s">
        <v>540</v>
      </c>
    </row>
    <row r="560" spans="1:7" s="124" customFormat="1" ht="18" customHeight="1">
      <c r="A560" s="76"/>
      <c r="B560" s="312"/>
      <c r="C560" s="311"/>
      <c r="D560" s="312"/>
      <c r="E560" s="289"/>
      <c r="F560" s="133">
        <v>2</v>
      </c>
      <c r="G560" s="187" t="s">
        <v>541</v>
      </c>
    </row>
    <row r="561" spans="1:7" s="124" customFormat="1" ht="18" customHeight="1">
      <c r="A561" s="76"/>
      <c r="B561" s="312"/>
      <c r="C561" s="311"/>
      <c r="D561" s="312"/>
      <c r="E561" s="289"/>
      <c r="F561" s="133">
        <v>3</v>
      </c>
      <c r="G561" s="187" t="s">
        <v>542</v>
      </c>
    </row>
    <row r="562" spans="1:7" s="124" customFormat="1" ht="18" customHeight="1">
      <c r="A562" s="76"/>
      <c r="B562" s="312"/>
      <c r="C562" s="311"/>
      <c r="D562" s="312"/>
      <c r="E562" s="289"/>
      <c r="F562" s="133">
        <v>4</v>
      </c>
      <c r="G562" s="187" t="s">
        <v>543</v>
      </c>
    </row>
    <row r="563" spans="1:7" s="124" customFormat="1" ht="18" customHeight="1">
      <c r="A563" s="76"/>
      <c r="B563" s="312"/>
      <c r="C563" s="311"/>
      <c r="D563" s="312"/>
      <c r="E563" s="289"/>
      <c r="F563" s="133">
        <v>5</v>
      </c>
      <c r="G563" s="187" t="s">
        <v>544</v>
      </c>
    </row>
    <row r="564" spans="1:7" s="124" customFormat="1" ht="18" customHeight="1">
      <c r="A564" s="76"/>
      <c r="B564" s="312"/>
      <c r="C564" s="311"/>
      <c r="D564" s="312"/>
      <c r="E564" s="289"/>
      <c r="F564" s="133">
        <v>6</v>
      </c>
      <c r="G564" s="187" t="s">
        <v>545</v>
      </c>
    </row>
    <row r="565" spans="1:7" s="124" customFormat="1" ht="18" customHeight="1">
      <c r="A565" s="76"/>
      <c r="B565" s="312"/>
      <c r="C565" s="311"/>
      <c r="D565" s="312"/>
      <c r="E565" s="289"/>
      <c r="F565" s="133">
        <v>7</v>
      </c>
      <c r="G565" s="187" t="s">
        <v>546</v>
      </c>
    </row>
    <row r="566" spans="1:7" s="124" customFormat="1" ht="18" customHeight="1">
      <c r="A566" s="76"/>
      <c r="B566" s="312"/>
      <c r="C566" s="311"/>
      <c r="D566" s="312"/>
      <c r="E566" s="289"/>
      <c r="F566" s="133">
        <v>8</v>
      </c>
      <c r="G566" s="187" t="s">
        <v>547</v>
      </c>
    </row>
    <row r="567" spans="1:7" s="124" customFormat="1" ht="18" customHeight="1">
      <c r="A567" s="76"/>
      <c r="B567" s="312"/>
      <c r="C567" s="311"/>
      <c r="D567" s="312"/>
      <c r="E567" s="289"/>
      <c r="F567" s="133">
        <v>9</v>
      </c>
      <c r="G567" s="187" t="s">
        <v>548</v>
      </c>
    </row>
    <row r="568" spans="1:7" s="124" customFormat="1" ht="18" customHeight="1">
      <c r="A568" s="76"/>
      <c r="B568" s="312"/>
      <c r="C568" s="311"/>
      <c r="D568" s="312"/>
      <c r="E568" s="289"/>
      <c r="F568" s="133">
        <v>10</v>
      </c>
      <c r="G568" s="187" t="s">
        <v>549</v>
      </c>
    </row>
    <row r="569" spans="1:7" s="124" customFormat="1" ht="18" customHeight="1">
      <c r="A569" s="76"/>
      <c r="B569" s="312"/>
      <c r="C569" s="311"/>
      <c r="D569" s="312"/>
      <c r="E569" s="288"/>
      <c r="F569" s="134">
        <v>11</v>
      </c>
      <c r="G569" s="188" t="s">
        <v>101</v>
      </c>
    </row>
    <row r="570" spans="1:7" s="124" customFormat="1" ht="18" customHeight="1">
      <c r="A570" s="76"/>
      <c r="B570" s="312"/>
      <c r="C570" s="313"/>
      <c r="D570" s="314"/>
      <c r="E570" s="197" t="str">
        <f>HYPERLINK("#LAYOUT_p!lay보PJOB2_T","PJOB2_T")</f>
        <v>PJOB2_T</v>
      </c>
      <c r="F570" s="85" t="s">
        <v>1</v>
      </c>
      <c r="G570" s="188" t="s">
        <v>102</v>
      </c>
    </row>
    <row r="571" spans="1:7" s="124" customFormat="1" ht="18" customHeight="1">
      <c r="A571" s="76"/>
      <c r="B571" s="312"/>
      <c r="C571" s="309" t="s">
        <v>537</v>
      </c>
      <c r="D571" s="310"/>
      <c r="E571" s="287" t="str">
        <f>HYPERLINK("#LAYOUT_p!lay보PJOB3","PJOB3")</f>
        <v>PJOB3</v>
      </c>
      <c r="F571" s="132">
        <v>1</v>
      </c>
      <c r="G571" s="183" t="s">
        <v>540</v>
      </c>
    </row>
    <row r="572" spans="1:7" s="124" customFormat="1" ht="18" customHeight="1">
      <c r="A572" s="76"/>
      <c r="B572" s="312"/>
      <c r="C572" s="311"/>
      <c r="D572" s="312"/>
      <c r="E572" s="289"/>
      <c r="F572" s="133">
        <v>2</v>
      </c>
      <c r="G572" s="187" t="s">
        <v>541</v>
      </c>
    </row>
    <row r="573" spans="1:7" s="124" customFormat="1" ht="18" customHeight="1">
      <c r="A573" s="76"/>
      <c r="B573" s="312"/>
      <c r="C573" s="311"/>
      <c r="D573" s="312"/>
      <c r="E573" s="289"/>
      <c r="F573" s="133">
        <v>3</v>
      </c>
      <c r="G573" s="187" t="s">
        <v>542</v>
      </c>
    </row>
    <row r="574" spans="1:7" s="124" customFormat="1" ht="18" customHeight="1">
      <c r="A574" s="76"/>
      <c r="B574" s="312"/>
      <c r="C574" s="311"/>
      <c r="D574" s="312"/>
      <c r="E574" s="289"/>
      <c r="F574" s="133">
        <v>4</v>
      </c>
      <c r="G574" s="187" t="s">
        <v>543</v>
      </c>
    </row>
    <row r="575" spans="1:7" s="124" customFormat="1" ht="18" customHeight="1">
      <c r="A575" s="76"/>
      <c r="B575" s="312"/>
      <c r="C575" s="311"/>
      <c r="D575" s="312"/>
      <c r="E575" s="289"/>
      <c r="F575" s="133">
        <v>5</v>
      </c>
      <c r="G575" s="187" t="s">
        <v>544</v>
      </c>
    </row>
    <row r="576" spans="1:7" s="124" customFormat="1" ht="18" customHeight="1">
      <c r="A576" s="76"/>
      <c r="B576" s="312"/>
      <c r="C576" s="311"/>
      <c r="D576" s="312"/>
      <c r="E576" s="289"/>
      <c r="F576" s="133">
        <v>6</v>
      </c>
      <c r="G576" s="187" t="s">
        <v>545</v>
      </c>
    </row>
    <row r="577" spans="1:7" s="124" customFormat="1" ht="18" customHeight="1">
      <c r="A577" s="76"/>
      <c r="B577" s="312"/>
      <c r="C577" s="311"/>
      <c r="D577" s="312"/>
      <c r="E577" s="289"/>
      <c r="F577" s="133">
        <v>7</v>
      </c>
      <c r="G577" s="187" t="s">
        <v>546</v>
      </c>
    </row>
    <row r="578" spans="1:7" s="124" customFormat="1" ht="18" customHeight="1">
      <c r="A578" s="76"/>
      <c r="B578" s="312"/>
      <c r="C578" s="311"/>
      <c r="D578" s="312"/>
      <c r="E578" s="289"/>
      <c r="F578" s="133">
        <v>8</v>
      </c>
      <c r="G578" s="187" t="s">
        <v>547</v>
      </c>
    </row>
    <row r="579" spans="1:7" s="124" customFormat="1" ht="18" customHeight="1">
      <c r="A579" s="76"/>
      <c r="B579" s="312"/>
      <c r="C579" s="311"/>
      <c r="D579" s="312"/>
      <c r="E579" s="289"/>
      <c r="F579" s="133">
        <v>9</v>
      </c>
      <c r="G579" s="187" t="s">
        <v>548</v>
      </c>
    </row>
    <row r="580" spans="1:7" s="124" customFormat="1" ht="18" customHeight="1">
      <c r="A580" s="76"/>
      <c r="B580" s="312"/>
      <c r="C580" s="311"/>
      <c r="D580" s="312"/>
      <c r="E580" s="289"/>
      <c r="F580" s="133">
        <v>10</v>
      </c>
      <c r="G580" s="187" t="s">
        <v>549</v>
      </c>
    </row>
    <row r="581" spans="1:7" s="124" customFormat="1" ht="18" customHeight="1">
      <c r="A581" s="76"/>
      <c r="B581" s="312"/>
      <c r="C581" s="311"/>
      <c r="D581" s="312"/>
      <c r="E581" s="288"/>
      <c r="F581" s="134">
        <v>11</v>
      </c>
      <c r="G581" s="188" t="s">
        <v>101</v>
      </c>
    </row>
    <row r="582" spans="1:7" s="124" customFormat="1" ht="18" customHeight="1">
      <c r="A582" s="76"/>
      <c r="B582" s="314"/>
      <c r="C582" s="313"/>
      <c r="D582" s="314"/>
      <c r="E582" s="198" t="str">
        <f>HYPERLINK("#LAYOUT_p!lay보PJOB3_T","PJOB3_T")</f>
        <v>PJOB3_T</v>
      </c>
      <c r="F582" s="84" t="s">
        <v>1</v>
      </c>
      <c r="G582" s="187" t="s">
        <v>102</v>
      </c>
    </row>
    <row r="583" spans="1:7" s="124" customFormat="1" ht="18" customHeight="1">
      <c r="A583" s="76"/>
      <c r="B583" s="315" t="s">
        <v>550</v>
      </c>
      <c r="C583" s="315"/>
      <c r="D583" s="315"/>
      <c r="E583" s="287" t="str">
        <f>HYPERLINK("#LAYOUT_p!lay보PINCOME","PINCOME")</f>
        <v>PINCOME</v>
      </c>
      <c r="F583" s="126">
        <v>1</v>
      </c>
      <c r="G583" s="183" t="s">
        <v>551</v>
      </c>
    </row>
    <row r="584" spans="1:7" s="124" customFormat="1" ht="18" customHeight="1">
      <c r="A584" s="76"/>
      <c r="B584" s="316"/>
      <c r="C584" s="316"/>
      <c r="D584" s="316"/>
      <c r="E584" s="289"/>
      <c r="F584" s="84">
        <v>2</v>
      </c>
      <c r="G584" s="187" t="s">
        <v>552</v>
      </c>
    </row>
    <row r="585" spans="1:7" s="124" customFormat="1" ht="18" customHeight="1">
      <c r="A585" s="76"/>
      <c r="B585" s="316"/>
      <c r="C585" s="316"/>
      <c r="D585" s="316"/>
      <c r="E585" s="289"/>
      <c r="F585" s="84">
        <v>3</v>
      </c>
      <c r="G585" s="187" t="s">
        <v>553</v>
      </c>
    </row>
    <row r="586" spans="1:7" s="124" customFormat="1" ht="18" customHeight="1">
      <c r="A586" s="76"/>
      <c r="B586" s="316"/>
      <c r="C586" s="316"/>
      <c r="D586" s="316"/>
      <c r="E586" s="289"/>
      <c r="F586" s="84">
        <v>4</v>
      </c>
      <c r="G586" s="187" t="s">
        <v>554</v>
      </c>
    </row>
    <row r="587" spans="1:7" s="124" customFormat="1" ht="18" customHeight="1">
      <c r="A587" s="76"/>
      <c r="B587" s="316"/>
      <c r="C587" s="316"/>
      <c r="D587" s="316"/>
      <c r="E587" s="289"/>
      <c r="F587" s="84">
        <v>5</v>
      </c>
      <c r="G587" s="187" t="s">
        <v>555</v>
      </c>
    </row>
    <row r="588" spans="1:7" s="124" customFormat="1" ht="18" customHeight="1">
      <c r="A588" s="76"/>
      <c r="B588" s="316"/>
      <c r="C588" s="316"/>
      <c r="D588" s="316"/>
      <c r="E588" s="289"/>
      <c r="F588" s="84">
        <v>6</v>
      </c>
      <c r="G588" s="187" t="s">
        <v>556</v>
      </c>
    </row>
    <row r="589" spans="1:7" s="124" customFormat="1" ht="18" customHeight="1">
      <c r="A589" s="76"/>
      <c r="B589" s="316"/>
      <c r="C589" s="316"/>
      <c r="D589" s="316"/>
      <c r="E589" s="289"/>
      <c r="F589" s="84">
        <v>7</v>
      </c>
      <c r="G589" s="187" t="s">
        <v>557</v>
      </c>
    </row>
    <row r="590" spans="1:7" s="124" customFormat="1" ht="18" customHeight="1">
      <c r="A590" s="76"/>
      <c r="B590" s="316"/>
      <c r="C590" s="316"/>
      <c r="D590" s="316"/>
      <c r="E590" s="289"/>
      <c r="F590" s="84">
        <v>8</v>
      </c>
      <c r="G590" s="187" t="s">
        <v>558</v>
      </c>
    </row>
    <row r="591" spans="1:7" s="124" customFormat="1" ht="18" customHeight="1">
      <c r="A591" s="76"/>
      <c r="B591" s="316"/>
      <c r="C591" s="316"/>
      <c r="D591" s="316"/>
      <c r="E591" s="289"/>
      <c r="F591" s="84">
        <v>9</v>
      </c>
      <c r="G591" s="187" t="s">
        <v>559</v>
      </c>
    </row>
    <row r="592" spans="1:7" s="124" customFormat="1" ht="18" customHeight="1">
      <c r="A592" s="76"/>
      <c r="B592" s="316"/>
      <c r="C592" s="316"/>
      <c r="D592" s="316"/>
      <c r="E592" s="289"/>
      <c r="F592" s="84">
        <v>10</v>
      </c>
      <c r="G592" s="187" t="s">
        <v>560</v>
      </c>
    </row>
    <row r="593" spans="1:8" s="124" customFormat="1" ht="18" customHeight="1">
      <c r="A593" s="76"/>
      <c r="B593" s="316"/>
      <c r="C593" s="316"/>
      <c r="D593" s="316"/>
      <c r="E593" s="289"/>
      <c r="F593" s="84">
        <v>11</v>
      </c>
      <c r="G593" s="187" t="s">
        <v>561</v>
      </c>
    </row>
    <row r="594" spans="1:8" s="124" customFormat="1" ht="18" customHeight="1">
      <c r="A594" s="76"/>
      <c r="B594" s="316"/>
      <c r="C594" s="316"/>
      <c r="D594" s="316"/>
      <c r="E594" s="289"/>
      <c r="F594" s="84">
        <v>12</v>
      </c>
      <c r="G594" s="187" t="s">
        <v>562</v>
      </c>
    </row>
    <row r="595" spans="1:8" s="124" customFormat="1" ht="18" customHeight="1">
      <c r="A595" s="76"/>
      <c r="B595" s="317"/>
      <c r="C595" s="317"/>
      <c r="D595" s="317"/>
      <c r="E595" s="288"/>
      <c r="F595" s="84">
        <v>9999</v>
      </c>
      <c r="G595" s="187" t="s">
        <v>563</v>
      </c>
    </row>
    <row r="596" spans="1:8" s="124" customFormat="1" ht="18" customHeight="1">
      <c r="A596" s="76"/>
      <c r="B596" s="315" t="s">
        <v>564</v>
      </c>
      <c r="C596" s="315"/>
      <c r="D596" s="310"/>
      <c r="E596" s="287" t="str">
        <f>HYPERLINK("#LAYOUT_p!lay보PINCOME1","PINCOME1")</f>
        <v>PINCOME1</v>
      </c>
      <c r="F596" s="126">
        <v>1</v>
      </c>
      <c r="G596" s="183" t="s">
        <v>565</v>
      </c>
    </row>
    <row r="597" spans="1:8" s="124" customFormat="1" ht="18" customHeight="1">
      <c r="A597" s="76"/>
      <c r="B597" s="316"/>
      <c r="C597" s="316"/>
      <c r="D597" s="312"/>
      <c r="E597" s="289"/>
      <c r="F597" s="84">
        <v>2</v>
      </c>
      <c r="G597" s="187" t="s">
        <v>566</v>
      </c>
    </row>
    <row r="598" spans="1:8" s="124" customFormat="1" ht="18" customHeight="1">
      <c r="A598" s="76"/>
      <c r="B598" s="316"/>
      <c r="C598" s="316"/>
      <c r="D598" s="312"/>
      <c r="E598" s="289"/>
      <c r="F598" s="84">
        <v>3</v>
      </c>
      <c r="G598" s="187" t="s">
        <v>126</v>
      </c>
    </row>
    <row r="599" spans="1:8" s="124" customFormat="1" ht="18" customHeight="1">
      <c r="A599" s="76"/>
      <c r="B599" s="316"/>
      <c r="C599" s="316"/>
      <c r="D599" s="312"/>
      <c r="E599" s="289"/>
      <c r="F599" s="84">
        <v>4</v>
      </c>
      <c r="G599" s="187" t="s">
        <v>567</v>
      </c>
    </row>
    <row r="600" spans="1:8" s="124" customFormat="1" ht="18" customHeight="1">
      <c r="A600" s="76"/>
      <c r="B600" s="316"/>
      <c r="C600" s="316"/>
      <c r="D600" s="312"/>
      <c r="E600" s="289"/>
      <c r="F600" s="84">
        <v>5</v>
      </c>
      <c r="G600" s="187" t="s">
        <v>568</v>
      </c>
    </row>
    <row r="601" spans="1:8" s="124" customFormat="1" ht="18" customHeight="1">
      <c r="A601" s="76"/>
      <c r="B601" s="317"/>
      <c r="C601" s="317"/>
      <c r="D601" s="314"/>
      <c r="E601" s="288"/>
      <c r="F601" s="85">
        <v>9999</v>
      </c>
      <c r="G601" s="188" t="s">
        <v>563</v>
      </c>
    </row>
    <row r="602" spans="1:8" ht="18" customHeight="1">
      <c r="H602" s="167"/>
    </row>
    <row r="603" spans="1:8" ht="18" customHeight="1">
      <c r="H603" s="167"/>
    </row>
    <row r="604" spans="1:8" ht="18" customHeight="1">
      <c r="H604" s="167"/>
    </row>
    <row r="605" spans="1:8" ht="18" customHeight="1">
      <c r="H605" s="167"/>
    </row>
    <row r="606" spans="1:8" ht="18" customHeight="1">
      <c r="H606" s="167"/>
    </row>
    <row r="607" spans="1:8" ht="18" customHeight="1">
      <c r="H607" s="167"/>
    </row>
    <row r="608" spans="1:8" ht="18" customHeight="1">
      <c r="H608" s="167"/>
    </row>
    <row r="609" spans="8:8" ht="18" customHeight="1">
      <c r="H609" s="167"/>
    </row>
    <row r="610" spans="8:8" ht="18" customHeight="1">
      <c r="H610" s="167"/>
    </row>
    <row r="611" spans="8:8" ht="18" customHeight="1">
      <c r="H611" s="167"/>
    </row>
    <row r="612" spans="8:8" ht="18" customHeight="1">
      <c r="H612" s="167"/>
    </row>
    <row r="613" spans="8:8" ht="18" customHeight="1">
      <c r="H613" s="167"/>
    </row>
    <row r="614" spans="8:8" ht="18" customHeight="1">
      <c r="H614" s="167"/>
    </row>
    <row r="615" spans="8:8" ht="18" customHeight="1">
      <c r="H615" s="167"/>
    </row>
    <row r="616" spans="8:8" ht="18" customHeight="1">
      <c r="H616" s="167"/>
    </row>
    <row r="617" spans="8:8" ht="18" customHeight="1">
      <c r="H617" s="167"/>
    </row>
    <row r="618" spans="8:8" ht="18" customHeight="1">
      <c r="H618" s="167"/>
    </row>
    <row r="619" spans="8:8" ht="18" customHeight="1">
      <c r="H619" s="167"/>
    </row>
    <row r="620" spans="8:8" ht="18" customHeight="1">
      <c r="H620" s="167"/>
    </row>
    <row r="621" spans="8:8" ht="18" customHeight="1">
      <c r="H621" s="167"/>
    </row>
    <row r="622" spans="8:8" ht="18" customHeight="1">
      <c r="H622" s="167"/>
    </row>
    <row r="623" spans="8:8" ht="18" customHeight="1">
      <c r="H623" s="167"/>
    </row>
    <row r="624" spans="8:8" ht="18" customHeight="1">
      <c r="H624" s="167"/>
    </row>
    <row r="625" spans="8:8" ht="18" customHeight="1">
      <c r="H625" s="167"/>
    </row>
    <row r="626" spans="8:8" ht="18" customHeight="1">
      <c r="H626" s="167"/>
    </row>
    <row r="627" spans="8:8" ht="18" customHeight="1">
      <c r="H627" s="167"/>
    </row>
    <row r="628" spans="8:8" ht="18" customHeight="1">
      <c r="H628" s="167"/>
    </row>
    <row r="629" spans="8:8" ht="18" customHeight="1">
      <c r="H629" s="167"/>
    </row>
    <row r="630" spans="8:8" ht="18" customHeight="1">
      <c r="H630" s="167"/>
    </row>
    <row r="631" spans="8:8" ht="18" customHeight="1">
      <c r="H631" s="167"/>
    </row>
    <row r="632" spans="8:8" ht="18" customHeight="1">
      <c r="H632" s="167"/>
    </row>
    <row r="633" spans="8:8" ht="18" customHeight="1">
      <c r="H633" s="167"/>
    </row>
    <row r="634" spans="8:8" ht="18" customHeight="1">
      <c r="H634" s="167"/>
    </row>
    <row r="635" spans="8:8" ht="18" customHeight="1">
      <c r="H635" s="167"/>
    </row>
    <row r="636" spans="8:8" ht="18" customHeight="1">
      <c r="H636" s="167"/>
    </row>
    <row r="637" spans="8:8" ht="18" customHeight="1">
      <c r="H637" s="167"/>
    </row>
    <row r="638" spans="8:8" ht="18" customHeight="1">
      <c r="H638" s="167"/>
    </row>
    <row r="639" spans="8:8" ht="18" customHeight="1">
      <c r="H639" s="167"/>
    </row>
    <row r="640" spans="8:8" ht="18" customHeight="1">
      <c r="H640" s="167"/>
    </row>
    <row r="641" spans="8:8" ht="18" customHeight="1">
      <c r="H641" s="167"/>
    </row>
    <row r="642" spans="8:8" ht="18" customHeight="1">
      <c r="H642" s="167"/>
    </row>
    <row r="643" spans="8:8" ht="18" customHeight="1">
      <c r="H643" s="167"/>
    </row>
    <row r="644" spans="8:8" ht="18" customHeight="1">
      <c r="H644" s="167"/>
    </row>
    <row r="645" spans="8:8" ht="18" customHeight="1">
      <c r="H645" s="167"/>
    </row>
    <row r="646" spans="8:8" ht="18" customHeight="1">
      <c r="H646" s="167"/>
    </row>
    <row r="647" spans="8:8" ht="18" customHeight="1">
      <c r="H647" s="167"/>
    </row>
    <row r="648" spans="8:8" ht="18" customHeight="1">
      <c r="H648" s="167"/>
    </row>
    <row r="649" spans="8:8" ht="18" customHeight="1">
      <c r="H649" s="167"/>
    </row>
    <row r="650" spans="8:8" ht="18" customHeight="1">
      <c r="H650" s="167"/>
    </row>
    <row r="651" spans="8:8" ht="18" customHeight="1">
      <c r="H651" s="167"/>
    </row>
    <row r="652" spans="8:8" ht="18" customHeight="1">
      <c r="H652" s="167"/>
    </row>
    <row r="653" spans="8:8" ht="18" customHeight="1">
      <c r="H653" s="167"/>
    </row>
    <row r="654" spans="8:8" ht="18" customHeight="1">
      <c r="H654" s="167"/>
    </row>
    <row r="655" spans="8:8" ht="18" customHeight="1">
      <c r="H655" s="167"/>
    </row>
    <row r="656" spans="8:8" ht="18" customHeight="1">
      <c r="H656" s="167"/>
    </row>
  </sheetData>
  <sheetProtection algorithmName="SHA-512" hashValue="Q+GjQv2CvIPB+H7VHBo5Z3sfOGFFzS6HShsLJViDD7W/8MMqgzHNgVF8gIPL5Khe4An+iE6HHM4K9HLdNib3mA==" saltValue="6PXouKUxAsNF9meunnRIPQ==" spinCount="100000" sheet="1" objects="1" scenarios="1"/>
  <mergeCells count="308">
    <mergeCell ref="B1:G2"/>
    <mergeCell ref="B3:G3"/>
    <mergeCell ref="E541:E543"/>
    <mergeCell ref="E544:E546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06:E407"/>
    <mergeCell ref="E408:E409"/>
    <mergeCell ref="E410:E411"/>
    <mergeCell ref="E412:E413"/>
    <mergeCell ref="E414:E415"/>
    <mergeCell ref="E416:E417"/>
    <mergeCell ref="E442:E443"/>
    <mergeCell ref="E444:E445"/>
    <mergeCell ref="E447:E450"/>
    <mergeCell ref="E451:E454"/>
    <mergeCell ref="E455:E458"/>
    <mergeCell ref="E459:E462"/>
    <mergeCell ref="E463:E466"/>
    <mergeCell ref="E467:E470"/>
    <mergeCell ref="E471:E474"/>
    <mergeCell ref="E583:E595"/>
    <mergeCell ref="E596:E601"/>
    <mergeCell ref="E475:E478"/>
    <mergeCell ref="E479:E482"/>
    <mergeCell ref="E483:E487"/>
    <mergeCell ref="E491:E492"/>
    <mergeCell ref="E493:E509"/>
    <mergeCell ref="E511:E519"/>
    <mergeCell ref="E520:E528"/>
    <mergeCell ref="E529:E537"/>
    <mergeCell ref="E538:E540"/>
    <mergeCell ref="E547:E557"/>
    <mergeCell ref="E559:E569"/>
    <mergeCell ref="E571:E581"/>
    <mergeCell ref="E418:E419"/>
    <mergeCell ref="E420:E421"/>
    <mergeCell ref="E422:E423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354:E357"/>
    <mergeCell ref="E358:E361"/>
    <mergeCell ref="E362:E365"/>
    <mergeCell ref="E366:E369"/>
    <mergeCell ref="E370:E373"/>
    <mergeCell ref="E374:E377"/>
    <mergeCell ref="E378:E381"/>
    <mergeCell ref="E382:E385"/>
    <mergeCell ref="E386:E387"/>
    <mergeCell ref="E318:E321"/>
    <mergeCell ref="E322:E325"/>
    <mergeCell ref="E326:E329"/>
    <mergeCell ref="E330:E333"/>
    <mergeCell ref="E334:E337"/>
    <mergeCell ref="E338:E341"/>
    <mergeCell ref="E342:E345"/>
    <mergeCell ref="E346:E349"/>
    <mergeCell ref="E350:E353"/>
    <mergeCell ref="E282:E285"/>
    <mergeCell ref="E286:E289"/>
    <mergeCell ref="E290:E293"/>
    <mergeCell ref="E294:E297"/>
    <mergeCell ref="E298:E301"/>
    <mergeCell ref="E302:E305"/>
    <mergeCell ref="E306:E309"/>
    <mergeCell ref="E310:E313"/>
    <mergeCell ref="E314:E317"/>
    <mergeCell ref="E244:E248"/>
    <mergeCell ref="E250:E253"/>
    <mergeCell ref="E254:E257"/>
    <mergeCell ref="E258:E261"/>
    <mergeCell ref="E262:E265"/>
    <mergeCell ref="E266:E269"/>
    <mergeCell ref="E270:E273"/>
    <mergeCell ref="E274:E277"/>
    <mergeCell ref="E278:E281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182:E187"/>
    <mergeCell ref="E188:E192"/>
    <mergeCell ref="E193:E195"/>
    <mergeCell ref="E196:E199"/>
    <mergeCell ref="E200:E203"/>
    <mergeCell ref="E204:E207"/>
    <mergeCell ref="E85:E92"/>
    <mergeCell ref="E95:E102"/>
    <mergeCell ref="E103:E110"/>
    <mergeCell ref="E112:E118"/>
    <mergeCell ref="E120:E126"/>
    <mergeCell ref="E128:E134"/>
    <mergeCell ref="E136:E142"/>
    <mergeCell ref="E170:E175"/>
    <mergeCell ref="E176:E181"/>
    <mergeCell ref="E17:E18"/>
    <mergeCell ref="E20:E29"/>
    <mergeCell ref="E30:E31"/>
    <mergeCell ref="E48:E49"/>
    <mergeCell ref="E50:E66"/>
    <mergeCell ref="E68:E73"/>
    <mergeCell ref="B144:D144"/>
    <mergeCell ref="B145:D145"/>
    <mergeCell ref="C154:C157"/>
    <mergeCell ref="D154:D155"/>
    <mergeCell ref="D156:D157"/>
    <mergeCell ref="E75:E76"/>
    <mergeCell ref="E77:E84"/>
    <mergeCell ref="D146:D147"/>
    <mergeCell ref="D148:D149"/>
    <mergeCell ref="C146:C149"/>
    <mergeCell ref="E34:E43"/>
    <mergeCell ref="E44:E45"/>
    <mergeCell ref="B95:B111"/>
    <mergeCell ref="C95:D102"/>
    <mergeCell ref="C103:D110"/>
    <mergeCell ref="C111:D111"/>
    <mergeCell ref="C48:D49"/>
    <mergeCell ref="C67:D67"/>
    <mergeCell ref="C50:D66"/>
    <mergeCell ref="B94:D94"/>
    <mergeCell ref="B68:D74"/>
    <mergeCell ref="B75:D76"/>
    <mergeCell ref="B77:B93"/>
    <mergeCell ref="C77:D84"/>
    <mergeCell ref="C85:D92"/>
    <mergeCell ref="C93:D93"/>
    <mergeCell ref="B4:D5"/>
    <mergeCell ref="B8:D14"/>
    <mergeCell ref="B15:D16"/>
    <mergeCell ref="B17:D18"/>
    <mergeCell ref="B19:D19"/>
    <mergeCell ref="B48:B67"/>
    <mergeCell ref="B20:B33"/>
    <mergeCell ref="C20:C33"/>
    <mergeCell ref="D20:D29"/>
    <mergeCell ref="D30:D31"/>
    <mergeCell ref="D34:D43"/>
    <mergeCell ref="D44:D45"/>
    <mergeCell ref="B34:B47"/>
    <mergeCell ref="C34:C47"/>
    <mergeCell ref="F4:F5"/>
    <mergeCell ref="G4:G5"/>
    <mergeCell ref="B6:D7"/>
    <mergeCell ref="C422:D423"/>
    <mergeCell ref="C424:D425"/>
    <mergeCell ref="C402:D403"/>
    <mergeCell ref="C404:D405"/>
    <mergeCell ref="C406:D407"/>
    <mergeCell ref="C408:D409"/>
    <mergeCell ref="C410:D411"/>
    <mergeCell ref="C412:D413"/>
    <mergeCell ref="C382:D385"/>
    <mergeCell ref="B346:B385"/>
    <mergeCell ref="C346:D349"/>
    <mergeCell ref="C350:D353"/>
    <mergeCell ref="C354:D357"/>
    <mergeCell ref="C358:D361"/>
    <mergeCell ref="C362:D365"/>
    <mergeCell ref="C366:D369"/>
    <mergeCell ref="C370:D373"/>
    <mergeCell ref="C374:D377"/>
    <mergeCell ref="E4:E5"/>
    <mergeCell ref="E8:E14"/>
    <mergeCell ref="C420:D421"/>
    <mergeCell ref="C447:D450"/>
    <mergeCell ref="C451:D454"/>
    <mergeCell ref="C455:D458"/>
    <mergeCell ref="C459:D462"/>
    <mergeCell ref="C426:D427"/>
    <mergeCell ref="C428:D429"/>
    <mergeCell ref="C430:D431"/>
    <mergeCell ref="C432:D433"/>
    <mergeCell ref="C434:D435"/>
    <mergeCell ref="C436:D437"/>
    <mergeCell ref="B446:D446"/>
    <mergeCell ref="B547:B582"/>
    <mergeCell ref="C547:D558"/>
    <mergeCell ref="C559:D570"/>
    <mergeCell ref="C571:D582"/>
    <mergeCell ref="B583:D595"/>
    <mergeCell ref="B489:B490"/>
    <mergeCell ref="C489:D489"/>
    <mergeCell ref="C490:D490"/>
    <mergeCell ref="C510:D510"/>
    <mergeCell ref="C493:D509"/>
    <mergeCell ref="B491:B510"/>
    <mergeCell ref="C491:D492"/>
    <mergeCell ref="B330:B337"/>
    <mergeCell ref="C330:D333"/>
    <mergeCell ref="C334:D337"/>
    <mergeCell ref="B338:B345"/>
    <mergeCell ref="C338:D341"/>
    <mergeCell ref="C342:D345"/>
    <mergeCell ref="C541:D543"/>
    <mergeCell ref="C544:D546"/>
    <mergeCell ref="B479:D482"/>
    <mergeCell ref="B483:D487"/>
    <mergeCell ref="B488:D488"/>
    <mergeCell ref="C438:D439"/>
    <mergeCell ref="C440:D441"/>
    <mergeCell ref="C442:D443"/>
    <mergeCell ref="C444:D445"/>
    <mergeCell ref="C463:D466"/>
    <mergeCell ref="C467:D470"/>
    <mergeCell ref="C471:D474"/>
    <mergeCell ref="C475:D478"/>
    <mergeCell ref="B386:B445"/>
    <mergeCell ref="C386:D387"/>
    <mergeCell ref="C388:D389"/>
    <mergeCell ref="C390:D391"/>
    <mergeCell ref="B447:B478"/>
    <mergeCell ref="C270:D273"/>
    <mergeCell ref="C274:D277"/>
    <mergeCell ref="C278:D281"/>
    <mergeCell ref="C282:D285"/>
    <mergeCell ref="C378:D381"/>
    <mergeCell ref="C414:D415"/>
    <mergeCell ref="C416:D417"/>
    <mergeCell ref="C418:D419"/>
    <mergeCell ref="C392:D393"/>
    <mergeCell ref="C394:D395"/>
    <mergeCell ref="C396:D397"/>
    <mergeCell ref="C398:D399"/>
    <mergeCell ref="C400:D401"/>
    <mergeCell ref="C258:D261"/>
    <mergeCell ref="C262:D265"/>
    <mergeCell ref="C244:D248"/>
    <mergeCell ref="C249:D249"/>
    <mergeCell ref="B188:D192"/>
    <mergeCell ref="B193:D195"/>
    <mergeCell ref="B196:B249"/>
    <mergeCell ref="C196:D199"/>
    <mergeCell ref="C266:D269"/>
    <mergeCell ref="C240:D243"/>
    <mergeCell ref="C228:D231"/>
    <mergeCell ref="C232:D235"/>
    <mergeCell ref="C236:D239"/>
    <mergeCell ref="C220:D223"/>
    <mergeCell ref="C200:D203"/>
    <mergeCell ref="C204:D207"/>
    <mergeCell ref="C208:D211"/>
    <mergeCell ref="C212:D215"/>
    <mergeCell ref="C216:D219"/>
    <mergeCell ref="B596:D601"/>
    <mergeCell ref="B511:B537"/>
    <mergeCell ref="C511:D519"/>
    <mergeCell ref="C520:D528"/>
    <mergeCell ref="C529:D537"/>
    <mergeCell ref="B538:B546"/>
    <mergeCell ref="C538:D540"/>
    <mergeCell ref="B112:B143"/>
    <mergeCell ref="B310:B329"/>
    <mergeCell ref="C310:D313"/>
    <mergeCell ref="C314:D317"/>
    <mergeCell ref="C318:D321"/>
    <mergeCell ref="C322:D325"/>
    <mergeCell ref="C326:D329"/>
    <mergeCell ref="C286:D289"/>
    <mergeCell ref="C290:D293"/>
    <mergeCell ref="C294:D297"/>
    <mergeCell ref="C298:D301"/>
    <mergeCell ref="C302:D305"/>
    <mergeCell ref="C306:D309"/>
    <mergeCell ref="B250:B309"/>
    <mergeCell ref="C250:D253"/>
    <mergeCell ref="C254:D257"/>
    <mergeCell ref="C224:D227"/>
    <mergeCell ref="B170:D175"/>
    <mergeCell ref="B176:D181"/>
    <mergeCell ref="B182:D187"/>
    <mergeCell ref="D168:D169"/>
    <mergeCell ref="C112:D119"/>
    <mergeCell ref="C120:D127"/>
    <mergeCell ref="C128:D135"/>
    <mergeCell ref="C136:D143"/>
    <mergeCell ref="B146:B149"/>
    <mergeCell ref="B150:B169"/>
    <mergeCell ref="C150:C153"/>
    <mergeCell ref="D150:D151"/>
    <mergeCell ref="D152:D153"/>
    <mergeCell ref="C158:C161"/>
    <mergeCell ref="D158:D159"/>
    <mergeCell ref="D160:D161"/>
    <mergeCell ref="C162:C165"/>
    <mergeCell ref="D162:D163"/>
    <mergeCell ref="D164:D165"/>
    <mergeCell ref="C166:C169"/>
    <mergeCell ref="D166:D167"/>
  </mergeCells>
  <phoneticPr fontId="1" type="noConversion"/>
  <pageMargins left="0.7" right="0.7" top="0.75" bottom="0.75" header="0.3" footer="0.3"/>
  <pageSetup paperSize="9" scale="4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349"/>
  <sheetViews>
    <sheetView showGridLines="0" zoomScaleNormal="100" workbookViewId="0">
      <pane ySplit="6" topLeftCell="A7" activePane="bottomLeft" state="frozen"/>
      <selection pane="bottomLeft" activeCell="F2" sqref="F2:U3"/>
    </sheetView>
  </sheetViews>
  <sheetFormatPr defaultColWidth="9" defaultRowHeight="18" customHeight="1"/>
  <cols>
    <col min="1" max="1" width="1.625" style="6" customWidth="1"/>
    <col min="2" max="3" width="12.375" style="154" customWidth="1"/>
    <col min="4" max="4" width="1.625" style="2" customWidth="1"/>
    <col min="5" max="5" width="1.625" style="6" customWidth="1"/>
    <col min="6" max="6" width="5.125" style="6" customWidth="1"/>
    <col min="7" max="20" width="13.5" style="6" customWidth="1"/>
    <col min="21" max="21" width="5.125" style="6" customWidth="1"/>
    <col min="22" max="22" width="1.625" style="6" customWidth="1"/>
    <col min="23" max="16384" width="9" style="6"/>
  </cols>
  <sheetData>
    <row r="1" spans="2:22" ht="9.75" customHeight="1" thickBot="1"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"/>
      <c r="V1" s="3"/>
    </row>
    <row r="2" spans="2:22" ht="18" customHeight="1">
      <c r="E2" s="4"/>
      <c r="F2" s="356" t="s">
        <v>1761</v>
      </c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8"/>
      <c r="V2" s="3"/>
    </row>
    <row r="3" spans="2:22" ht="18" customHeight="1" thickBot="1">
      <c r="E3" s="4"/>
      <c r="F3" s="359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1"/>
      <c r="V3" s="3"/>
    </row>
    <row r="4" spans="2:22" ht="9.75" customHeight="1">
      <c r="E4" s="3"/>
      <c r="F4" s="3"/>
      <c r="U4" s="3"/>
      <c r="V4" s="3"/>
    </row>
    <row r="5" spans="2:22" ht="18" customHeight="1">
      <c r="F5" s="354" t="s">
        <v>1767</v>
      </c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</row>
    <row r="6" spans="2:22" ht="18" customHeight="1">
      <c r="B6" s="193"/>
      <c r="C6" s="193"/>
      <c r="F6" s="406" t="s">
        <v>1067</v>
      </c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</row>
    <row r="7" spans="2:22" ht="9.75" customHeight="1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2:22" ht="18" customHeight="1">
      <c r="E8" s="7"/>
      <c r="V8" s="7"/>
    </row>
    <row r="9" spans="2:22" ht="18" customHeight="1">
      <c r="E9" s="7"/>
      <c r="F9" s="6" t="s">
        <v>569</v>
      </c>
      <c r="V9" s="7"/>
    </row>
    <row r="10" spans="2:22" ht="18" customHeight="1">
      <c r="B10" s="355" t="str">
        <f>HYPERLINK("#LAYOUT_e4!lay초YBRT1A","YBRT1A")</f>
        <v>YBRT1A</v>
      </c>
      <c r="C10" s="355"/>
      <c r="E10" s="7"/>
      <c r="G10" s="6" t="s">
        <v>1581</v>
      </c>
      <c r="V10" s="7"/>
    </row>
    <row r="11" spans="2:22" ht="18" customHeight="1">
      <c r="B11" s="355" t="str">
        <f>HYPERLINK("#LAYOUT_e4!lay초YBRT1B","YBRT1B")</f>
        <v>YBRT1B</v>
      </c>
      <c r="C11" s="355"/>
      <c r="E11" s="7"/>
      <c r="G11" s="6" t="s">
        <v>1582</v>
      </c>
      <c r="V11" s="7"/>
    </row>
    <row r="12" spans="2:22" ht="18" customHeight="1">
      <c r="B12" s="195"/>
      <c r="C12" s="195"/>
      <c r="E12" s="7"/>
      <c r="V12" s="7"/>
    </row>
    <row r="13" spans="2:22" ht="18" customHeight="1">
      <c r="B13" s="195"/>
      <c r="C13" s="195"/>
      <c r="E13" s="7"/>
      <c r="V13" s="7"/>
    </row>
    <row r="14" spans="2:22" ht="18" customHeight="1">
      <c r="B14" s="355" t="str">
        <f>HYPERLINK("#LAYOUT_e4!lay초YGENDER","YGENDER")</f>
        <v>YGENDER</v>
      </c>
      <c r="C14" s="355"/>
      <c r="E14" s="7"/>
      <c r="F14" s="6" t="s">
        <v>570</v>
      </c>
      <c r="V14" s="7"/>
    </row>
    <row r="15" spans="2:22" ht="18" customHeight="1">
      <c r="B15" s="195"/>
      <c r="C15" s="195"/>
      <c r="E15" s="7"/>
      <c r="G15" s="6" t="s">
        <v>571</v>
      </c>
      <c r="H15" s="6" t="s">
        <v>572</v>
      </c>
      <c r="V15" s="7"/>
    </row>
    <row r="16" spans="2:22" ht="18" customHeight="1">
      <c r="B16" s="195"/>
      <c r="C16" s="195"/>
      <c r="E16" s="7"/>
      <c r="V16" s="7"/>
    </row>
    <row r="17" spans="2:22" ht="18" customHeight="1">
      <c r="B17" s="195"/>
      <c r="C17" s="195"/>
      <c r="E17" s="7"/>
      <c r="V17" s="7"/>
    </row>
    <row r="18" spans="2:22" ht="18" customHeight="1">
      <c r="B18" s="195"/>
      <c r="C18" s="195"/>
      <c r="E18" s="7"/>
      <c r="F18" s="6" t="s">
        <v>826</v>
      </c>
      <c r="V18" s="7"/>
    </row>
    <row r="19" spans="2:22" ht="18" customHeight="1" thickBot="1">
      <c r="B19" s="195"/>
      <c r="C19" s="195"/>
      <c r="E19" s="7"/>
      <c r="G19" s="6" t="s">
        <v>573</v>
      </c>
      <c r="H19" s="8"/>
      <c r="I19" s="8"/>
      <c r="J19" s="8"/>
      <c r="K19" s="8"/>
      <c r="L19" s="8"/>
      <c r="M19" s="8"/>
      <c r="N19" s="8"/>
      <c r="O19" s="8"/>
      <c r="P19" s="8"/>
      <c r="V19" s="7"/>
    </row>
    <row r="20" spans="2:22" ht="18" customHeight="1" thickTop="1">
      <c r="B20" s="195"/>
      <c r="C20" s="195"/>
      <c r="E20" s="7"/>
      <c r="G20" s="388" t="s">
        <v>574</v>
      </c>
      <c r="H20" s="388"/>
      <c r="I20" s="388"/>
      <c r="J20" s="388"/>
      <c r="K20" s="388"/>
      <c r="L20" s="389"/>
      <c r="M20" s="375" t="s">
        <v>575</v>
      </c>
      <c r="N20" s="376"/>
      <c r="O20" s="316" t="s">
        <v>576</v>
      </c>
      <c r="P20" s="316"/>
      <c r="V20" s="7"/>
    </row>
    <row r="21" spans="2:22" ht="18" customHeight="1" thickBot="1">
      <c r="B21" s="195"/>
      <c r="C21" s="195"/>
      <c r="E21" s="7"/>
      <c r="G21" s="374"/>
      <c r="H21" s="374"/>
      <c r="I21" s="374"/>
      <c r="J21" s="374"/>
      <c r="K21" s="374"/>
      <c r="L21" s="378"/>
      <c r="M21" s="377" t="s">
        <v>577</v>
      </c>
      <c r="N21" s="378"/>
      <c r="O21" s="374" t="s">
        <v>578</v>
      </c>
      <c r="P21" s="374"/>
      <c r="V21" s="7"/>
    </row>
    <row r="22" spans="2:22" ht="18" customHeight="1" thickTop="1">
      <c r="B22" s="195" t="str">
        <f>HYPERLINK("#LAYOUT_e4!lay초YTIM1A01","YTIM1A01")</f>
        <v>YTIM1A01</v>
      </c>
      <c r="C22" s="195" t="str">
        <f>HYPERLINK("#LAYOUT_e4!lay초YTIM1A03","YTIM1A03")</f>
        <v>YTIM1A03</v>
      </c>
      <c r="E22" s="7"/>
      <c r="G22" s="380" t="s">
        <v>579</v>
      </c>
      <c r="H22" s="380"/>
      <c r="I22" s="380"/>
      <c r="J22" s="380"/>
      <c r="K22" s="380"/>
      <c r="L22" s="381"/>
      <c r="M22" s="384" t="s">
        <v>1583</v>
      </c>
      <c r="N22" s="385"/>
      <c r="O22" s="384" t="s">
        <v>1583</v>
      </c>
      <c r="P22" s="387"/>
      <c r="Q22" s="5"/>
      <c r="V22" s="7"/>
    </row>
    <row r="23" spans="2:22" ht="18" customHeight="1">
      <c r="B23" s="195" t="str">
        <f>HYPERLINK("#LAYOUT_e4!lay초YTIM1A02","YTIM1A02")</f>
        <v>YTIM1A02</v>
      </c>
      <c r="C23" s="195" t="str">
        <f>HYPERLINK("#LAYOUT_e4!lay초YTIM1A04","YTIM1A04")</f>
        <v>YTIM1A04</v>
      </c>
      <c r="E23" s="7"/>
      <c r="G23" s="371"/>
      <c r="H23" s="371"/>
      <c r="I23" s="371"/>
      <c r="J23" s="371"/>
      <c r="K23" s="371"/>
      <c r="L23" s="382"/>
      <c r="M23" s="379" t="s">
        <v>1584</v>
      </c>
      <c r="N23" s="386"/>
      <c r="O23" s="379" t="s">
        <v>1584</v>
      </c>
      <c r="P23" s="317"/>
      <c r="Q23" s="5"/>
      <c r="V23" s="7"/>
    </row>
    <row r="24" spans="2:22" ht="18" customHeight="1">
      <c r="B24" s="195" t="str">
        <f>HYPERLINK("#LAYOUT_e4!lay초YTIM1B01","YTIM1B01")</f>
        <v>YTIM1B01</v>
      </c>
      <c r="C24" s="195" t="str">
        <f>HYPERLINK("#LAYOUT_e4!lay초YTIM1B03","YTIM1B03")</f>
        <v>YTIM1B03</v>
      </c>
      <c r="E24" s="7"/>
      <c r="G24" s="370" t="s">
        <v>580</v>
      </c>
      <c r="H24" s="370"/>
      <c r="I24" s="370"/>
      <c r="J24" s="370"/>
      <c r="K24" s="370"/>
      <c r="L24" s="383"/>
      <c r="M24" s="375" t="s">
        <v>1583</v>
      </c>
      <c r="N24" s="376"/>
      <c r="O24" s="375" t="s">
        <v>1583</v>
      </c>
      <c r="P24" s="316"/>
      <c r="Q24" s="5"/>
      <c r="V24" s="7"/>
    </row>
    <row r="25" spans="2:22" ht="18" customHeight="1">
      <c r="B25" s="195" t="str">
        <f>HYPERLINK("#LAYOUT_e4!lay초YTIM1B02","YTIM1B02")</f>
        <v>YTIM1B02</v>
      </c>
      <c r="C25" s="195" t="str">
        <f>HYPERLINK("#LAYOUT_e4!lay초YTIM1B04","YTIM1B04")</f>
        <v>YTIM1B04</v>
      </c>
      <c r="E25" s="7"/>
      <c r="G25" s="371"/>
      <c r="H25" s="371"/>
      <c r="I25" s="371"/>
      <c r="J25" s="371"/>
      <c r="K25" s="371"/>
      <c r="L25" s="382"/>
      <c r="M25" s="379" t="s">
        <v>1584</v>
      </c>
      <c r="N25" s="386"/>
      <c r="O25" s="379" t="s">
        <v>1584</v>
      </c>
      <c r="P25" s="317"/>
      <c r="Q25" s="5"/>
      <c r="V25" s="7"/>
    </row>
    <row r="26" spans="2:22" ht="18" customHeight="1">
      <c r="B26" s="355" t="str">
        <f>HYPERLINK("#LAYOUT_e4!lay초YTIM1C01","YTIM1C01")</f>
        <v>YTIM1C01</v>
      </c>
      <c r="C26" s="355" t="str">
        <f>HYPERLINK("#LAYOUT_e4!lay초YTIM1C02","YTIM1C02")</f>
        <v>YTIM1C02</v>
      </c>
      <c r="E26" s="7"/>
      <c r="G26" s="370" t="s">
        <v>581</v>
      </c>
      <c r="H26" s="370"/>
      <c r="I26" s="370"/>
      <c r="J26" s="370"/>
      <c r="K26" s="370"/>
      <c r="L26" s="383"/>
      <c r="M26" s="392" t="s">
        <v>582</v>
      </c>
      <c r="N26" s="383"/>
      <c r="O26" s="370" t="s">
        <v>582</v>
      </c>
      <c r="P26" s="370"/>
      <c r="V26" s="7"/>
    </row>
    <row r="27" spans="2:22" ht="18" customHeight="1">
      <c r="B27" s="355"/>
      <c r="C27" s="355"/>
      <c r="E27" s="7"/>
      <c r="G27" s="370"/>
      <c r="H27" s="370"/>
      <c r="I27" s="370"/>
      <c r="J27" s="370"/>
      <c r="K27" s="370"/>
      <c r="L27" s="383"/>
      <c r="M27" s="392" t="s">
        <v>583</v>
      </c>
      <c r="N27" s="383"/>
      <c r="O27" s="370" t="s">
        <v>583</v>
      </c>
      <c r="P27" s="370"/>
      <c r="V27" s="7"/>
    </row>
    <row r="28" spans="2:22" ht="18" customHeight="1">
      <c r="B28" s="355"/>
      <c r="C28" s="355"/>
      <c r="E28" s="7"/>
      <c r="G28" s="370"/>
      <c r="H28" s="370"/>
      <c r="I28" s="370"/>
      <c r="J28" s="370"/>
      <c r="K28" s="370"/>
      <c r="L28" s="383"/>
      <c r="M28" s="392" t="s">
        <v>584</v>
      </c>
      <c r="N28" s="383"/>
      <c r="O28" s="370" t="s">
        <v>584</v>
      </c>
      <c r="P28" s="370"/>
      <c r="V28" s="7"/>
    </row>
    <row r="29" spans="2:22" ht="18" customHeight="1">
      <c r="B29" s="355"/>
      <c r="C29" s="355"/>
      <c r="E29" s="7"/>
      <c r="G29" s="371"/>
      <c r="H29" s="371"/>
      <c r="I29" s="371"/>
      <c r="J29" s="371"/>
      <c r="K29" s="371"/>
      <c r="L29" s="382"/>
      <c r="M29" s="393" t="s">
        <v>585</v>
      </c>
      <c r="N29" s="382"/>
      <c r="O29" s="371" t="s">
        <v>585</v>
      </c>
      <c r="P29" s="371"/>
      <c r="V29" s="7"/>
    </row>
    <row r="30" spans="2:22" ht="18" customHeight="1" thickBot="1">
      <c r="B30" s="195"/>
      <c r="C30" s="195"/>
      <c r="E30" s="7"/>
      <c r="V30" s="7"/>
    </row>
    <row r="31" spans="2:22" ht="31.5" thickTop="1" thickBot="1">
      <c r="B31" s="195"/>
      <c r="C31" s="195"/>
      <c r="E31" s="7"/>
      <c r="G31" s="390" t="s">
        <v>574</v>
      </c>
      <c r="H31" s="390"/>
      <c r="I31" s="390"/>
      <c r="J31" s="390"/>
      <c r="K31" s="390"/>
      <c r="L31" s="390"/>
      <c r="M31" s="391"/>
      <c r="N31" s="9" t="s">
        <v>62</v>
      </c>
      <c r="O31" s="9" t="s">
        <v>63</v>
      </c>
      <c r="P31" s="9" t="s">
        <v>586</v>
      </c>
      <c r="Q31" s="9" t="s">
        <v>587</v>
      </c>
      <c r="R31" s="9" t="s">
        <v>588</v>
      </c>
      <c r="S31" s="9" t="s">
        <v>589</v>
      </c>
      <c r="T31" s="10" t="s">
        <v>68</v>
      </c>
      <c r="U31" s="11"/>
      <c r="V31" s="7"/>
    </row>
    <row r="32" spans="2:22" ht="18" customHeight="1" thickTop="1">
      <c r="B32" s="355" t="str">
        <f>HYPERLINK("#LAYOUT_e4!lay초YTIM1D01","YTIM1D01")</f>
        <v>YTIM1D01</v>
      </c>
      <c r="C32" s="355"/>
      <c r="E32" s="7"/>
      <c r="G32" s="394" t="s">
        <v>590</v>
      </c>
      <c r="H32" s="394"/>
      <c r="I32" s="394"/>
      <c r="J32" s="394"/>
      <c r="K32" s="394"/>
      <c r="L32" s="395"/>
      <c r="M32" s="12" t="s">
        <v>61</v>
      </c>
      <c r="N32" s="12" t="s">
        <v>591</v>
      </c>
      <c r="O32" s="12" t="s">
        <v>592</v>
      </c>
      <c r="P32" s="12" t="s">
        <v>593</v>
      </c>
      <c r="Q32" s="12" t="s">
        <v>594</v>
      </c>
      <c r="R32" s="12" t="s">
        <v>595</v>
      </c>
      <c r="S32" s="12" t="s">
        <v>596</v>
      </c>
      <c r="T32" s="13" t="s">
        <v>597</v>
      </c>
      <c r="U32" s="11"/>
      <c r="V32" s="7"/>
    </row>
    <row r="33" spans="2:22" ht="18" customHeight="1">
      <c r="B33" s="355" t="str">
        <f>HYPERLINK("#LAYOUT_e4!lay초YTIM1D02","YTIM1D02")</f>
        <v>YTIM1D02</v>
      </c>
      <c r="C33" s="355"/>
      <c r="E33" s="7"/>
      <c r="G33" s="366"/>
      <c r="H33" s="366"/>
      <c r="I33" s="366"/>
      <c r="J33" s="366"/>
      <c r="K33" s="366"/>
      <c r="L33" s="367"/>
      <c r="M33" s="14" t="s">
        <v>69</v>
      </c>
      <c r="N33" s="14" t="s">
        <v>591</v>
      </c>
      <c r="O33" s="14" t="s">
        <v>592</v>
      </c>
      <c r="P33" s="14" t="s">
        <v>593</v>
      </c>
      <c r="Q33" s="14" t="s">
        <v>594</v>
      </c>
      <c r="R33" s="14" t="s">
        <v>595</v>
      </c>
      <c r="S33" s="14" t="s">
        <v>596</v>
      </c>
      <c r="T33" s="15" t="s">
        <v>597</v>
      </c>
      <c r="U33" s="11"/>
      <c r="V33" s="7"/>
    </row>
    <row r="34" spans="2:22" ht="18" customHeight="1">
      <c r="B34" s="355" t="str">
        <f>HYPERLINK("#LAYOUT_e4!lay초YTIM1E01","YTIM1E01")</f>
        <v>YTIM1E01</v>
      </c>
      <c r="C34" s="355"/>
      <c r="E34" s="7"/>
      <c r="G34" s="364" t="s">
        <v>598</v>
      </c>
      <c r="H34" s="364"/>
      <c r="I34" s="364"/>
      <c r="J34" s="364"/>
      <c r="K34" s="364"/>
      <c r="L34" s="365"/>
      <c r="M34" s="16" t="s">
        <v>61</v>
      </c>
      <c r="N34" s="16" t="s">
        <v>591</v>
      </c>
      <c r="O34" s="16" t="s">
        <v>592</v>
      </c>
      <c r="P34" s="16" t="s">
        <v>593</v>
      </c>
      <c r="Q34" s="16" t="s">
        <v>594</v>
      </c>
      <c r="R34" s="16" t="s">
        <v>595</v>
      </c>
      <c r="S34" s="16" t="s">
        <v>596</v>
      </c>
      <c r="T34" s="17" t="s">
        <v>597</v>
      </c>
      <c r="U34" s="11"/>
      <c r="V34" s="7"/>
    </row>
    <row r="35" spans="2:22" ht="18" customHeight="1">
      <c r="B35" s="355" t="str">
        <f>HYPERLINK("#LAYOUT_e4!lay초YTIM1E02","YTIM1E02")</f>
        <v>YTIM1E02</v>
      </c>
      <c r="C35" s="355"/>
      <c r="E35" s="7"/>
      <c r="G35" s="366"/>
      <c r="H35" s="366"/>
      <c r="I35" s="366"/>
      <c r="J35" s="366"/>
      <c r="K35" s="366"/>
      <c r="L35" s="367"/>
      <c r="M35" s="14" t="s">
        <v>69</v>
      </c>
      <c r="N35" s="14" t="s">
        <v>591</v>
      </c>
      <c r="O35" s="14" t="s">
        <v>592</v>
      </c>
      <c r="P35" s="14" t="s">
        <v>593</v>
      </c>
      <c r="Q35" s="14" t="s">
        <v>594</v>
      </c>
      <c r="R35" s="14" t="s">
        <v>595</v>
      </c>
      <c r="S35" s="14" t="s">
        <v>596</v>
      </c>
      <c r="T35" s="15" t="s">
        <v>597</v>
      </c>
      <c r="U35" s="11"/>
      <c r="V35" s="7"/>
    </row>
    <row r="36" spans="2:22" ht="18" customHeight="1">
      <c r="B36" s="355" t="str">
        <f>HYPERLINK("#LAYOUT_e4!lay초YTIM1F01","YTIM1F01")</f>
        <v>YTIM1F01</v>
      </c>
      <c r="C36" s="355"/>
      <c r="E36" s="7"/>
      <c r="G36" s="364" t="s">
        <v>599</v>
      </c>
      <c r="H36" s="364"/>
      <c r="I36" s="364"/>
      <c r="J36" s="364"/>
      <c r="K36" s="364"/>
      <c r="L36" s="365"/>
      <c r="M36" s="16" t="s">
        <v>61</v>
      </c>
      <c r="N36" s="16" t="s">
        <v>591</v>
      </c>
      <c r="O36" s="16" t="s">
        <v>592</v>
      </c>
      <c r="P36" s="16" t="s">
        <v>593</v>
      </c>
      <c r="Q36" s="16" t="s">
        <v>594</v>
      </c>
      <c r="R36" s="16" t="s">
        <v>595</v>
      </c>
      <c r="S36" s="16" t="s">
        <v>596</v>
      </c>
      <c r="T36" s="17" t="s">
        <v>597</v>
      </c>
      <c r="U36" s="11"/>
      <c r="V36" s="7"/>
    </row>
    <row r="37" spans="2:22" ht="18" customHeight="1">
      <c r="B37" s="355" t="str">
        <f>HYPERLINK("#LAYOUT_e4!lay초YTIM1F02","YTIM1F02")</f>
        <v>YTIM1F02</v>
      </c>
      <c r="C37" s="355"/>
      <c r="E37" s="7"/>
      <c r="G37" s="366"/>
      <c r="H37" s="366"/>
      <c r="I37" s="366"/>
      <c r="J37" s="366"/>
      <c r="K37" s="366"/>
      <c r="L37" s="367"/>
      <c r="M37" s="14" t="s">
        <v>69</v>
      </c>
      <c r="N37" s="14" t="s">
        <v>591</v>
      </c>
      <c r="O37" s="14" t="s">
        <v>592</v>
      </c>
      <c r="P37" s="14" t="s">
        <v>593</v>
      </c>
      <c r="Q37" s="14" t="s">
        <v>594</v>
      </c>
      <c r="R37" s="14" t="s">
        <v>595</v>
      </c>
      <c r="S37" s="14" t="s">
        <v>596</v>
      </c>
      <c r="T37" s="15" t="s">
        <v>597</v>
      </c>
      <c r="U37" s="11"/>
      <c r="V37" s="7"/>
    </row>
    <row r="38" spans="2:22" ht="18" customHeight="1">
      <c r="B38" s="355" t="str">
        <f>HYPERLINK("#LAYOUT_e4!lay초YTIM1G01","YTIM1G01")</f>
        <v>YTIM1G01</v>
      </c>
      <c r="C38" s="355"/>
      <c r="E38" s="7"/>
      <c r="G38" s="364" t="s">
        <v>600</v>
      </c>
      <c r="H38" s="364"/>
      <c r="I38" s="364"/>
      <c r="J38" s="364"/>
      <c r="K38" s="364"/>
      <c r="L38" s="365"/>
      <c r="M38" s="16" t="s">
        <v>61</v>
      </c>
      <c r="N38" s="16" t="s">
        <v>591</v>
      </c>
      <c r="O38" s="16" t="s">
        <v>592</v>
      </c>
      <c r="P38" s="16" t="s">
        <v>593</v>
      </c>
      <c r="Q38" s="16" t="s">
        <v>594</v>
      </c>
      <c r="R38" s="16" t="s">
        <v>595</v>
      </c>
      <c r="S38" s="16" t="s">
        <v>596</v>
      </c>
      <c r="T38" s="17" t="s">
        <v>597</v>
      </c>
      <c r="U38" s="11"/>
      <c r="V38" s="7"/>
    </row>
    <row r="39" spans="2:22" ht="18" customHeight="1">
      <c r="B39" s="355" t="str">
        <f>HYPERLINK("#LAYOUT_e4!lay초YTIM1G02","YTIM1G02")</f>
        <v>YTIM1G02</v>
      </c>
      <c r="C39" s="355"/>
      <c r="E39" s="7"/>
      <c r="G39" s="366"/>
      <c r="H39" s="366"/>
      <c r="I39" s="366"/>
      <c r="J39" s="366"/>
      <c r="K39" s="366"/>
      <c r="L39" s="367"/>
      <c r="M39" s="14" t="s">
        <v>69</v>
      </c>
      <c r="N39" s="14" t="s">
        <v>591</v>
      </c>
      <c r="O39" s="14" t="s">
        <v>592</v>
      </c>
      <c r="P39" s="14" t="s">
        <v>593</v>
      </c>
      <c r="Q39" s="14" t="s">
        <v>594</v>
      </c>
      <c r="R39" s="14" t="s">
        <v>595</v>
      </c>
      <c r="S39" s="14" t="s">
        <v>596</v>
      </c>
      <c r="T39" s="15" t="s">
        <v>597</v>
      </c>
      <c r="U39" s="11"/>
      <c r="V39" s="7"/>
    </row>
    <row r="40" spans="2:22" ht="18" customHeight="1">
      <c r="B40" s="355" t="str">
        <f>HYPERLINK("#LAYOUT_e4!lay초YTIM1H01","YTIM1H01")</f>
        <v>YTIM1H01</v>
      </c>
      <c r="C40" s="355"/>
      <c r="E40" s="7"/>
      <c r="G40" s="364" t="s">
        <v>601</v>
      </c>
      <c r="H40" s="364"/>
      <c r="I40" s="364"/>
      <c r="J40" s="364"/>
      <c r="K40" s="364"/>
      <c r="L40" s="365"/>
      <c r="M40" s="16" t="s">
        <v>61</v>
      </c>
      <c r="N40" s="16" t="s">
        <v>591</v>
      </c>
      <c r="O40" s="16" t="s">
        <v>592</v>
      </c>
      <c r="P40" s="16" t="s">
        <v>593</v>
      </c>
      <c r="Q40" s="16" t="s">
        <v>594</v>
      </c>
      <c r="R40" s="16" t="s">
        <v>595</v>
      </c>
      <c r="S40" s="16" t="s">
        <v>596</v>
      </c>
      <c r="T40" s="17" t="s">
        <v>597</v>
      </c>
      <c r="U40" s="11"/>
      <c r="V40" s="7"/>
    </row>
    <row r="41" spans="2:22" ht="18" customHeight="1">
      <c r="B41" s="355" t="str">
        <f>HYPERLINK("#LAYOUT_e4!lay초YTIM1H02","YTIM1H02")</f>
        <v>YTIM1H02</v>
      </c>
      <c r="C41" s="355"/>
      <c r="E41" s="7"/>
      <c r="G41" s="366"/>
      <c r="H41" s="366"/>
      <c r="I41" s="366"/>
      <c r="J41" s="366"/>
      <c r="K41" s="366"/>
      <c r="L41" s="367"/>
      <c r="M41" s="14" t="s">
        <v>69</v>
      </c>
      <c r="N41" s="14" t="s">
        <v>591</v>
      </c>
      <c r="O41" s="14" t="s">
        <v>592</v>
      </c>
      <c r="P41" s="14" t="s">
        <v>593</v>
      </c>
      <c r="Q41" s="14" t="s">
        <v>594</v>
      </c>
      <c r="R41" s="14" t="s">
        <v>595</v>
      </c>
      <c r="S41" s="14" t="s">
        <v>596</v>
      </c>
      <c r="T41" s="15" t="s">
        <v>597</v>
      </c>
      <c r="U41" s="11"/>
      <c r="V41" s="7"/>
    </row>
    <row r="42" spans="2:22" ht="18" customHeight="1">
      <c r="B42" s="355" t="str">
        <f>HYPERLINK("#LAYOUT_e4!lay초YTIM1I01","YTIM1I01")</f>
        <v>YTIM1I01</v>
      </c>
      <c r="C42" s="355"/>
      <c r="E42" s="7"/>
      <c r="G42" s="364" t="s">
        <v>602</v>
      </c>
      <c r="H42" s="364"/>
      <c r="I42" s="364"/>
      <c r="J42" s="364"/>
      <c r="K42" s="364"/>
      <c r="L42" s="365"/>
      <c r="M42" s="16" t="s">
        <v>61</v>
      </c>
      <c r="N42" s="16" t="s">
        <v>591</v>
      </c>
      <c r="O42" s="16" t="s">
        <v>592</v>
      </c>
      <c r="P42" s="16" t="s">
        <v>593</v>
      </c>
      <c r="Q42" s="16" t="s">
        <v>594</v>
      </c>
      <c r="R42" s="16" t="s">
        <v>595</v>
      </c>
      <c r="S42" s="16" t="s">
        <v>596</v>
      </c>
      <c r="T42" s="17" t="s">
        <v>597</v>
      </c>
      <c r="U42" s="11"/>
      <c r="V42" s="7"/>
    </row>
    <row r="43" spans="2:22" ht="18" customHeight="1">
      <c r="B43" s="355" t="str">
        <f>HYPERLINK("#LAYOUT_e4!lay초YTIM1I02","YTIM1I02")</f>
        <v>YTIM1I02</v>
      </c>
      <c r="C43" s="355"/>
      <c r="E43" s="7"/>
      <c r="G43" s="366"/>
      <c r="H43" s="366"/>
      <c r="I43" s="366"/>
      <c r="J43" s="366"/>
      <c r="K43" s="366"/>
      <c r="L43" s="367"/>
      <c r="M43" s="14" t="s">
        <v>69</v>
      </c>
      <c r="N43" s="14" t="s">
        <v>591</v>
      </c>
      <c r="O43" s="14" t="s">
        <v>592</v>
      </c>
      <c r="P43" s="14" t="s">
        <v>593</v>
      </c>
      <c r="Q43" s="14" t="s">
        <v>594</v>
      </c>
      <c r="R43" s="14" t="s">
        <v>595</v>
      </c>
      <c r="S43" s="14" t="s">
        <v>596</v>
      </c>
      <c r="T43" s="15" t="s">
        <v>597</v>
      </c>
      <c r="U43" s="11"/>
      <c r="V43" s="7"/>
    </row>
    <row r="44" spans="2:22" ht="18" customHeight="1">
      <c r="B44" s="355" t="str">
        <f>HYPERLINK("#LAYOUT_e4!lay초YTIM1J01","YTIM1J01")</f>
        <v>YTIM1J01</v>
      </c>
      <c r="C44" s="355"/>
      <c r="E44" s="7"/>
      <c r="G44" s="364" t="s">
        <v>603</v>
      </c>
      <c r="H44" s="364"/>
      <c r="I44" s="364"/>
      <c r="J44" s="364"/>
      <c r="K44" s="364"/>
      <c r="L44" s="365"/>
      <c r="M44" s="16" t="s">
        <v>61</v>
      </c>
      <c r="N44" s="16" t="s">
        <v>591</v>
      </c>
      <c r="O44" s="16" t="s">
        <v>592</v>
      </c>
      <c r="P44" s="16" t="s">
        <v>593</v>
      </c>
      <c r="Q44" s="16" t="s">
        <v>594</v>
      </c>
      <c r="R44" s="16" t="s">
        <v>595</v>
      </c>
      <c r="S44" s="16" t="s">
        <v>596</v>
      </c>
      <c r="T44" s="17" t="s">
        <v>597</v>
      </c>
      <c r="U44" s="11"/>
      <c r="V44" s="7"/>
    </row>
    <row r="45" spans="2:22" ht="18" customHeight="1">
      <c r="B45" s="355" t="str">
        <f>HYPERLINK("#LAYOUT_e4!lay초YTIM1J02","YTIM1J02")</f>
        <v>YTIM1J02</v>
      </c>
      <c r="C45" s="355"/>
      <c r="E45" s="7"/>
      <c r="G45" s="366"/>
      <c r="H45" s="366"/>
      <c r="I45" s="366"/>
      <c r="J45" s="366"/>
      <c r="K45" s="366"/>
      <c r="L45" s="367"/>
      <c r="M45" s="14" t="s">
        <v>69</v>
      </c>
      <c r="N45" s="14" t="s">
        <v>591</v>
      </c>
      <c r="O45" s="14" t="s">
        <v>592</v>
      </c>
      <c r="P45" s="14" t="s">
        <v>593</v>
      </c>
      <c r="Q45" s="14" t="s">
        <v>594</v>
      </c>
      <c r="R45" s="14" t="s">
        <v>595</v>
      </c>
      <c r="S45" s="14" t="s">
        <v>596</v>
      </c>
      <c r="T45" s="15" t="s">
        <v>597</v>
      </c>
      <c r="U45" s="11"/>
      <c r="V45" s="7"/>
    </row>
    <row r="46" spans="2:22" ht="18" customHeight="1">
      <c r="B46" s="355" t="str">
        <f>HYPERLINK("#LAYOUT_e4!lay초YTIM1K01","YTIM1K01")</f>
        <v>YTIM1K01</v>
      </c>
      <c r="C46" s="355"/>
      <c r="E46" s="7"/>
      <c r="G46" s="364" t="s">
        <v>604</v>
      </c>
      <c r="H46" s="364"/>
      <c r="I46" s="364"/>
      <c r="J46" s="364"/>
      <c r="K46" s="364"/>
      <c r="L46" s="365"/>
      <c r="M46" s="16" t="s">
        <v>61</v>
      </c>
      <c r="N46" s="16" t="s">
        <v>591</v>
      </c>
      <c r="O46" s="16" t="s">
        <v>592</v>
      </c>
      <c r="P46" s="16" t="s">
        <v>593</v>
      </c>
      <c r="Q46" s="16" t="s">
        <v>594</v>
      </c>
      <c r="R46" s="16" t="s">
        <v>595</v>
      </c>
      <c r="S46" s="16" t="s">
        <v>596</v>
      </c>
      <c r="T46" s="17" t="s">
        <v>597</v>
      </c>
      <c r="U46" s="11"/>
      <c r="V46" s="7"/>
    </row>
    <row r="47" spans="2:22" ht="18" customHeight="1">
      <c r="B47" s="355" t="str">
        <f>HYPERLINK("#LAYOUT_e4!lay초YTIM1K02","YTIM1K02")</f>
        <v>YTIM1K02</v>
      </c>
      <c r="C47" s="355"/>
      <c r="E47" s="7"/>
      <c r="G47" s="366"/>
      <c r="H47" s="366"/>
      <c r="I47" s="366"/>
      <c r="J47" s="366"/>
      <c r="K47" s="366"/>
      <c r="L47" s="367"/>
      <c r="M47" s="14" t="s">
        <v>69</v>
      </c>
      <c r="N47" s="14" t="s">
        <v>591</v>
      </c>
      <c r="O47" s="14" t="s">
        <v>592</v>
      </c>
      <c r="P47" s="14" t="s">
        <v>593</v>
      </c>
      <c r="Q47" s="14" t="s">
        <v>594</v>
      </c>
      <c r="R47" s="14" t="s">
        <v>595</v>
      </c>
      <c r="S47" s="14" t="s">
        <v>596</v>
      </c>
      <c r="T47" s="15" t="s">
        <v>597</v>
      </c>
      <c r="U47" s="11"/>
      <c r="V47" s="7"/>
    </row>
    <row r="48" spans="2:22" ht="18" customHeight="1">
      <c r="B48" s="355" t="str">
        <f>HYPERLINK("#LAYOUT_e4!lay초YTIM1L01","YTIM1L01")</f>
        <v>YTIM1L01</v>
      </c>
      <c r="C48" s="355"/>
      <c r="E48" s="7"/>
      <c r="G48" s="364" t="s">
        <v>605</v>
      </c>
      <c r="H48" s="364"/>
      <c r="I48" s="364"/>
      <c r="J48" s="364"/>
      <c r="K48" s="364"/>
      <c r="L48" s="365"/>
      <c r="M48" s="16" t="s">
        <v>61</v>
      </c>
      <c r="N48" s="16" t="s">
        <v>591</v>
      </c>
      <c r="O48" s="16" t="s">
        <v>592</v>
      </c>
      <c r="P48" s="16" t="s">
        <v>593</v>
      </c>
      <c r="Q48" s="16" t="s">
        <v>594</v>
      </c>
      <c r="R48" s="16" t="s">
        <v>595</v>
      </c>
      <c r="S48" s="16" t="s">
        <v>596</v>
      </c>
      <c r="T48" s="17" t="s">
        <v>597</v>
      </c>
      <c r="U48" s="11"/>
      <c r="V48" s="7"/>
    </row>
    <row r="49" spans="2:22" ht="18" customHeight="1">
      <c r="B49" s="355" t="str">
        <f>HYPERLINK("#LAYOUT_e4!lay초YTIM1L02","YTIM1L02")</f>
        <v>YTIM1L02</v>
      </c>
      <c r="C49" s="355"/>
      <c r="E49" s="7"/>
      <c r="G49" s="366"/>
      <c r="H49" s="366"/>
      <c r="I49" s="366"/>
      <c r="J49" s="366"/>
      <c r="K49" s="366"/>
      <c r="L49" s="367"/>
      <c r="M49" s="14" t="s">
        <v>69</v>
      </c>
      <c r="N49" s="14" t="s">
        <v>591</v>
      </c>
      <c r="O49" s="14" t="s">
        <v>592</v>
      </c>
      <c r="P49" s="14" t="s">
        <v>593</v>
      </c>
      <c r="Q49" s="14" t="s">
        <v>594</v>
      </c>
      <c r="R49" s="14" t="s">
        <v>595</v>
      </c>
      <c r="S49" s="14" t="s">
        <v>596</v>
      </c>
      <c r="T49" s="15" t="s">
        <v>597</v>
      </c>
      <c r="U49" s="11"/>
      <c r="V49" s="7"/>
    </row>
    <row r="50" spans="2:22" ht="18" customHeight="1">
      <c r="B50" s="355" t="str">
        <f>HYPERLINK("#LAYOUT_e4!lay초YTIM1M01","YTIM1M01")</f>
        <v>YTIM1M01</v>
      </c>
      <c r="C50" s="355"/>
      <c r="E50" s="7"/>
      <c r="G50" s="364" t="s">
        <v>606</v>
      </c>
      <c r="H50" s="364"/>
      <c r="I50" s="364"/>
      <c r="J50" s="364"/>
      <c r="K50" s="364"/>
      <c r="L50" s="365"/>
      <c r="M50" s="16" t="s">
        <v>61</v>
      </c>
      <c r="N50" s="16" t="s">
        <v>591</v>
      </c>
      <c r="O50" s="16" t="s">
        <v>592</v>
      </c>
      <c r="P50" s="16" t="s">
        <v>593</v>
      </c>
      <c r="Q50" s="16" t="s">
        <v>594</v>
      </c>
      <c r="R50" s="16" t="s">
        <v>595</v>
      </c>
      <c r="S50" s="16" t="s">
        <v>596</v>
      </c>
      <c r="T50" s="17" t="s">
        <v>597</v>
      </c>
      <c r="U50" s="11"/>
      <c r="V50" s="7"/>
    </row>
    <row r="51" spans="2:22" ht="18" customHeight="1">
      <c r="B51" s="355" t="str">
        <f>HYPERLINK("#LAYOUT_e4!lay초YTIM1M02","YTIM1M02")</f>
        <v>YTIM1M02</v>
      </c>
      <c r="C51" s="355"/>
      <c r="E51" s="7"/>
      <c r="G51" s="366"/>
      <c r="H51" s="366"/>
      <c r="I51" s="366"/>
      <c r="J51" s="366"/>
      <c r="K51" s="366"/>
      <c r="L51" s="367"/>
      <c r="M51" s="14" t="s">
        <v>69</v>
      </c>
      <c r="N51" s="14" t="s">
        <v>591</v>
      </c>
      <c r="O51" s="14" t="s">
        <v>592</v>
      </c>
      <c r="P51" s="14" t="s">
        <v>593</v>
      </c>
      <c r="Q51" s="14" t="s">
        <v>594</v>
      </c>
      <c r="R51" s="14" t="s">
        <v>595</v>
      </c>
      <c r="S51" s="14" t="s">
        <v>596</v>
      </c>
      <c r="T51" s="15" t="s">
        <v>597</v>
      </c>
      <c r="U51" s="11"/>
      <c r="V51" s="7"/>
    </row>
    <row r="52" spans="2:22" ht="18" customHeight="1">
      <c r="B52" s="355" t="str">
        <f>HYPERLINK("#LAYOUT_e4!lay초YTIM1N01","YTIM1N01")</f>
        <v>YTIM1N01</v>
      </c>
      <c r="C52" s="355"/>
      <c r="E52" s="7"/>
      <c r="G52" s="364" t="s">
        <v>607</v>
      </c>
      <c r="H52" s="364"/>
      <c r="I52" s="364"/>
      <c r="J52" s="364"/>
      <c r="K52" s="364"/>
      <c r="L52" s="365"/>
      <c r="M52" s="16" t="s">
        <v>61</v>
      </c>
      <c r="N52" s="16" t="s">
        <v>591</v>
      </c>
      <c r="O52" s="16" t="s">
        <v>592</v>
      </c>
      <c r="P52" s="16" t="s">
        <v>593</v>
      </c>
      <c r="Q52" s="16" t="s">
        <v>594</v>
      </c>
      <c r="R52" s="16" t="s">
        <v>595</v>
      </c>
      <c r="S52" s="16" t="s">
        <v>596</v>
      </c>
      <c r="T52" s="17" t="s">
        <v>597</v>
      </c>
      <c r="U52" s="11"/>
      <c r="V52" s="7"/>
    </row>
    <row r="53" spans="2:22" ht="18" customHeight="1">
      <c r="B53" s="355" t="str">
        <f>HYPERLINK("#LAYOUT_e4!lay초YTIM1N02","YTIM1N02")</f>
        <v>YTIM1N02</v>
      </c>
      <c r="C53" s="355"/>
      <c r="E53" s="7"/>
      <c r="G53" s="366"/>
      <c r="H53" s="366"/>
      <c r="I53" s="366"/>
      <c r="J53" s="366"/>
      <c r="K53" s="366"/>
      <c r="L53" s="367"/>
      <c r="M53" s="14" t="s">
        <v>69</v>
      </c>
      <c r="N53" s="14" t="s">
        <v>591</v>
      </c>
      <c r="O53" s="14" t="s">
        <v>592</v>
      </c>
      <c r="P53" s="14" t="s">
        <v>593</v>
      </c>
      <c r="Q53" s="14" t="s">
        <v>594</v>
      </c>
      <c r="R53" s="14" t="s">
        <v>595</v>
      </c>
      <c r="S53" s="14" t="s">
        <v>596</v>
      </c>
      <c r="T53" s="15" t="s">
        <v>597</v>
      </c>
      <c r="U53" s="11"/>
      <c r="V53" s="7"/>
    </row>
    <row r="54" spans="2:22" ht="18" customHeight="1">
      <c r="B54" s="195"/>
      <c r="C54" s="195"/>
      <c r="E54" s="7"/>
      <c r="V54" s="7"/>
    </row>
    <row r="55" spans="2:22" ht="18" customHeight="1">
      <c r="B55" s="195"/>
      <c r="C55" s="195"/>
      <c r="E55" s="7"/>
      <c r="V55" s="7"/>
    </row>
    <row r="56" spans="2:22" ht="18" customHeight="1">
      <c r="B56" s="355" t="str">
        <f>HYPERLINK("#LAYOUT_e4!lay초YMDA1A00","YMDA1A00")</f>
        <v>YMDA1A00</v>
      </c>
      <c r="C56" s="355"/>
      <c r="E56" s="7"/>
      <c r="F56" s="6" t="s">
        <v>608</v>
      </c>
      <c r="V56" s="7"/>
    </row>
    <row r="57" spans="2:22" ht="18" customHeight="1">
      <c r="B57" s="195"/>
      <c r="C57" s="195"/>
      <c r="E57" s="7"/>
      <c r="G57" s="6" t="s">
        <v>1585</v>
      </c>
      <c r="V57" s="7"/>
    </row>
    <row r="58" spans="2:22" ht="18" customHeight="1">
      <c r="B58" s="195"/>
      <c r="C58" s="195"/>
      <c r="E58" s="7"/>
      <c r="G58" s="6" t="s">
        <v>1586</v>
      </c>
      <c r="V58" s="7"/>
    </row>
    <row r="59" spans="2:22" ht="18" customHeight="1">
      <c r="B59" s="195"/>
      <c r="C59" s="195"/>
      <c r="E59" s="7"/>
      <c r="G59" s="6" t="s">
        <v>1587</v>
      </c>
      <c r="V59" s="7"/>
    </row>
    <row r="60" spans="2:22" ht="18" customHeight="1">
      <c r="B60" s="195"/>
      <c r="C60" s="195"/>
      <c r="E60" s="7"/>
      <c r="V60" s="7"/>
    </row>
    <row r="61" spans="2:22" ht="18" customHeight="1">
      <c r="B61" s="195"/>
      <c r="C61" s="195"/>
      <c r="E61" s="7"/>
      <c r="V61" s="7"/>
    </row>
    <row r="62" spans="2:22" ht="18" customHeight="1" thickBot="1">
      <c r="B62" s="195"/>
      <c r="C62" s="195"/>
      <c r="E62" s="7"/>
      <c r="F62" s="6" t="s">
        <v>1588</v>
      </c>
      <c r="V62" s="7"/>
    </row>
    <row r="63" spans="2:22" ht="31.5" thickTop="1" thickBot="1">
      <c r="B63" s="195"/>
      <c r="C63" s="195"/>
      <c r="E63" s="7"/>
      <c r="F63" s="18"/>
      <c r="G63" s="368" t="s">
        <v>574</v>
      </c>
      <c r="H63" s="368"/>
      <c r="I63" s="368"/>
      <c r="J63" s="368"/>
      <c r="K63" s="368"/>
      <c r="L63" s="369"/>
      <c r="M63" s="9" t="s">
        <v>86</v>
      </c>
      <c r="N63" s="9" t="s">
        <v>87</v>
      </c>
      <c r="O63" s="9" t="s">
        <v>88</v>
      </c>
      <c r="P63" s="9" t="s">
        <v>89</v>
      </c>
      <c r="Q63" s="19" t="s">
        <v>90</v>
      </c>
      <c r="V63" s="7"/>
    </row>
    <row r="64" spans="2:22" ht="18" customHeight="1" thickTop="1">
      <c r="B64" s="355" t="str">
        <f>HYPERLINK("#LAYOUT_e4!lay초YMDA1B01","YMDA1B01")</f>
        <v>YMDA1B01</v>
      </c>
      <c r="C64" s="355"/>
      <c r="E64" s="7"/>
      <c r="G64" s="372" t="s">
        <v>609</v>
      </c>
      <c r="H64" s="372"/>
      <c r="I64" s="372"/>
      <c r="J64" s="372"/>
      <c r="K64" s="372"/>
      <c r="L64" s="373"/>
      <c r="M64" s="20" t="s">
        <v>591</v>
      </c>
      <c r="N64" s="20" t="s">
        <v>592</v>
      </c>
      <c r="O64" s="20" t="s">
        <v>593</v>
      </c>
      <c r="P64" s="20" t="s">
        <v>594</v>
      </c>
      <c r="Q64" s="21"/>
      <c r="V64" s="7"/>
    </row>
    <row r="65" spans="2:22" ht="18" customHeight="1">
      <c r="B65" s="355" t="str">
        <f>HYPERLINK("#LAYOUT_e4!lay초YMDA1B02","YMDA1B02")</f>
        <v>YMDA1B02</v>
      </c>
      <c r="C65" s="355"/>
      <c r="E65" s="7"/>
      <c r="G65" s="362" t="s">
        <v>610</v>
      </c>
      <c r="H65" s="362"/>
      <c r="I65" s="362"/>
      <c r="J65" s="362"/>
      <c r="K65" s="362"/>
      <c r="L65" s="363"/>
      <c r="M65" s="22" t="s">
        <v>591</v>
      </c>
      <c r="N65" s="22" t="s">
        <v>592</v>
      </c>
      <c r="O65" s="22" t="s">
        <v>593</v>
      </c>
      <c r="P65" s="22" t="s">
        <v>594</v>
      </c>
      <c r="Q65" s="23"/>
      <c r="V65" s="7"/>
    </row>
    <row r="66" spans="2:22" ht="18" customHeight="1">
      <c r="B66" s="355" t="str">
        <f>HYPERLINK("#LAYOUT_e4!lay초YMDA1B03","YMDA1B03")</f>
        <v>YMDA1B03</v>
      </c>
      <c r="C66" s="355"/>
      <c r="E66" s="7"/>
      <c r="G66" s="362" t="s">
        <v>611</v>
      </c>
      <c r="H66" s="362"/>
      <c r="I66" s="362"/>
      <c r="J66" s="362"/>
      <c r="K66" s="362"/>
      <c r="L66" s="363"/>
      <c r="M66" s="22" t="s">
        <v>591</v>
      </c>
      <c r="N66" s="22" t="s">
        <v>592</v>
      </c>
      <c r="O66" s="22" t="s">
        <v>593</v>
      </c>
      <c r="P66" s="22" t="s">
        <v>594</v>
      </c>
      <c r="Q66" s="23"/>
      <c r="V66" s="7"/>
    </row>
    <row r="67" spans="2:22" ht="18" customHeight="1">
      <c r="B67" s="355" t="str">
        <f>HYPERLINK("#LAYOUT_e4!lay초YMDA1B04","YMDA1B04")</f>
        <v>YMDA1B04</v>
      </c>
      <c r="C67" s="355"/>
      <c r="E67" s="7"/>
      <c r="G67" s="362" t="s">
        <v>612</v>
      </c>
      <c r="H67" s="362"/>
      <c r="I67" s="362"/>
      <c r="J67" s="362"/>
      <c r="K67" s="362"/>
      <c r="L67" s="363"/>
      <c r="M67" s="22" t="s">
        <v>591</v>
      </c>
      <c r="N67" s="22" t="s">
        <v>592</v>
      </c>
      <c r="O67" s="22" t="s">
        <v>593</v>
      </c>
      <c r="P67" s="22" t="s">
        <v>594</v>
      </c>
      <c r="Q67" s="23"/>
      <c r="V67" s="7"/>
    </row>
    <row r="68" spans="2:22" ht="18" customHeight="1">
      <c r="B68" s="355" t="str">
        <f>HYPERLINK("#LAYOUT_e4!lay초YMDA1B05","YMDA1B05")</f>
        <v>YMDA1B05</v>
      </c>
      <c r="C68" s="355"/>
      <c r="E68" s="7"/>
      <c r="G68" s="362" t="s">
        <v>613</v>
      </c>
      <c r="H68" s="362"/>
      <c r="I68" s="362"/>
      <c r="J68" s="362"/>
      <c r="K68" s="362"/>
      <c r="L68" s="363"/>
      <c r="M68" s="22" t="s">
        <v>591</v>
      </c>
      <c r="N68" s="22" t="s">
        <v>592</v>
      </c>
      <c r="O68" s="22" t="s">
        <v>593</v>
      </c>
      <c r="P68" s="22" t="s">
        <v>594</v>
      </c>
      <c r="Q68" s="23"/>
      <c r="V68" s="7"/>
    </row>
    <row r="69" spans="2:22" ht="18" customHeight="1">
      <c r="B69" s="355" t="str">
        <f>HYPERLINK("#LAYOUT_e4!lay초YMDA1B06","YMDA1B06")</f>
        <v>YMDA1B06</v>
      </c>
      <c r="C69" s="355"/>
      <c r="E69" s="7"/>
      <c r="G69" s="362" t="s">
        <v>614</v>
      </c>
      <c r="H69" s="362"/>
      <c r="I69" s="362"/>
      <c r="J69" s="362"/>
      <c r="K69" s="362"/>
      <c r="L69" s="363"/>
      <c r="M69" s="22" t="s">
        <v>591</v>
      </c>
      <c r="N69" s="22" t="s">
        <v>592</v>
      </c>
      <c r="O69" s="22" t="s">
        <v>593</v>
      </c>
      <c r="P69" s="22" t="s">
        <v>594</v>
      </c>
      <c r="Q69" s="23"/>
      <c r="V69" s="7"/>
    </row>
    <row r="70" spans="2:22" ht="18" customHeight="1">
      <c r="B70" s="355" t="str">
        <f>HYPERLINK("#LAYOUT_e4!lay초YMDA1B07","YMDA1B07")</f>
        <v>YMDA1B07</v>
      </c>
      <c r="C70" s="355"/>
      <c r="E70" s="7"/>
      <c r="G70" s="362" t="s">
        <v>615</v>
      </c>
      <c r="H70" s="362"/>
      <c r="I70" s="362"/>
      <c r="J70" s="362"/>
      <c r="K70" s="362"/>
      <c r="L70" s="363"/>
      <c r="M70" s="22" t="s">
        <v>591</v>
      </c>
      <c r="N70" s="22" t="s">
        <v>592</v>
      </c>
      <c r="O70" s="22" t="s">
        <v>593</v>
      </c>
      <c r="P70" s="22" t="s">
        <v>594</v>
      </c>
      <c r="Q70" s="23"/>
      <c r="V70" s="7"/>
    </row>
    <row r="71" spans="2:22" ht="18" customHeight="1">
      <c r="B71" s="355" t="str">
        <f>HYPERLINK("#LAYOUT_e4!lay초YMDA1B08","YMDA1B08")</f>
        <v>YMDA1B08</v>
      </c>
      <c r="C71" s="355"/>
      <c r="E71" s="7"/>
      <c r="G71" s="362" t="s">
        <v>616</v>
      </c>
      <c r="H71" s="362"/>
      <c r="I71" s="362"/>
      <c r="J71" s="362"/>
      <c r="K71" s="362"/>
      <c r="L71" s="363"/>
      <c r="M71" s="22" t="s">
        <v>591</v>
      </c>
      <c r="N71" s="22" t="s">
        <v>592</v>
      </c>
      <c r="O71" s="22" t="s">
        <v>593</v>
      </c>
      <c r="P71" s="22" t="s">
        <v>594</v>
      </c>
      <c r="Q71" s="23"/>
      <c r="V71" s="7"/>
    </row>
    <row r="72" spans="2:22" ht="18" customHeight="1">
      <c r="B72" s="355" t="str">
        <f>HYPERLINK("#LAYOUT_e4!lay초YMDA1B09","YMDA1B09")</f>
        <v>YMDA1B09</v>
      </c>
      <c r="C72" s="355"/>
      <c r="E72" s="7"/>
      <c r="G72" s="362" t="s">
        <v>617</v>
      </c>
      <c r="H72" s="362"/>
      <c r="I72" s="362"/>
      <c r="J72" s="362"/>
      <c r="K72" s="362"/>
      <c r="L72" s="363"/>
      <c r="M72" s="22" t="s">
        <v>591</v>
      </c>
      <c r="N72" s="22" t="s">
        <v>592</v>
      </c>
      <c r="O72" s="22" t="s">
        <v>593</v>
      </c>
      <c r="P72" s="22" t="s">
        <v>594</v>
      </c>
      <c r="Q72" s="23"/>
      <c r="V72" s="7"/>
    </row>
    <row r="73" spans="2:22" ht="18" customHeight="1">
      <c r="B73" s="355" t="str">
        <f>HYPERLINK("#LAYOUT_e4!lay초YMDA1B10","YMDA1B10")</f>
        <v>YMDA1B10</v>
      </c>
      <c r="C73" s="355"/>
      <c r="E73" s="7"/>
      <c r="G73" s="362" t="s">
        <v>618</v>
      </c>
      <c r="H73" s="362"/>
      <c r="I73" s="362"/>
      <c r="J73" s="362"/>
      <c r="K73" s="362"/>
      <c r="L73" s="363"/>
      <c r="M73" s="22" t="s">
        <v>591</v>
      </c>
      <c r="N73" s="22" t="s">
        <v>592</v>
      </c>
      <c r="O73" s="22" t="s">
        <v>593</v>
      </c>
      <c r="P73" s="22" t="s">
        <v>594</v>
      </c>
      <c r="Q73" s="23"/>
      <c r="V73" s="7"/>
    </row>
    <row r="74" spans="2:22" ht="18" customHeight="1">
      <c r="B74" s="355" t="str">
        <f>HYPERLINK("#LAYOUT_e4!lay초YMDA1B11","YMDA1B11")</f>
        <v>YMDA1B11</v>
      </c>
      <c r="C74" s="355"/>
      <c r="E74" s="7"/>
      <c r="G74" s="362" t="s">
        <v>619</v>
      </c>
      <c r="H74" s="362"/>
      <c r="I74" s="362"/>
      <c r="J74" s="362"/>
      <c r="K74" s="362"/>
      <c r="L74" s="363"/>
      <c r="M74" s="22" t="s">
        <v>591</v>
      </c>
      <c r="N74" s="22" t="s">
        <v>592</v>
      </c>
      <c r="O74" s="22" t="s">
        <v>593</v>
      </c>
      <c r="P74" s="22" t="s">
        <v>594</v>
      </c>
      <c r="Q74" s="23"/>
      <c r="V74" s="7"/>
    </row>
    <row r="75" spans="2:22" ht="18" customHeight="1">
      <c r="B75" s="195" t="str">
        <f>HYPERLINK("#LAYOUT_e4!lay초YMDA1B13","YMDA1B13")</f>
        <v>YMDA1B13</v>
      </c>
      <c r="C75" s="195" t="str">
        <f>HYPERLINK("#LAYOUT_e4!lay초YMDA1B13_T","YMDA1B13_T")</f>
        <v>YMDA1B13_T</v>
      </c>
      <c r="E75" s="7"/>
      <c r="G75" s="362" t="s">
        <v>1589</v>
      </c>
      <c r="H75" s="362"/>
      <c r="I75" s="362"/>
      <c r="J75" s="362"/>
      <c r="K75" s="362"/>
      <c r="L75" s="363"/>
      <c r="M75" s="22" t="s">
        <v>591</v>
      </c>
      <c r="N75" s="22" t="s">
        <v>592</v>
      </c>
      <c r="O75" s="22" t="s">
        <v>593</v>
      </c>
      <c r="P75" s="22" t="s">
        <v>594</v>
      </c>
      <c r="Q75" s="24" t="s">
        <v>620</v>
      </c>
      <c r="V75" s="7"/>
    </row>
    <row r="76" spans="2:22" ht="18" customHeight="1">
      <c r="B76" s="195"/>
      <c r="C76" s="195"/>
      <c r="E76" s="7"/>
      <c r="V76" s="7"/>
    </row>
    <row r="77" spans="2:22" ht="18" customHeight="1">
      <c r="B77" s="195"/>
      <c r="C77" s="195"/>
      <c r="E77" s="7"/>
      <c r="V77" s="7"/>
    </row>
    <row r="78" spans="2:22" ht="18" customHeight="1" thickBot="1">
      <c r="B78" s="195"/>
      <c r="C78" s="195"/>
      <c r="E78" s="7"/>
      <c r="F78" s="6" t="s">
        <v>621</v>
      </c>
      <c r="V78" s="7"/>
    </row>
    <row r="79" spans="2:22" ht="31.5" thickTop="1" thickBot="1">
      <c r="B79" s="195"/>
      <c r="C79" s="195"/>
      <c r="E79" s="7"/>
      <c r="G79" s="368" t="s">
        <v>574</v>
      </c>
      <c r="H79" s="368"/>
      <c r="I79" s="368"/>
      <c r="J79" s="368"/>
      <c r="K79" s="368"/>
      <c r="L79" s="369"/>
      <c r="M79" s="9" t="s">
        <v>622</v>
      </c>
      <c r="N79" s="9" t="s">
        <v>623</v>
      </c>
      <c r="O79" s="9" t="s">
        <v>107</v>
      </c>
      <c r="P79" s="10" t="s">
        <v>108</v>
      </c>
      <c r="V79" s="7"/>
    </row>
    <row r="80" spans="2:22" ht="18" customHeight="1" thickTop="1">
      <c r="B80" s="355" t="str">
        <f>HYPERLINK("#LAYOUT_e4!lay초YMDA1C01","YMDA1C01")</f>
        <v>YMDA1C01</v>
      </c>
      <c r="C80" s="355"/>
      <c r="E80" s="7"/>
      <c r="G80" s="372" t="s">
        <v>624</v>
      </c>
      <c r="H80" s="372"/>
      <c r="I80" s="372"/>
      <c r="J80" s="372"/>
      <c r="K80" s="372"/>
      <c r="L80" s="373"/>
      <c r="M80" s="20" t="s">
        <v>591</v>
      </c>
      <c r="N80" s="20" t="s">
        <v>592</v>
      </c>
      <c r="O80" s="20" t="s">
        <v>593</v>
      </c>
      <c r="P80" s="25" t="s">
        <v>594</v>
      </c>
      <c r="V80" s="7"/>
    </row>
    <row r="81" spans="2:22" ht="18" customHeight="1">
      <c r="B81" s="355" t="str">
        <f>HYPERLINK("#LAYOUT_e4!lay초YMDA1C02","YMDA1C02")</f>
        <v>YMDA1C02</v>
      </c>
      <c r="C81" s="355"/>
      <c r="E81" s="7"/>
      <c r="G81" s="362" t="s">
        <v>625</v>
      </c>
      <c r="H81" s="362"/>
      <c r="I81" s="362"/>
      <c r="J81" s="362"/>
      <c r="K81" s="362"/>
      <c r="L81" s="363"/>
      <c r="M81" s="22" t="s">
        <v>591</v>
      </c>
      <c r="N81" s="22" t="s">
        <v>592</v>
      </c>
      <c r="O81" s="22" t="s">
        <v>593</v>
      </c>
      <c r="P81" s="24" t="s">
        <v>594</v>
      </c>
      <c r="V81" s="7"/>
    </row>
    <row r="82" spans="2:22" ht="18" customHeight="1">
      <c r="B82" s="355" t="str">
        <f>HYPERLINK("#LAYOUT_e4!lay초YMDA1C03","YMDA1C03")</f>
        <v>YMDA1C03</v>
      </c>
      <c r="C82" s="355"/>
      <c r="E82" s="7"/>
      <c r="G82" s="362" t="s">
        <v>626</v>
      </c>
      <c r="H82" s="362"/>
      <c r="I82" s="362"/>
      <c r="J82" s="362"/>
      <c r="K82" s="362"/>
      <c r="L82" s="363"/>
      <c r="M82" s="22" t="s">
        <v>591</v>
      </c>
      <c r="N82" s="22" t="s">
        <v>592</v>
      </c>
      <c r="O82" s="22" t="s">
        <v>593</v>
      </c>
      <c r="P82" s="24" t="s">
        <v>594</v>
      </c>
      <c r="V82" s="7"/>
    </row>
    <row r="83" spans="2:22" ht="18" customHeight="1">
      <c r="B83" s="355" t="str">
        <f>HYPERLINK("#LAYOUT_e4!lay초YMDA1C04","YMDA1C04")</f>
        <v>YMDA1C04</v>
      </c>
      <c r="C83" s="355"/>
      <c r="E83" s="7"/>
      <c r="G83" s="362" t="s">
        <v>627</v>
      </c>
      <c r="H83" s="362"/>
      <c r="I83" s="362"/>
      <c r="J83" s="362"/>
      <c r="K83" s="362"/>
      <c r="L83" s="363"/>
      <c r="M83" s="22" t="s">
        <v>591</v>
      </c>
      <c r="N83" s="22" t="s">
        <v>592</v>
      </c>
      <c r="O83" s="22" t="s">
        <v>593</v>
      </c>
      <c r="P83" s="24" t="s">
        <v>594</v>
      </c>
      <c r="V83" s="7"/>
    </row>
    <row r="84" spans="2:22" ht="18" customHeight="1">
      <c r="B84" s="355" t="str">
        <f>HYPERLINK("#LAYOUT_e4!lay초YMDA1C05","YMDA1C05")</f>
        <v>YMDA1C05</v>
      </c>
      <c r="C84" s="355"/>
      <c r="E84" s="7"/>
      <c r="G84" s="362" t="s">
        <v>628</v>
      </c>
      <c r="H84" s="362"/>
      <c r="I84" s="362"/>
      <c r="J84" s="362"/>
      <c r="K84" s="362"/>
      <c r="L84" s="363"/>
      <c r="M84" s="22" t="s">
        <v>591</v>
      </c>
      <c r="N84" s="22" t="s">
        <v>592</v>
      </c>
      <c r="O84" s="22" t="s">
        <v>593</v>
      </c>
      <c r="P84" s="24" t="s">
        <v>594</v>
      </c>
      <c r="V84" s="7"/>
    </row>
    <row r="85" spans="2:22" ht="18" customHeight="1">
      <c r="B85" s="355" t="str">
        <f>HYPERLINK("#LAYOUT_e4!lay초YMDA1C06","YMDA1C06")</f>
        <v>YMDA1C06</v>
      </c>
      <c r="C85" s="355"/>
      <c r="E85" s="7"/>
      <c r="G85" s="362" t="s">
        <v>629</v>
      </c>
      <c r="H85" s="362"/>
      <c r="I85" s="362"/>
      <c r="J85" s="362"/>
      <c r="K85" s="362"/>
      <c r="L85" s="363"/>
      <c r="M85" s="26" t="s">
        <v>591</v>
      </c>
      <c r="N85" s="26" t="s">
        <v>592</v>
      </c>
      <c r="O85" s="26" t="s">
        <v>593</v>
      </c>
      <c r="P85" s="27" t="s">
        <v>594</v>
      </c>
      <c r="V85" s="7"/>
    </row>
    <row r="86" spans="2:22" ht="18" customHeight="1">
      <c r="B86" s="355" t="str">
        <f>HYPERLINK("#LAYOUT_e4!lay초YMDA1C07","YMDA1C07")</f>
        <v>YMDA1C07</v>
      </c>
      <c r="C86" s="355"/>
      <c r="E86" s="7"/>
      <c r="G86" s="362" t="s">
        <v>630</v>
      </c>
      <c r="H86" s="362"/>
      <c r="I86" s="362"/>
      <c r="J86" s="362"/>
      <c r="K86" s="362"/>
      <c r="L86" s="363"/>
      <c r="M86" s="26" t="s">
        <v>591</v>
      </c>
      <c r="N86" s="26" t="s">
        <v>592</v>
      </c>
      <c r="O86" s="26" t="s">
        <v>593</v>
      </c>
      <c r="P86" s="27" t="s">
        <v>594</v>
      </c>
      <c r="V86" s="7"/>
    </row>
    <row r="87" spans="2:22" ht="18" customHeight="1">
      <c r="B87" s="355" t="str">
        <f>HYPERLINK("#LAYOUT_e4!lay초YMDA1C08","YMDA1C08")</f>
        <v>YMDA1C08</v>
      </c>
      <c r="C87" s="355"/>
      <c r="E87" s="7"/>
      <c r="G87" s="362" t="s">
        <v>631</v>
      </c>
      <c r="H87" s="362"/>
      <c r="I87" s="362"/>
      <c r="J87" s="362"/>
      <c r="K87" s="362"/>
      <c r="L87" s="363"/>
      <c r="M87" s="22" t="s">
        <v>591</v>
      </c>
      <c r="N87" s="22" t="s">
        <v>592</v>
      </c>
      <c r="O87" s="22" t="s">
        <v>593</v>
      </c>
      <c r="P87" s="24" t="s">
        <v>594</v>
      </c>
      <c r="V87" s="7"/>
    </row>
    <row r="88" spans="2:22" ht="18" customHeight="1">
      <c r="B88" s="355" t="str">
        <f>HYPERLINK("#LAYOUT_e4!lay초YMDA1C09","YMDA1C09")</f>
        <v>YMDA1C09</v>
      </c>
      <c r="C88" s="355"/>
      <c r="E88" s="7"/>
      <c r="G88" s="362" t="s">
        <v>632</v>
      </c>
      <c r="H88" s="362"/>
      <c r="I88" s="362"/>
      <c r="J88" s="362"/>
      <c r="K88" s="362"/>
      <c r="L88" s="363"/>
      <c r="M88" s="22" t="s">
        <v>591</v>
      </c>
      <c r="N88" s="22" t="s">
        <v>592</v>
      </c>
      <c r="O88" s="22" t="s">
        <v>593</v>
      </c>
      <c r="P88" s="24" t="s">
        <v>594</v>
      </c>
      <c r="V88" s="7"/>
    </row>
    <row r="89" spans="2:22" ht="18" customHeight="1">
      <c r="B89" s="355" t="str">
        <f>HYPERLINK("#LAYOUT_e4!lay초YMDA1C10","YMDA1C10")</f>
        <v>YMDA1C10</v>
      </c>
      <c r="C89" s="355"/>
      <c r="E89" s="7"/>
      <c r="G89" s="362" t="s">
        <v>633</v>
      </c>
      <c r="H89" s="362"/>
      <c r="I89" s="362"/>
      <c r="J89" s="362"/>
      <c r="K89" s="362"/>
      <c r="L89" s="363"/>
      <c r="M89" s="22" t="s">
        <v>591</v>
      </c>
      <c r="N89" s="22" t="s">
        <v>592</v>
      </c>
      <c r="O89" s="22" t="s">
        <v>593</v>
      </c>
      <c r="P89" s="24" t="s">
        <v>594</v>
      </c>
      <c r="V89" s="7"/>
    </row>
    <row r="90" spans="2:22" ht="18" customHeight="1">
      <c r="B90" s="355" t="str">
        <f>HYPERLINK("#LAYOUT_e4!lay초YMDA1C11","YMDA1C11")</f>
        <v>YMDA1C11</v>
      </c>
      <c r="C90" s="355"/>
      <c r="E90" s="7"/>
      <c r="G90" s="362" t="s">
        <v>634</v>
      </c>
      <c r="H90" s="362"/>
      <c r="I90" s="362"/>
      <c r="J90" s="362"/>
      <c r="K90" s="362"/>
      <c r="L90" s="363"/>
      <c r="M90" s="26" t="s">
        <v>591</v>
      </c>
      <c r="N90" s="26" t="s">
        <v>592</v>
      </c>
      <c r="O90" s="26" t="s">
        <v>593</v>
      </c>
      <c r="P90" s="27" t="s">
        <v>594</v>
      </c>
      <c r="V90" s="7"/>
    </row>
    <row r="91" spans="2:22" ht="18" customHeight="1">
      <c r="B91" s="355" t="str">
        <f>HYPERLINK("#LAYOUT_e4!lay초YMDA1C12","YMDA1C12")</f>
        <v>YMDA1C12</v>
      </c>
      <c r="C91" s="355"/>
      <c r="E91" s="7"/>
      <c r="G91" s="362" t="s">
        <v>635</v>
      </c>
      <c r="H91" s="362"/>
      <c r="I91" s="362"/>
      <c r="J91" s="362"/>
      <c r="K91" s="362"/>
      <c r="L91" s="363"/>
      <c r="M91" s="22" t="s">
        <v>591</v>
      </c>
      <c r="N91" s="22" t="s">
        <v>592</v>
      </c>
      <c r="O91" s="22" t="s">
        <v>593</v>
      </c>
      <c r="P91" s="24" t="s">
        <v>594</v>
      </c>
      <c r="V91" s="7"/>
    </row>
    <row r="92" spans="2:22" ht="18" customHeight="1">
      <c r="B92" s="355" t="str">
        <f>HYPERLINK("#LAYOUT_e4!lay초YMDA1C13","YMDA1C13")</f>
        <v>YMDA1C13</v>
      </c>
      <c r="C92" s="355"/>
      <c r="E92" s="7"/>
      <c r="G92" s="362" t="s">
        <v>636</v>
      </c>
      <c r="H92" s="362"/>
      <c r="I92" s="362"/>
      <c r="J92" s="362"/>
      <c r="K92" s="362"/>
      <c r="L92" s="363"/>
      <c r="M92" s="26" t="s">
        <v>591</v>
      </c>
      <c r="N92" s="26" t="s">
        <v>592</v>
      </c>
      <c r="O92" s="26" t="s">
        <v>593</v>
      </c>
      <c r="P92" s="27" t="s">
        <v>594</v>
      </c>
      <c r="V92" s="7"/>
    </row>
    <row r="93" spans="2:22" ht="18" customHeight="1">
      <c r="B93" s="355" t="str">
        <f>HYPERLINK("#LAYOUT_e4!lay초YMDA1C14","YMDA1C14")</f>
        <v>YMDA1C14</v>
      </c>
      <c r="C93" s="355"/>
      <c r="E93" s="7"/>
      <c r="G93" s="362" t="s">
        <v>637</v>
      </c>
      <c r="H93" s="362"/>
      <c r="I93" s="362"/>
      <c r="J93" s="362"/>
      <c r="K93" s="362"/>
      <c r="L93" s="363"/>
      <c r="M93" s="22" t="s">
        <v>591</v>
      </c>
      <c r="N93" s="22" t="s">
        <v>592</v>
      </c>
      <c r="O93" s="22" t="s">
        <v>593</v>
      </c>
      <c r="P93" s="24" t="s">
        <v>594</v>
      </c>
      <c r="V93" s="7"/>
    </row>
    <row r="94" spans="2:22" ht="18" customHeight="1">
      <c r="B94" s="355" t="str">
        <f>HYPERLINK("#LAYOUT_e4!lay초YMDA1C15","YMDA1C15")</f>
        <v>YMDA1C15</v>
      </c>
      <c r="C94" s="355"/>
      <c r="E94" s="7"/>
      <c r="G94" s="362" t="s">
        <v>638</v>
      </c>
      <c r="H94" s="362"/>
      <c r="I94" s="362"/>
      <c r="J94" s="362"/>
      <c r="K94" s="362"/>
      <c r="L94" s="363"/>
      <c r="M94" s="22" t="s">
        <v>591</v>
      </c>
      <c r="N94" s="22" t="s">
        <v>592</v>
      </c>
      <c r="O94" s="22" t="s">
        <v>593</v>
      </c>
      <c r="P94" s="24" t="s">
        <v>594</v>
      </c>
      <c r="V94" s="7"/>
    </row>
    <row r="95" spans="2:22" ht="18" customHeight="1">
      <c r="B95" s="195"/>
      <c r="C95" s="195"/>
      <c r="E95" s="7"/>
      <c r="V95" s="7"/>
    </row>
    <row r="96" spans="2:22" ht="18" customHeight="1">
      <c r="B96" s="195"/>
      <c r="C96" s="195"/>
      <c r="E96" s="7"/>
      <c r="V96" s="7"/>
    </row>
    <row r="97" spans="2:22" ht="18" customHeight="1" thickBot="1">
      <c r="B97" s="355" t="str">
        <f>HYPERLINK("#LAYOUT_e4!lay초YINT1A00","YINT1A00")</f>
        <v>YINT1A00</v>
      </c>
      <c r="C97" s="355"/>
      <c r="E97" s="7"/>
      <c r="F97" s="6" t="s">
        <v>639</v>
      </c>
      <c r="V97" s="7"/>
    </row>
    <row r="98" spans="2:22" ht="18" customHeight="1" thickTop="1">
      <c r="B98" s="195"/>
      <c r="C98" s="195"/>
      <c r="E98" s="7"/>
      <c r="F98" s="35"/>
      <c r="G98" s="36"/>
      <c r="H98" s="37"/>
      <c r="I98" s="37"/>
      <c r="J98" s="37"/>
      <c r="K98" s="37"/>
      <c r="L98" s="37"/>
      <c r="M98" s="37"/>
      <c r="N98" s="38"/>
      <c r="V98" s="7"/>
    </row>
    <row r="99" spans="2:22" ht="18" customHeight="1">
      <c r="B99" s="195"/>
      <c r="C99" s="195"/>
      <c r="E99" s="7"/>
      <c r="F99" s="39"/>
      <c r="G99" s="40"/>
      <c r="H99" s="11" t="s">
        <v>124</v>
      </c>
      <c r="I99" s="11" t="s">
        <v>125</v>
      </c>
      <c r="J99" s="11" t="s">
        <v>126</v>
      </c>
      <c r="K99" s="11" t="s">
        <v>127</v>
      </c>
      <c r="L99" s="11" t="s">
        <v>128</v>
      </c>
      <c r="M99" s="41" t="s">
        <v>129</v>
      </c>
      <c r="N99" s="42"/>
      <c r="V99" s="7"/>
    </row>
    <row r="100" spans="2:22" ht="18" customHeight="1">
      <c r="B100" s="195"/>
      <c r="C100" s="195"/>
      <c r="E100" s="7"/>
      <c r="F100" s="39"/>
      <c r="G100" s="40"/>
      <c r="H100" s="11" t="s">
        <v>591</v>
      </c>
      <c r="I100" s="11" t="s">
        <v>592</v>
      </c>
      <c r="J100" s="11" t="s">
        <v>593</v>
      </c>
      <c r="K100" s="11" t="s">
        <v>594</v>
      </c>
      <c r="L100" s="11" t="s">
        <v>595</v>
      </c>
      <c r="M100" s="41" t="s">
        <v>6</v>
      </c>
      <c r="N100" s="42"/>
      <c r="V100" s="7"/>
    </row>
    <row r="101" spans="2:22" ht="18" customHeight="1">
      <c r="B101" s="195"/>
      <c r="C101" s="195"/>
      <c r="E101" s="7"/>
      <c r="G101" s="40"/>
      <c r="H101" s="43"/>
      <c r="I101" s="43"/>
      <c r="J101" s="43"/>
      <c r="K101" s="43"/>
      <c r="L101" s="43"/>
      <c r="M101" s="44"/>
      <c r="N101" s="42"/>
      <c r="V101" s="7"/>
    </row>
    <row r="102" spans="2:22" ht="18" customHeight="1">
      <c r="B102" s="195"/>
      <c r="C102" s="195"/>
      <c r="E102" s="7"/>
      <c r="G102" s="40"/>
      <c r="H102" s="45"/>
      <c r="I102" s="45"/>
      <c r="J102" s="45"/>
      <c r="K102" s="45"/>
      <c r="L102" s="45"/>
      <c r="M102" s="46"/>
      <c r="N102" s="42"/>
      <c r="V102" s="7"/>
    </row>
    <row r="103" spans="2:22" ht="18" customHeight="1" thickBot="1">
      <c r="B103" s="195"/>
      <c r="C103" s="195"/>
      <c r="E103" s="7"/>
      <c r="G103" s="47"/>
      <c r="H103" s="48"/>
      <c r="I103" s="48"/>
      <c r="J103" s="48"/>
      <c r="K103" s="48"/>
      <c r="L103" s="48"/>
      <c r="M103" s="48"/>
      <c r="N103" s="49"/>
      <c r="V103" s="7"/>
    </row>
    <row r="104" spans="2:22" ht="18" customHeight="1" thickTop="1">
      <c r="B104" s="195"/>
      <c r="C104" s="195"/>
      <c r="E104" s="7"/>
      <c r="G104" s="5"/>
      <c r="H104" s="5"/>
      <c r="I104" s="5"/>
      <c r="J104" s="5"/>
      <c r="K104" s="5"/>
      <c r="L104" s="5"/>
      <c r="M104" s="5"/>
      <c r="N104" s="5"/>
      <c r="V104" s="7"/>
    </row>
    <row r="105" spans="2:22" ht="18" customHeight="1">
      <c r="B105" s="195"/>
      <c r="C105" s="195"/>
      <c r="E105" s="7"/>
      <c r="V105" s="7"/>
    </row>
    <row r="106" spans="2:22" ht="18" customHeight="1" thickBot="1">
      <c r="B106" s="355" t="str">
        <f>HYPERLINK("#LAYOUT_e4!lay초YINT1B00","YINT1B00")</f>
        <v>YINT1B00</v>
      </c>
      <c r="C106" s="355"/>
      <c r="E106" s="7"/>
      <c r="F106" s="6" t="s">
        <v>1599</v>
      </c>
      <c r="V106" s="7"/>
    </row>
    <row r="107" spans="2:22" ht="18" customHeight="1" thickTop="1">
      <c r="B107" s="195"/>
      <c r="C107" s="195"/>
      <c r="E107" s="7"/>
      <c r="G107" s="36"/>
      <c r="H107" s="37"/>
      <c r="I107" s="37"/>
      <c r="J107" s="37"/>
      <c r="K107" s="37"/>
      <c r="L107" s="37"/>
      <c r="M107" s="37"/>
      <c r="N107" s="38"/>
      <c r="V107" s="7"/>
    </row>
    <row r="108" spans="2:22" ht="18" customHeight="1">
      <c r="B108" s="195"/>
      <c r="C108" s="195"/>
      <c r="E108" s="7"/>
      <c r="G108" s="40"/>
      <c r="H108" s="11" t="s">
        <v>131</v>
      </c>
      <c r="I108" s="11" t="s">
        <v>132</v>
      </c>
      <c r="J108" s="11" t="s">
        <v>126</v>
      </c>
      <c r="K108" s="11" t="s">
        <v>133</v>
      </c>
      <c r="L108" s="11" t="s">
        <v>640</v>
      </c>
      <c r="M108" s="41" t="s">
        <v>129</v>
      </c>
      <c r="N108" s="42"/>
      <c r="V108" s="7"/>
    </row>
    <row r="109" spans="2:22" ht="18" customHeight="1">
      <c r="B109" s="195"/>
      <c r="C109" s="195"/>
      <c r="E109" s="7"/>
      <c r="G109" s="40"/>
      <c r="H109" s="11" t="s">
        <v>591</v>
      </c>
      <c r="I109" s="11" t="s">
        <v>592</v>
      </c>
      <c r="J109" s="11" t="s">
        <v>593</v>
      </c>
      <c r="K109" s="11" t="s">
        <v>594</v>
      </c>
      <c r="L109" s="11" t="s">
        <v>595</v>
      </c>
      <c r="M109" s="41" t="s">
        <v>6</v>
      </c>
      <c r="N109" s="42"/>
      <c r="V109" s="7"/>
    </row>
    <row r="110" spans="2:22" ht="18" customHeight="1">
      <c r="B110" s="195"/>
      <c r="C110" s="195"/>
      <c r="E110" s="7"/>
      <c r="G110" s="40"/>
      <c r="H110" s="43"/>
      <c r="I110" s="43"/>
      <c r="J110" s="43"/>
      <c r="K110" s="43"/>
      <c r="L110" s="43"/>
      <c r="M110" s="44"/>
      <c r="N110" s="42"/>
      <c r="V110" s="7"/>
    </row>
    <row r="111" spans="2:22" ht="18" customHeight="1">
      <c r="B111" s="195"/>
      <c r="C111" s="195"/>
      <c r="E111" s="7"/>
      <c r="G111" s="40"/>
      <c r="H111" s="45"/>
      <c r="I111" s="45"/>
      <c r="J111" s="45"/>
      <c r="K111" s="45"/>
      <c r="L111" s="45"/>
      <c r="M111" s="46"/>
      <c r="N111" s="42"/>
      <c r="V111" s="7"/>
    </row>
    <row r="112" spans="2:22" ht="18" customHeight="1" thickBot="1">
      <c r="B112" s="195"/>
      <c r="C112" s="195"/>
      <c r="E112" s="7"/>
      <c r="G112" s="47"/>
      <c r="H112" s="48"/>
      <c r="I112" s="48"/>
      <c r="J112" s="48"/>
      <c r="K112" s="48"/>
      <c r="L112" s="48"/>
      <c r="M112" s="48"/>
      <c r="N112" s="49"/>
      <c r="V112" s="7"/>
    </row>
    <row r="113" spans="2:22" ht="18" customHeight="1" thickTop="1">
      <c r="B113" s="195"/>
      <c r="C113" s="195"/>
      <c r="E113" s="7"/>
      <c r="G113" s="5"/>
      <c r="H113" s="5"/>
      <c r="I113" s="5"/>
      <c r="J113" s="5"/>
      <c r="K113" s="5"/>
      <c r="L113" s="5"/>
      <c r="M113" s="5"/>
      <c r="N113" s="5"/>
      <c r="V113" s="7"/>
    </row>
    <row r="114" spans="2:22" ht="18" customHeight="1">
      <c r="B114" s="195"/>
      <c r="C114" s="195"/>
      <c r="E114" s="7"/>
      <c r="V114" s="7"/>
    </row>
    <row r="115" spans="2:22" ht="18" customHeight="1" thickBot="1">
      <c r="B115" s="355" t="str">
        <f>HYPERLINK("#LAYOUT_e4!lay초YEDU1A00","YEDU1A00")</f>
        <v>YEDU1A00</v>
      </c>
      <c r="C115" s="355"/>
      <c r="E115" s="7"/>
      <c r="F115" s="6" t="s">
        <v>641</v>
      </c>
      <c r="V115" s="7"/>
    </row>
    <row r="116" spans="2:22" ht="18" customHeight="1" thickTop="1">
      <c r="B116" s="195"/>
      <c r="C116" s="195"/>
      <c r="E116" s="7"/>
      <c r="G116" s="36"/>
      <c r="H116" s="37"/>
      <c r="I116" s="37"/>
      <c r="J116" s="37"/>
      <c r="K116" s="37"/>
      <c r="L116" s="37"/>
      <c r="M116" s="37"/>
      <c r="N116" s="38"/>
      <c r="V116" s="7"/>
    </row>
    <row r="117" spans="2:22" ht="18" customHeight="1">
      <c r="B117" s="195"/>
      <c r="C117" s="195"/>
      <c r="E117" s="7"/>
      <c r="G117" s="40"/>
      <c r="H117" s="11" t="s">
        <v>131</v>
      </c>
      <c r="I117" s="11" t="s">
        <v>132</v>
      </c>
      <c r="J117" s="11" t="s">
        <v>126</v>
      </c>
      <c r="K117" s="11" t="s">
        <v>133</v>
      </c>
      <c r="L117" s="11" t="s">
        <v>640</v>
      </c>
      <c r="M117" s="41" t="s">
        <v>129</v>
      </c>
      <c r="N117" s="42"/>
      <c r="V117" s="7"/>
    </row>
    <row r="118" spans="2:22" ht="18" customHeight="1">
      <c r="B118" s="195"/>
      <c r="C118" s="195"/>
      <c r="E118" s="7"/>
      <c r="G118" s="40"/>
      <c r="H118" s="11" t="s">
        <v>591</v>
      </c>
      <c r="I118" s="11" t="s">
        <v>592</v>
      </c>
      <c r="J118" s="11" t="s">
        <v>593</v>
      </c>
      <c r="K118" s="11" t="s">
        <v>594</v>
      </c>
      <c r="L118" s="11" t="s">
        <v>595</v>
      </c>
      <c r="M118" s="41" t="s">
        <v>6</v>
      </c>
      <c r="N118" s="42"/>
      <c r="V118" s="7"/>
    </row>
    <row r="119" spans="2:22" ht="18" customHeight="1">
      <c r="B119" s="195"/>
      <c r="C119" s="195"/>
      <c r="E119" s="7"/>
      <c r="G119" s="40"/>
      <c r="H119" s="43"/>
      <c r="I119" s="43"/>
      <c r="J119" s="43"/>
      <c r="K119" s="43"/>
      <c r="L119" s="43"/>
      <c r="M119" s="44"/>
      <c r="N119" s="42"/>
      <c r="V119" s="7"/>
    </row>
    <row r="120" spans="2:22" ht="18" customHeight="1">
      <c r="B120" s="195"/>
      <c r="C120" s="195"/>
      <c r="E120" s="7"/>
      <c r="G120" s="40"/>
      <c r="H120" s="45"/>
      <c r="I120" s="45"/>
      <c r="J120" s="45"/>
      <c r="K120" s="45"/>
      <c r="L120" s="45"/>
      <c r="M120" s="46"/>
      <c r="N120" s="42"/>
      <c r="V120" s="7"/>
    </row>
    <row r="121" spans="2:22" ht="18" customHeight="1" thickBot="1">
      <c r="B121" s="195"/>
      <c r="C121" s="195"/>
      <c r="E121" s="7"/>
      <c r="G121" s="47"/>
      <c r="H121" s="48"/>
      <c r="I121" s="48"/>
      <c r="J121" s="48"/>
      <c r="K121" s="48"/>
      <c r="L121" s="48"/>
      <c r="M121" s="48"/>
      <c r="N121" s="49"/>
      <c r="V121" s="7"/>
    </row>
    <row r="122" spans="2:22" ht="18" customHeight="1" thickTop="1">
      <c r="B122" s="195"/>
      <c r="C122" s="195"/>
      <c r="E122" s="7"/>
      <c r="G122" s="5"/>
      <c r="H122" s="5"/>
      <c r="I122" s="5"/>
      <c r="J122" s="5"/>
      <c r="K122" s="5"/>
      <c r="L122" s="5"/>
      <c r="M122" s="5"/>
      <c r="N122" s="5"/>
      <c r="O122" s="5"/>
      <c r="V122" s="7"/>
    </row>
    <row r="123" spans="2:22" ht="18" customHeight="1">
      <c r="B123" s="195"/>
      <c r="C123" s="195"/>
      <c r="E123" s="7"/>
      <c r="V123" s="7"/>
    </row>
    <row r="124" spans="2:22" ht="18" customHeight="1" thickBot="1">
      <c r="B124" s="195"/>
      <c r="C124" s="195"/>
      <c r="E124" s="7"/>
      <c r="F124" s="6" t="s">
        <v>642</v>
      </c>
      <c r="V124" s="7"/>
    </row>
    <row r="125" spans="2:22" ht="31.5" thickTop="1" thickBot="1">
      <c r="B125" s="195"/>
      <c r="C125" s="195"/>
      <c r="E125" s="7"/>
      <c r="G125" s="368" t="s">
        <v>643</v>
      </c>
      <c r="H125" s="368"/>
      <c r="I125" s="368"/>
      <c r="J125" s="368"/>
      <c r="K125" s="368"/>
      <c r="L125" s="369"/>
      <c r="M125" s="9" t="s">
        <v>622</v>
      </c>
      <c r="N125" s="9" t="s">
        <v>623</v>
      </c>
      <c r="O125" s="9" t="s">
        <v>107</v>
      </c>
      <c r="P125" s="10" t="s">
        <v>108</v>
      </c>
      <c r="V125" s="7"/>
    </row>
    <row r="126" spans="2:22" ht="18" customHeight="1" thickTop="1">
      <c r="B126" s="355" t="str">
        <f>HYPERLINK("#LAYOUT_e4!lay초YINT2A01","YINT2A01")</f>
        <v>YINT2A01</v>
      </c>
      <c r="C126" s="355"/>
      <c r="E126" s="7"/>
      <c r="G126" s="372" t="s">
        <v>644</v>
      </c>
      <c r="H126" s="372"/>
      <c r="I126" s="372"/>
      <c r="J126" s="372"/>
      <c r="K126" s="372"/>
      <c r="L126" s="373"/>
      <c r="M126" s="20" t="s">
        <v>591</v>
      </c>
      <c r="N126" s="20" t="s">
        <v>592</v>
      </c>
      <c r="O126" s="20" t="s">
        <v>593</v>
      </c>
      <c r="P126" s="25" t="s">
        <v>594</v>
      </c>
      <c r="V126" s="7"/>
    </row>
    <row r="127" spans="2:22" ht="18" customHeight="1">
      <c r="B127" s="355" t="str">
        <f>HYPERLINK("#LAYOUT_e4!lay초YINT2A02","YINT2A02")</f>
        <v>YINT2A02</v>
      </c>
      <c r="C127" s="355"/>
      <c r="E127" s="7"/>
      <c r="G127" s="362" t="s">
        <v>645</v>
      </c>
      <c r="H127" s="362"/>
      <c r="I127" s="362"/>
      <c r="J127" s="362"/>
      <c r="K127" s="362"/>
      <c r="L127" s="363"/>
      <c r="M127" s="22" t="s">
        <v>591</v>
      </c>
      <c r="N127" s="22" t="s">
        <v>592</v>
      </c>
      <c r="O127" s="22" t="s">
        <v>593</v>
      </c>
      <c r="P127" s="24" t="s">
        <v>594</v>
      </c>
      <c r="V127" s="7"/>
    </row>
    <row r="128" spans="2:22" ht="18" customHeight="1">
      <c r="B128" s="355" t="str">
        <f>HYPERLINK("#LAYOUT_e4!lay초YINT2A03","YINT2A03")</f>
        <v>YINT2A03</v>
      </c>
      <c r="C128" s="355"/>
      <c r="E128" s="7"/>
      <c r="G128" s="362" t="s">
        <v>646</v>
      </c>
      <c r="H128" s="362"/>
      <c r="I128" s="362"/>
      <c r="J128" s="362"/>
      <c r="K128" s="362"/>
      <c r="L128" s="363"/>
      <c r="M128" s="22" t="s">
        <v>591</v>
      </c>
      <c r="N128" s="22" t="s">
        <v>592</v>
      </c>
      <c r="O128" s="22" t="s">
        <v>593</v>
      </c>
      <c r="P128" s="24" t="s">
        <v>594</v>
      </c>
      <c r="V128" s="7"/>
    </row>
    <row r="129" spans="2:22" ht="18" customHeight="1">
      <c r="B129" s="355" t="str">
        <f>HYPERLINK("#LAYOUT_e4!lay초YINT2A04","YINT2A04")</f>
        <v>YINT2A04</v>
      </c>
      <c r="C129" s="355"/>
      <c r="E129" s="7"/>
      <c r="G129" s="362" t="s">
        <v>647</v>
      </c>
      <c r="H129" s="362"/>
      <c r="I129" s="362"/>
      <c r="J129" s="362"/>
      <c r="K129" s="362"/>
      <c r="L129" s="363"/>
      <c r="M129" s="22" t="s">
        <v>591</v>
      </c>
      <c r="N129" s="22" t="s">
        <v>592</v>
      </c>
      <c r="O129" s="22" t="s">
        <v>593</v>
      </c>
      <c r="P129" s="24" t="s">
        <v>594</v>
      </c>
      <c r="V129" s="7"/>
    </row>
    <row r="130" spans="2:22" ht="18" customHeight="1">
      <c r="B130" s="355" t="str">
        <f>HYPERLINK("#LAYOUT_e4!lay초YINT2A05","YINT2A05")</f>
        <v>YINT2A05</v>
      </c>
      <c r="C130" s="355"/>
      <c r="E130" s="7"/>
      <c r="G130" s="362" t="s">
        <v>648</v>
      </c>
      <c r="H130" s="362"/>
      <c r="I130" s="362"/>
      <c r="J130" s="362"/>
      <c r="K130" s="362"/>
      <c r="L130" s="363"/>
      <c r="M130" s="22" t="s">
        <v>591</v>
      </c>
      <c r="N130" s="22" t="s">
        <v>592</v>
      </c>
      <c r="O130" s="22" t="s">
        <v>593</v>
      </c>
      <c r="P130" s="24" t="s">
        <v>594</v>
      </c>
      <c r="V130" s="7"/>
    </row>
    <row r="131" spans="2:22" ht="18" customHeight="1">
      <c r="B131" s="355" t="str">
        <f>HYPERLINK("#LAYOUT_e4!lay초YINT2A06","YINT2A06")</f>
        <v>YINT2A06</v>
      </c>
      <c r="C131" s="355"/>
      <c r="E131" s="7"/>
      <c r="G131" s="362" t="s">
        <v>649</v>
      </c>
      <c r="H131" s="362"/>
      <c r="I131" s="362"/>
      <c r="J131" s="362"/>
      <c r="K131" s="362"/>
      <c r="L131" s="363"/>
      <c r="M131" s="22" t="s">
        <v>591</v>
      </c>
      <c r="N131" s="22" t="s">
        <v>592</v>
      </c>
      <c r="O131" s="22" t="s">
        <v>593</v>
      </c>
      <c r="P131" s="24" t="s">
        <v>594</v>
      </c>
      <c r="V131" s="7"/>
    </row>
    <row r="132" spans="2:22" ht="18" customHeight="1">
      <c r="B132" s="355" t="str">
        <f>HYPERLINK("#LAYOUT_e4!lay초YINT2A07","YINT2A07")</f>
        <v>YINT2A07</v>
      </c>
      <c r="C132" s="355"/>
      <c r="E132" s="7"/>
      <c r="G132" s="362" t="s">
        <v>650</v>
      </c>
      <c r="H132" s="362"/>
      <c r="I132" s="362"/>
      <c r="J132" s="362"/>
      <c r="K132" s="362"/>
      <c r="L132" s="363"/>
      <c r="M132" s="22" t="s">
        <v>591</v>
      </c>
      <c r="N132" s="22" t="s">
        <v>592</v>
      </c>
      <c r="O132" s="22" t="s">
        <v>593</v>
      </c>
      <c r="P132" s="24" t="s">
        <v>594</v>
      </c>
      <c r="V132" s="7"/>
    </row>
    <row r="133" spans="2:22" ht="18" customHeight="1">
      <c r="B133" s="355" t="str">
        <f>HYPERLINK("#LAYOUT_e4!lay초YINT2A08","YINT2A08")</f>
        <v>YINT2A08</v>
      </c>
      <c r="C133" s="355"/>
      <c r="E133" s="7"/>
      <c r="G133" s="362" t="s">
        <v>651</v>
      </c>
      <c r="H133" s="362"/>
      <c r="I133" s="362"/>
      <c r="J133" s="362"/>
      <c r="K133" s="362"/>
      <c r="L133" s="363"/>
      <c r="M133" s="22" t="s">
        <v>591</v>
      </c>
      <c r="N133" s="22" t="s">
        <v>592</v>
      </c>
      <c r="O133" s="22" t="s">
        <v>593</v>
      </c>
      <c r="P133" s="24" t="s">
        <v>594</v>
      </c>
      <c r="V133" s="7"/>
    </row>
    <row r="134" spans="2:22" ht="18" customHeight="1">
      <c r="B134" s="355" t="str">
        <f>HYPERLINK("#LAYOUT_e4!lay초YINT2A09","YINT2A09")</f>
        <v>YINT2A09</v>
      </c>
      <c r="C134" s="355"/>
      <c r="E134" s="7"/>
      <c r="G134" s="362" t="s">
        <v>652</v>
      </c>
      <c r="H134" s="362"/>
      <c r="I134" s="362"/>
      <c r="J134" s="362"/>
      <c r="K134" s="362"/>
      <c r="L134" s="363"/>
      <c r="M134" s="22" t="s">
        <v>591</v>
      </c>
      <c r="N134" s="22" t="s">
        <v>592</v>
      </c>
      <c r="O134" s="22" t="s">
        <v>593</v>
      </c>
      <c r="P134" s="24" t="s">
        <v>594</v>
      </c>
      <c r="V134" s="7"/>
    </row>
    <row r="135" spans="2:22" ht="18" customHeight="1">
      <c r="B135" s="355" t="str">
        <f>HYPERLINK("#LAYOUT_e4!lay초YINT2A10","YINT2A10")</f>
        <v>YINT2A10</v>
      </c>
      <c r="C135" s="355"/>
      <c r="E135" s="7"/>
      <c r="G135" s="362" t="s">
        <v>653</v>
      </c>
      <c r="H135" s="362"/>
      <c r="I135" s="362"/>
      <c r="J135" s="362"/>
      <c r="K135" s="362"/>
      <c r="L135" s="363"/>
      <c r="M135" s="22" t="s">
        <v>591</v>
      </c>
      <c r="N135" s="22" t="s">
        <v>592</v>
      </c>
      <c r="O135" s="22" t="s">
        <v>593</v>
      </c>
      <c r="P135" s="24" t="s">
        <v>594</v>
      </c>
      <c r="V135" s="7"/>
    </row>
    <row r="136" spans="2:22" ht="18" customHeight="1">
      <c r="B136" s="355" t="str">
        <f>HYPERLINK("#LAYOUT_e4!lay초YINT2A11","YINT2A11")</f>
        <v>YINT2A11</v>
      </c>
      <c r="C136" s="355"/>
      <c r="E136" s="7"/>
      <c r="G136" s="362" t="s">
        <v>654</v>
      </c>
      <c r="H136" s="362"/>
      <c r="I136" s="362"/>
      <c r="J136" s="362"/>
      <c r="K136" s="362"/>
      <c r="L136" s="363"/>
      <c r="M136" s="22" t="s">
        <v>591</v>
      </c>
      <c r="N136" s="22" t="s">
        <v>592</v>
      </c>
      <c r="O136" s="22" t="s">
        <v>593</v>
      </c>
      <c r="P136" s="24" t="s">
        <v>594</v>
      </c>
      <c r="V136" s="7"/>
    </row>
    <row r="137" spans="2:22" ht="18" customHeight="1">
      <c r="B137" s="355" t="str">
        <f>HYPERLINK("#LAYOUT_e4!lay초YINT2A12","YINT2A12")</f>
        <v>YINT2A12</v>
      </c>
      <c r="C137" s="355"/>
      <c r="E137" s="7"/>
      <c r="G137" s="362" t="s">
        <v>655</v>
      </c>
      <c r="H137" s="362"/>
      <c r="I137" s="362"/>
      <c r="J137" s="362"/>
      <c r="K137" s="362"/>
      <c r="L137" s="363"/>
      <c r="M137" s="22" t="s">
        <v>591</v>
      </c>
      <c r="N137" s="22" t="s">
        <v>592</v>
      </c>
      <c r="O137" s="22" t="s">
        <v>593</v>
      </c>
      <c r="P137" s="24" t="s">
        <v>594</v>
      </c>
      <c r="V137" s="7"/>
    </row>
    <row r="138" spans="2:22" ht="18" customHeight="1">
      <c r="B138" s="355" t="str">
        <f>HYPERLINK("#LAYOUT_e4!lay초YINT2A13","YINT2A13")</f>
        <v>YINT2A13</v>
      </c>
      <c r="C138" s="355"/>
      <c r="E138" s="7"/>
      <c r="G138" s="362" t="s">
        <v>656</v>
      </c>
      <c r="H138" s="362"/>
      <c r="I138" s="362"/>
      <c r="J138" s="362"/>
      <c r="K138" s="362"/>
      <c r="L138" s="363"/>
      <c r="M138" s="22" t="s">
        <v>591</v>
      </c>
      <c r="N138" s="22" t="s">
        <v>592</v>
      </c>
      <c r="O138" s="22" t="s">
        <v>593</v>
      </c>
      <c r="P138" s="24" t="s">
        <v>594</v>
      </c>
      <c r="V138" s="7"/>
    </row>
    <row r="139" spans="2:22" ht="18" customHeight="1">
      <c r="B139" s="355" t="str">
        <f>HYPERLINK("#LAYOUT_e4!lay초YINT2A14","YINT2A14")</f>
        <v>YINT2A14</v>
      </c>
      <c r="C139" s="355"/>
      <c r="E139" s="7"/>
      <c r="G139" s="362" t="s">
        <v>657</v>
      </c>
      <c r="H139" s="362"/>
      <c r="I139" s="362"/>
      <c r="J139" s="362"/>
      <c r="K139" s="362"/>
      <c r="L139" s="363"/>
      <c r="M139" s="22" t="s">
        <v>591</v>
      </c>
      <c r="N139" s="22" t="s">
        <v>592</v>
      </c>
      <c r="O139" s="22" t="s">
        <v>593</v>
      </c>
      <c r="P139" s="24" t="s">
        <v>594</v>
      </c>
      <c r="V139" s="7"/>
    </row>
    <row r="140" spans="2:22" ht="18" customHeight="1">
      <c r="B140" s="355" t="str">
        <f>HYPERLINK("#LAYOUT_e4!lay초YINT2A15","YINT2A15")</f>
        <v>YINT2A15</v>
      </c>
      <c r="C140" s="355"/>
      <c r="E140" s="7"/>
      <c r="G140" s="362" t="s">
        <v>658</v>
      </c>
      <c r="H140" s="362"/>
      <c r="I140" s="362"/>
      <c r="J140" s="362"/>
      <c r="K140" s="362"/>
      <c r="L140" s="363"/>
      <c r="M140" s="22" t="s">
        <v>591</v>
      </c>
      <c r="N140" s="22" t="s">
        <v>592</v>
      </c>
      <c r="O140" s="22" t="s">
        <v>593</v>
      </c>
      <c r="P140" s="24" t="s">
        <v>594</v>
      </c>
      <c r="V140" s="7"/>
    </row>
    <row r="141" spans="2:22" ht="18" customHeight="1">
      <c r="B141" s="355" t="str">
        <f>HYPERLINK("#LAYOUT_e4!lay초YINT2A16","YINT2A16")</f>
        <v>YINT2A16</v>
      </c>
      <c r="C141" s="355"/>
      <c r="E141" s="7"/>
      <c r="G141" s="362" t="s">
        <v>659</v>
      </c>
      <c r="H141" s="362"/>
      <c r="I141" s="362"/>
      <c r="J141" s="362"/>
      <c r="K141" s="362"/>
      <c r="L141" s="363"/>
      <c r="M141" s="22" t="s">
        <v>591</v>
      </c>
      <c r="N141" s="22" t="s">
        <v>592</v>
      </c>
      <c r="O141" s="22" t="s">
        <v>593</v>
      </c>
      <c r="P141" s="24" t="s">
        <v>594</v>
      </c>
      <c r="V141" s="7"/>
    </row>
    <row r="142" spans="2:22" ht="18" customHeight="1">
      <c r="B142" s="195"/>
      <c r="C142" s="195"/>
      <c r="E142" s="7"/>
      <c r="V142" s="7"/>
    </row>
    <row r="143" spans="2:22" ht="18" customHeight="1">
      <c r="B143" s="195"/>
      <c r="C143" s="195"/>
      <c r="E143" s="7"/>
      <c r="V143" s="7"/>
    </row>
    <row r="144" spans="2:22" ht="18" customHeight="1" thickBot="1">
      <c r="B144" s="195"/>
      <c r="C144" s="195"/>
      <c r="E144" s="7"/>
      <c r="F144" s="6" t="s">
        <v>660</v>
      </c>
      <c r="V144" s="7"/>
    </row>
    <row r="145" spans="2:22" ht="31.5" thickTop="1" thickBot="1">
      <c r="B145" s="195"/>
      <c r="C145" s="195"/>
      <c r="E145" s="7"/>
      <c r="G145" s="397" t="s">
        <v>643</v>
      </c>
      <c r="H145" s="397"/>
      <c r="I145" s="397"/>
      <c r="J145" s="397"/>
      <c r="K145" s="397"/>
      <c r="L145" s="398"/>
      <c r="M145" s="50" t="s">
        <v>155</v>
      </c>
      <c r="N145" s="50" t="s">
        <v>156</v>
      </c>
      <c r="O145" s="50" t="s">
        <v>157</v>
      </c>
      <c r="P145" s="50" t="s">
        <v>158</v>
      </c>
      <c r="Q145" s="51" t="s">
        <v>90</v>
      </c>
      <c r="V145" s="7"/>
    </row>
    <row r="146" spans="2:22" ht="18" customHeight="1" thickTop="1">
      <c r="B146" s="355" t="str">
        <f>HYPERLINK("#LAYOUT_e4!lay초YFUR2A01","YFUR2A01")</f>
        <v>YFUR2A01</v>
      </c>
      <c r="C146" s="355"/>
      <c r="E146" s="7"/>
      <c r="G146" s="366" t="s">
        <v>661</v>
      </c>
      <c r="H146" s="366"/>
      <c r="I146" s="366"/>
      <c r="J146" s="366"/>
      <c r="K146" s="366"/>
      <c r="L146" s="367"/>
      <c r="M146" s="31" t="s">
        <v>591</v>
      </c>
      <c r="N146" s="31" t="s">
        <v>592</v>
      </c>
      <c r="O146" s="31" t="s">
        <v>593</v>
      </c>
      <c r="P146" s="31" t="s">
        <v>594</v>
      </c>
      <c r="Q146" s="32" t="s">
        <v>662</v>
      </c>
      <c r="V146" s="7"/>
    </row>
    <row r="147" spans="2:22" ht="18" customHeight="1">
      <c r="B147" s="355" t="str">
        <f>HYPERLINK("#LAYOUT_e4!lay초YFUR2A02","YFUR2A02")</f>
        <v>YFUR2A02</v>
      </c>
      <c r="C147" s="355"/>
      <c r="E147" s="7"/>
      <c r="G147" s="362" t="s">
        <v>663</v>
      </c>
      <c r="H147" s="362"/>
      <c r="I147" s="362"/>
      <c r="J147" s="362"/>
      <c r="K147" s="362"/>
      <c r="L147" s="363"/>
      <c r="M147" s="22" t="s">
        <v>591</v>
      </c>
      <c r="N147" s="22" t="s">
        <v>592</v>
      </c>
      <c r="O147" s="22" t="s">
        <v>593</v>
      </c>
      <c r="P147" s="22" t="s">
        <v>594</v>
      </c>
      <c r="Q147" s="24" t="s">
        <v>662</v>
      </c>
      <c r="V147" s="7"/>
    </row>
    <row r="148" spans="2:22" ht="18" customHeight="1">
      <c r="B148" s="355" t="str">
        <f>HYPERLINK("#LAYOUT_e4!lay초YFUR2A03","YFUR2A03")</f>
        <v>YFUR2A03</v>
      </c>
      <c r="C148" s="355"/>
      <c r="E148" s="7"/>
      <c r="G148" s="362" t="s">
        <v>1590</v>
      </c>
      <c r="H148" s="362"/>
      <c r="I148" s="362"/>
      <c r="J148" s="362"/>
      <c r="K148" s="362"/>
      <c r="L148" s="363"/>
      <c r="M148" s="22" t="s">
        <v>591</v>
      </c>
      <c r="N148" s="22" t="s">
        <v>592</v>
      </c>
      <c r="O148" s="22" t="s">
        <v>593</v>
      </c>
      <c r="P148" s="22" t="s">
        <v>594</v>
      </c>
      <c r="Q148" s="24" t="s">
        <v>662</v>
      </c>
      <c r="V148" s="7"/>
    </row>
    <row r="149" spans="2:22" ht="18" customHeight="1">
      <c r="B149" s="355" t="str">
        <f>HYPERLINK("#LAYOUT_e4!lay초YFUR2A04","YFUR2A04")</f>
        <v>YFUR2A04</v>
      </c>
      <c r="C149" s="355"/>
      <c r="E149" s="7"/>
      <c r="G149" s="362" t="s">
        <v>1591</v>
      </c>
      <c r="H149" s="362"/>
      <c r="I149" s="362"/>
      <c r="J149" s="362"/>
      <c r="K149" s="362"/>
      <c r="L149" s="363"/>
      <c r="M149" s="22" t="s">
        <v>591</v>
      </c>
      <c r="N149" s="22" t="s">
        <v>592</v>
      </c>
      <c r="O149" s="22" t="s">
        <v>593</v>
      </c>
      <c r="P149" s="22" t="s">
        <v>594</v>
      </c>
      <c r="Q149" s="24" t="s">
        <v>662</v>
      </c>
      <c r="V149" s="7"/>
    </row>
    <row r="150" spans="2:22" ht="18" customHeight="1">
      <c r="B150" s="355" t="str">
        <f>HYPERLINK("#LAYOUT_e4!lay초YFUR2A05","YFUR2A05")</f>
        <v>YFUR2A05</v>
      </c>
      <c r="C150" s="355"/>
      <c r="E150" s="7"/>
      <c r="G150" s="362" t="s">
        <v>664</v>
      </c>
      <c r="H150" s="362"/>
      <c r="I150" s="362"/>
      <c r="J150" s="362"/>
      <c r="K150" s="362"/>
      <c r="L150" s="363"/>
      <c r="M150" s="22" t="s">
        <v>591</v>
      </c>
      <c r="N150" s="22" t="s">
        <v>592</v>
      </c>
      <c r="O150" s="22" t="s">
        <v>593</v>
      </c>
      <c r="P150" s="22" t="s">
        <v>594</v>
      </c>
      <c r="Q150" s="24" t="s">
        <v>662</v>
      </c>
      <c r="V150" s="7"/>
    </row>
    <row r="151" spans="2:22" ht="18" customHeight="1">
      <c r="B151" s="355" t="str">
        <f>HYPERLINK("#LAYOUT_e4!lay초YFUR2A06","YFUR2A06")</f>
        <v>YFUR2A06</v>
      </c>
      <c r="C151" s="355"/>
      <c r="E151" s="7"/>
      <c r="G151" s="362" t="s">
        <v>665</v>
      </c>
      <c r="H151" s="362"/>
      <c r="I151" s="362"/>
      <c r="J151" s="362"/>
      <c r="K151" s="362"/>
      <c r="L151" s="363"/>
      <c r="M151" s="22" t="s">
        <v>591</v>
      </c>
      <c r="N151" s="22" t="s">
        <v>592</v>
      </c>
      <c r="O151" s="22" t="s">
        <v>593</v>
      </c>
      <c r="P151" s="22" t="s">
        <v>594</v>
      </c>
      <c r="Q151" s="24" t="s">
        <v>662</v>
      </c>
      <c r="V151" s="7"/>
    </row>
    <row r="152" spans="2:22" ht="18" customHeight="1">
      <c r="B152" s="355" t="str">
        <f>HYPERLINK("#LAYOUT_e4!lay초YFUR2A07","YFUR2A07")</f>
        <v>YFUR2A07</v>
      </c>
      <c r="C152" s="355"/>
      <c r="E152" s="7"/>
      <c r="G152" s="362" t="s">
        <v>666</v>
      </c>
      <c r="H152" s="362"/>
      <c r="I152" s="362"/>
      <c r="J152" s="362"/>
      <c r="K152" s="362"/>
      <c r="L152" s="363"/>
      <c r="M152" s="22" t="s">
        <v>591</v>
      </c>
      <c r="N152" s="22" t="s">
        <v>592</v>
      </c>
      <c r="O152" s="22" t="s">
        <v>593</v>
      </c>
      <c r="P152" s="22" t="s">
        <v>594</v>
      </c>
      <c r="Q152" s="24" t="s">
        <v>662</v>
      </c>
      <c r="V152" s="7"/>
    </row>
    <row r="153" spans="2:22" ht="18" customHeight="1">
      <c r="B153" s="195" t="str">
        <f>HYPERLINK("#LAYOUT_e4!lay초YFUR2A08","YFUR2A08")</f>
        <v>YFUR2A08</v>
      </c>
      <c r="C153" s="195" t="str">
        <f>HYPERLINK("#LAYOUT_e4!lay초YFUR2A08_T","YFUR2A08_T")</f>
        <v>YFUR2A08_T</v>
      </c>
      <c r="E153" s="7"/>
      <c r="G153" s="362" t="s">
        <v>1592</v>
      </c>
      <c r="H153" s="362"/>
      <c r="I153" s="362"/>
      <c r="J153" s="362"/>
      <c r="K153" s="362"/>
      <c r="L153" s="363"/>
      <c r="M153" s="22" t="s">
        <v>591</v>
      </c>
      <c r="N153" s="22" t="s">
        <v>592</v>
      </c>
      <c r="O153" s="22" t="s">
        <v>593</v>
      </c>
      <c r="P153" s="22" t="s">
        <v>594</v>
      </c>
      <c r="Q153" s="24" t="s">
        <v>662</v>
      </c>
      <c r="V153" s="7"/>
    </row>
    <row r="154" spans="2:22" ht="18" customHeight="1">
      <c r="B154" s="195"/>
      <c r="C154" s="195"/>
      <c r="E154" s="7"/>
      <c r="V154" s="7"/>
    </row>
    <row r="155" spans="2:22" ht="18" customHeight="1">
      <c r="B155" s="195"/>
      <c r="C155" s="195"/>
      <c r="E155" s="7"/>
      <c r="V155" s="7"/>
    </row>
    <row r="156" spans="2:22" ht="18" customHeight="1" thickBot="1">
      <c r="B156" s="195"/>
      <c r="C156" s="195"/>
      <c r="E156" s="7"/>
      <c r="F156" s="6" t="s">
        <v>667</v>
      </c>
      <c r="V156" s="7"/>
    </row>
    <row r="157" spans="2:22" ht="31.5" thickTop="1" thickBot="1">
      <c r="B157" s="195"/>
      <c r="C157" s="195"/>
      <c r="E157" s="7"/>
      <c r="G157" s="397" t="s">
        <v>643</v>
      </c>
      <c r="H157" s="397"/>
      <c r="I157" s="397"/>
      <c r="J157" s="397"/>
      <c r="K157" s="397"/>
      <c r="L157" s="398"/>
      <c r="M157" s="9" t="s">
        <v>622</v>
      </c>
      <c r="N157" s="9" t="s">
        <v>623</v>
      </c>
      <c r="O157" s="9" t="s">
        <v>107</v>
      </c>
      <c r="P157" s="10" t="s">
        <v>108</v>
      </c>
      <c r="V157" s="7"/>
    </row>
    <row r="158" spans="2:22" ht="18" customHeight="1" thickTop="1">
      <c r="B158" s="355" t="str">
        <f>HYPERLINK("#LAYOUT_e4!lay초YPSY1A01","YPSY1A01")</f>
        <v>YPSY1A01</v>
      </c>
      <c r="C158" s="355"/>
      <c r="E158" s="7"/>
      <c r="G158" s="366" t="s">
        <v>668</v>
      </c>
      <c r="H158" s="366"/>
      <c r="I158" s="366"/>
      <c r="J158" s="366"/>
      <c r="K158" s="366"/>
      <c r="L158" s="367"/>
      <c r="M158" s="20" t="s">
        <v>591</v>
      </c>
      <c r="N158" s="20" t="s">
        <v>592</v>
      </c>
      <c r="O158" s="20" t="s">
        <v>593</v>
      </c>
      <c r="P158" s="25" t="s">
        <v>594</v>
      </c>
      <c r="V158" s="7"/>
    </row>
    <row r="159" spans="2:22" ht="18" customHeight="1">
      <c r="B159" s="355" t="str">
        <f>HYPERLINK("#LAYOUT_e4!lay초YPSY1A02","YPSY1A02")</f>
        <v>YPSY1A02</v>
      </c>
      <c r="C159" s="355"/>
      <c r="E159" s="7"/>
      <c r="G159" s="362" t="s">
        <v>669</v>
      </c>
      <c r="H159" s="362"/>
      <c r="I159" s="362"/>
      <c r="J159" s="362"/>
      <c r="K159" s="362"/>
      <c r="L159" s="363"/>
      <c r="M159" s="22" t="s">
        <v>591</v>
      </c>
      <c r="N159" s="22" t="s">
        <v>592</v>
      </c>
      <c r="O159" s="22" t="s">
        <v>593</v>
      </c>
      <c r="P159" s="24" t="s">
        <v>594</v>
      </c>
      <c r="V159" s="7"/>
    </row>
    <row r="160" spans="2:22" ht="18" customHeight="1">
      <c r="B160" s="355" t="str">
        <f>HYPERLINK("#LAYOUT_e4!lay초YPSY1A03","YPSY1A03")</f>
        <v>YPSY1A03</v>
      </c>
      <c r="C160" s="355"/>
      <c r="E160" s="7"/>
      <c r="G160" s="362" t="s">
        <v>670</v>
      </c>
      <c r="H160" s="362"/>
      <c r="I160" s="362"/>
      <c r="J160" s="362"/>
      <c r="K160" s="362"/>
      <c r="L160" s="363"/>
      <c r="M160" s="22" t="s">
        <v>591</v>
      </c>
      <c r="N160" s="22" t="s">
        <v>592</v>
      </c>
      <c r="O160" s="22" t="s">
        <v>593</v>
      </c>
      <c r="P160" s="24" t="s">
        <v>594</v>
      </c>
      <c r="V160" s="7"/>
    </row>
    <row r="161" spans="2:22" ht="18" customHeight="1">
      <c r="B161" s="355" t="str">
        <f>HYPERLINK("#LAYOUT_e4!lay초YPSY1A04","YPSY1A04")</f>
        <v>YPSY1A04</v>
      </c>
      <c r="C161" s="355"/>
      <c r="E161" s="7"/>
      <c r="G161" s="362" t="s">
        <v>671</v>
      </c>
      <c r="H161" s="362"/>
      <c r="I161" s="362"/>
      <c r="J161" s="362"/>
      <c r="K161" s="362"/>
      <c r="L161" s="363"/>
      <c r="M161" s="22" t="s">
        <v>591</v>
      </c>
      <c r="N161" s="22" t="s">
        <v>592</v>
      </c>
      <c r="O161" s="22" t="s">
        <v>593</v>
      </c>
      <c r="P161" s="24" t="s">
        <v>594</v>
      </c>
      <c r="V161" s="7"/>
    </row>
    <row r="162" spans="2:22" ht="18" customHeight="1">
      <c r="B162" s="355" t="str">
        <f>HYPERLINK("#LAYOUT_e4!lay초YPSY1A05","YPSY1A05")</f>
        <v>YPSY1A05</v>
      </c>
      <c r="C162" s="355"/>
      <c r="E162" s="7"/>
      <c r="G162" s="362" t="s">
        <v>672</v>
      </c>
      <c r="H162" s="362"/>
      <c r="I162" s="362"/>
      <c r="J162" s="362"/>
      <c r="K162" s="362"/>
      <c r="L162" s="363"/>
      <c r="M162" s="22" t="s">
        <v>591</v>
      </c>
      <c r="N162" s="22" t="s">
        <v>592</v>
      </c>
      <c r="O162" s="22" t="s">
        <v>593</v>
      </c>
      <c r="P162" s="24" t="s">
        <v>594</v>
      </c>
      <c r="V162" s="7"/>
    </row>
    <row r="163" spans="2:22" ht="18" customHeight="1">
      <c r="B163" s="195"/>
      <c r="C163" s="195"/>
      <c r="E163" s="7"/>
      <c r="V163" s="7"/>
    </row>
    <row r="164" spans="2:22" ht="18" customHeight="1">
      <c r="B164" s="195"/>
      <c r="C164" s="195"/>
      <c r="E164" s="7"/>
      <c r="V164" s="7"/>
    </row>
    <row r="165" spans="2:22" ht="18" customHeight="1" thickBot="1">
      <c r="B165" s="195"/>
      <c r="C165" s="195"/>
      <c r="E165" s="7"/>
      <c r="F165" s="6" t="s">
        <v>673</v>
      </c>
      <c r="V165" s="7"/>
    </row>
    <row r="166" spans="2:22" ht="31.5" thickTop="1" thickBot="1">
      <c r="B166" s="195"/>
      <c r="C166" s="195"/>
      <c r="E166" s="7"/>
      <c r="G166" s="397" t="s">
        <v>574</v>
      </c>
      <c r="H166" s="397"/>
      <c r="I166" s="397"/>
      <c r="J166" s="397"/>
      <c r="K166" s="397"/>
      <c r="L166" s="398"/>
      <c r="M166" s="9" t="s">
        <v>674</v>
      </c>
      <c r="N166" s="9" t="s">
        <v>675</v>
      </c>
      <c r="O166" s="9" t="s">
        <v>676</v>
      </c>
      <c r="P166" s="10" t="s">
        <v>677</v>
      </c>
      <c r="V166" s="7"/>
    </row>
    <row r="167" spans="2:22" ht="18" customHeight="1" thickTop="1">
      <c r="B167" s="355" t="str">
        <f>HYPERLINK("#LAYOUT_e4!lay초YPSY2A01","YPSY2A01")</f>
        <v>YPSY2A01</v>
      </c>
      <c r="C167" s="355"/>
      <c r="E167" s="7"/>
      <c r="G167" s="366" t="s">
        <v>678</v>
      </c>
      <c r="H167" s="366"/>
      <c r="I167" s="366"/>
      <c r="J167" s="366"/>
      <c r="K167" s="366"/>
      <c r="L167" s="367"/>
      <c r="M167" s="20" t="s">
        <v>591</v>
      </c>
      <c r="N167" s="20" t="s">
        <v>592</v>
      </c>
      <c r="O167" s="20" t="s">
        <v>593</v>
      </c>
      <c r="P167" s="25" t="s">
        <v>594</v>
      </c>
      <c r="V167" s="7"/>
    </row>
    <row r="168" spans="2:22" ht="18" customHeight="1">
      <c r="B168" s="355" t="str">
        <f>HYPERLINK("#LAYOUT_e4!lay초YPSY2A02","YPSY2A02")</f>
        <v>YPSY2A02</v>
      </c>
      <c r="C168" s="355"/>
      <c r="E168" s="7"/>
      <c r="G168" s="366" t="s">
        <v>679</v>
      </c>
      <c r="H168" s="366"/>
      <c r="I168" s="366"/>
      <c r="J168" s="366"/>
      <c r="K168" s="366"/>
      <c r="L168" s="367"/>
      <c r="M168" s="31" t="s">
        <v>591</v>
      </c>
      <c r="N168" s="31" t="s">
        <v>592</v>
      </c>
      <c r="O168" s="31" t="s">
        <v>593</v>
      </c>
      <c r="P168" s="32" t="s">
        <v>594</v>
      </c>
      <c r="V168" s="7"/>
    </row>
    <row r="169" spans="2:22" ht="18" customHeight="1">
      <c r="B169" s="195"/>
      <c r="C169" s="195"/>
      <c r="E169" s="7"/>
      <c r="V169" s="7"/>
    </row>
    <row r="170" spans="2:22" ht="18" customHeight="1">
      <c r="B170" s="195"/>
      <c r="C170" s="195"/>
      <c r="E170" s="7"/>
      <c r="V170" s="7"/>
    </row>
    <row r="171" spans="2:22" ht="18" customHeight="1" thickBot="1">
      <c r="B171" s="195"/>
      <c r="C171" s="195"/>
      <c r="E171" s="7"/>
      <c r="F171" s="6" t="s">
        <v>680</v>
      </c>
      <c r="V171" s="7"/>
    </row>
    <row r="172" spans="2:22" ht="31.5" thickTop="1" thickBot="1">
      <c r="B172" s="195"/>
      <c r="C172" s="195"/>
      <c r="E172" s="7"/>
      <c r="G172" s="397" t="s">
        <v>643</v>
      </c>
      <c r="H172" s="397"/>
      <c r="I172" s="397"/>
      <c r="J172" s="397"/>
      <c r="K172" s="397"/>
      <c r="L172" s="398"/>
      <c r="M172" s="9" t="s">
        <v>622</v>
      </c>
      <c r="N172" s="9" t="s">
        <v>623</v>
      </c>
      <c r="O172" s="9" t="s">
        <v>107</v>
      </c>
      <c r="P172" s="10" t="s">
        <v>108</v>
      </c>
      <c r="V172" s="7"/>
    </row>
    <row r="173" spans="2:22" ht="31.5" customHeight="1" thickTop="1">
      <c r="B173" s="355" t="str">
        <f>HYPERLINK("#LAYOUT_e4!lay초YPSY2A03","YPSY2A03")</f>
        <v>YPSY2A03</v>
      </c>
      <c r="C173" s="355"/>
      <c r="E173" s="7"/>
      <c r="G173" s="366" t="s">
        <v>681</v>
      </c>
      <c r="H173" s="366"/>
      <c r="I173" s="366"/>
      <c r="J173" s="366"/>
      <c r="K173" s="366"/>
      <c r="L173" s="367"/>
      <c r="M173" s="20" t="s">
        <v>591</v>
      </c>
      <c r="N173" s="20" t="s">
        <v>592</v>
      </c>
      <c r="O173" s="20" t="s">
        <v>593</v>
      </c>
      <c r="P173" s="25" t="s">
        <v>594</v>
      </c>
      <c r="V173" s="7"/>
    </row>
    <row r="174" spans="2:22" ht="31.5" customHeight="1">
      <c r="B174" s="355" t="str">
        <f>HYPERLINK("#LAYOUT_e4!lay초YPSY2A04","YPSY2A04")</f>
        <v>YPSY2A04</v>
      </c>
      <c r="C174" s="355"/>
      <c r="E174" s="7"/>
      <c r="G174" s="366" t="s">
        <v>682</v>
      </c>
      <c r="H174" s="366"/>
      <c r="I174" s="366"/>
      <c r="J174" s="366"/>
      <c r="K174" s="366"/>
      <c r="L174" s="367"/>
      <c r="M174" s="31" t="s">
        <v>591</v>
      </c>
      <c r="N174" s="31" t="s">
        <v>592</v>
      </c>
      <c r="O174" s="31" t="s">
        <v>593</v>
      </c>
      <c r="P174" s="32" t="s">
        <v>594</v>
      </c>
      <c r="V174" s="7"/>
    </row>
    <row r="175" spans="2:22" ht="18" customHeight="1">
      <c r="B175" s="195"/>
      <c r="C175" s="195"/>
      <c r="E175" s="7"/>
      <c r="V175" s="7"/>
    </row>
    <row r="176" spans="2:22" ht="18" customHeight="1">
      <c r="B176" s="195"/>
      <c r="C176" s="195"/>
      <c r="E176" s="7"/>
      <c r="V176" s="7"/>
    </row>
    <row r="177" spans="2:22" ht="18" customHeight="1" thickBot="1">
      <c r="B177" s="195"/>
      <c r="C177" s="195"/>
      <c r="E177" s="7"/>
      <c r="F177" s="6" t="s">
        <v>683</v>
      </c>
      <c r="V177" s="7"/>
    </row>
    <row r="178" spans="2:22" ht="31.5" thickTop="1" thickBot="1">
      <c r="B178" s="195"/>
      <c r="C178" s="195"/>
      <c r="E178" s="7"/>
      <c r="G178" s="397" t="s">
        <v>643</v>
      </c>
      <c r="H178" s="397"/>
      <c r="I178" s="397"/>
      <c r="J178" s="397"/>
      <c r="K178" s="397"/>
      <c r="L178" s="398"/>
      <c r="M178" s="9" t="s">
        <v>622</v>
      </c>
      <c r="N178" s="9" t="s">
        <v>623</v>
      </c>
      <c r="O178" s="9" t="s">
        <v>107</v>
      </c>
      <c r="P178" s="10" t="s">
        <v>108</v>
      </c>
      <c r="V178" s="7"/>
    </row>
    <row r="179" spans="2:22" ht="18" customHeight="1" thickTop="1">
      <c r="B179" s="355" t="str">
        <f>HYPERLINK("#LAYOUT_e4!lay초YPSY3A01","YPSY3A01")</f>
        <v>YPSY3A01</v>
      </c>
      <c r="C179" s="355"/>
      <c r="E179" s="7"/>
      <c r="G179" s="366" t="s">
        <v>684</v>
      </c>
      <c r="H179" s="366"/>
      <c r="I179" s="366"/>
      <c r="J179" s="366"/>
      <c r="K179" s="366"/>
      <c r="L179" s="367"/>
      <c r="M179" s="20" t="s">
        <v>591</v>
      </c>
      <c r="N179" s="20" t="s">
        <v>592</v>
      </c>
      <c r="O179" s="20" t="s">
        <v>593</v>
      </c>
      <c r="P179" s="25" t="s">
        <v>594</v>
      </c>
      <c r="V179" s="7"/>
    </row>
    <row r="180" spans="2:22" ht="18" customHeight="1">
      <c r="B180" s="355" t="str">
        <f>HYPERLINK("#LAYOUT_e4!lay초YPSY3A02","YPSY3A02")</f>
        <v>YPSY3A02</v>
      </c>
      <c r="C180" s="355"/>
      <c r="E180" s="7"/>
      <c r="G180" s="366" t="s">
        <v>685</v>
      </c>
      <c r="H180" s="366"/>
      <c r="I180" s="366"/>
      <c r="J180" s="366"/>
      <c r="K180" s="366"/>
      <c r="L180" s="367"/>
      <c r="M180" s="22" t="s">
        <v>591</v>
      </c>
      <c r="N180" s="22" t="s">
        <v>592</v>
      </c>
      <c r="O180" s="22" t="s">
        <v>593</v>
      </c>
      <c r="P180" s="24" t="s">
        <v>594</v>
      </c>
      <c r="V180" s="7"/>
    </row>
    <row r="181" spans="2:22" ht="18" customHeight="1">
      <c r="B181" s="355" t="str">
        <f>HYPERLINK("#LAYOUT_e4!lay초YPSY3A03","YPSY3A03")</f>
        <v>YPSY3A03</v>
      </c>
      <c r="C181" s="355"/>
      <c r="E181" s="7"/>
      <c r="G181" s="366" t="s">
        <v>686</v>
      </c>
      <c r="H181" s="366"/>
      <c r="I181" s="366"/>
      <c r="J181" s="366"/>
      <c r="K181" s="366"/>
      <c r="L181" s="367"/>
      <c r="M181" s="22" t="s">
        <v>591</v>
      </c>
      <c r="N181" s="22" t="s">
        <v>592</v>
      </c>
      <c r="O181" s="22" t="s">
        <v>593</v>
      </c>
      <c r="P181" s="24" t="s">
        <v>594</v>
      </c>
      <c r="V181" s="7"/>
    </row>
    <row r="182" spans="2:22" ht="18" customHeight="1">
      <c r="B182" s="355" t="str">
        <f>HYPERLINK("#LAYOUT_e4!lay초YPSY3A04","YPSY3A04")</f>
        <v>YPSY3A04</v>
      </c>
      <c r="C182" s="355"/>
      <c r="E182" s="7"/>
      <c r="G182" s="366" t="s">
        <v>687</v>
      </c>
      <c r="H182" s="366"/>
      <c r="I182" s="366"/>
      <c r="J182" s="366"/>
      <c r="K182" s="366"/>
      <c r="L182" s="367"/>
      <c r="M182" s="22" t="s">
        <v>591</v>
      </c>
      <c r="N182" s="22" t="s">
        <v>592</v>
      </c>
      <c r="O182" s="22" t="s">
        <v>593</v>
      </c>
      <c r="P182" s="24" t="s">
        <v>594</v>
      </c>
      <c r="V182" s="7"/>
    </row>
    <row r="183" spans="2:22" ht="18" customHeight="1">
      <c r="B183" s="355" t="str">
        <f>HYPERLINK("#LAYOUT_e4!lay초YPSY3A05","YPSY3A05")</f>
        <v>YPSY3A05</v>
      </c>
      <c r="C183" s="355"/>
      <c r="E183" s="7"/>
      <c r="G183" s="366" t="s">
        <v>688</v>
      </c>
      <c r="H183" s="366"/>
      <c r="I183" s="366"/>
      <c r="J183" s="366"/>
      <c r="K183" s="366"/>
      <c r="L183" s="367"/>
      <c r="M183" s="22" t="s">
        <v>591</v>
      </c>
      <c r="N183" s="22" t="s">
        <v>592</v>
      </c>
      <c r="O183" s="22" t="s">
        <v>593</v>
      </c>
      <c r="P183" s="24" t="s">
        <v>594</v>
      </c>
      <c r="V183" s="7"/>
    </row>
    <row r="184" spans="2:22" ht="18" customHeight="1">
      <c r="B184" s="355" t="str">
        <f>HYPERLINK("#LAYOUT_e4!lay초YPSY3A06","YPSY3A06")</f>
        <v>YPSY3A06</v>
      </c>
      <c r="C184" s="355"/>
      <c r="E184" s="7"/>
      <c r="G184" s="366" t="s">
        <v>689</v>
      </c>
      <c r="H184" s="366"/>
      <c r="I184" s="366"/>
      <c r="J184" s="366"/>
      <c r="K184" s="366"/>
      <c r="L184" s="367"/>
      <c r="M184" s="22" t="s">
        <v>591</v>
      </c>
      <c r="N184" s="22" t="s">
        <v>592</v>
      </c>
      <c r="O184" s="22" t="s">
        <v>593</v>
      </c>
      <c r="P184" s="24" t="s">
        <v>594</v>
      </c>
      <c r="V184" s="7"/>
    </row>
    <row r="185" spans="2:22" ht="18" customHeight="1">
      <c r="B185" s="355" t="str">
        <f>HYPERLINK("#LAYOUT_e4!lay초YPSY3A07","YPSY3A07")</f>
        <v>YPSY3A07</v>
      </c>
      <c r="C185" s="355"/>
      <c r="E185" s="7"/>
      <c r="G185" s="366" t="s">
        <v>690</v>
      </c>
      <c r="H185" s="366"/>
      <c r="I185" s="366"/>
      <c r="J185" s="366"/>
      <c r="K185" s="366"/>
      <c r="L185" s="367"/>
      <c r="M185" s="22" t="s">
        <v>591</v>
      </c>
      <c r="N185" s="22" t="s">
        <v>592</v>
      </c>
      <c r="O185" s="22" t="s">
        <v>593</v>
      </c>
      <c r="P185" s="24" t="s">
        <v>594</v>
      </c>
      <c r="V185" s="7"/>
    </row>
    <row r="186" spans="2:22" ht="18" customHeight="1">
      <c r="B186" s="355" t="str">
        <f>HYPERLINK("#LAYOUT_e4!lay초YPSY3A08","YPSY3A08")</f>
        <v>YPSY3A08</v>
      </c>
      <c r="C186" s="355"/>
      <c r="E186" s="7"/>
      <c r="G186" s="366" t="s">
        <v>691</v>
      </c>
      <c r="H186" s="366"/>
      <c r="I186" s="366"/>
      <c r="J186" s="366"/>
      <c r="K186" s="366"/>
      <c r="L186" s="367"/>
      <c r="M186" s="22" t="s">
        <v>591</v>
      </c>
      <c r="N186" s="22" t="s">
        <v>592</v>
      </c>
      <c r="O186" s="22" t="s">
        <v>593</v>
      </c>
      <c r="P186" s="24" t="s">
        <v>594</v>
      </c>
      <c r="V186" s="7"/>
    </row>
    <row r="187" spans="2:22" ht="18" customHeight="1">
      <c r="B187" s="355" t="str">
        <f>HYPERLINK("#LAYOUT_e4!lay초YPSY3A09","YPSY3A09")</f>
        <v>YPSY3A09</v>
      </c>
      <c r="C187" s="355"/>
      <c r="E187" s="7"/>
      <c r="G187" s="366" t="s">
        <v>692</v>
      </c>
      <c r="H187" s="366"/>
      <c r="I187" s="366"/>
      <c r="J187" s="366"/>
      <c r="K187" s="366"/>
      <c r="L187" s="367"/>
      <c r="M187" s="22" t="s">
        <v>591</v>
      </c>
      <c r="N187" s="22" t="s">
        <v>592</v>
      </c>
      <c r="O187" s="22" t="s">
        <v>593</v>
      </c>
      <c r="P187" s="24" t="s">
        <v>594</v>
      </c>
      <c r="V187" s="7"/>
    </row>
    <row r="188" spans="2:22" ht="18" customHeight="1">
      <c r="B188" s="355" t="str">
        <f>HYPERLINK("#LAYOUT_e4!lay초YPSY3A10","YPSY3A10")</f>
        <v>YPSY3A10</v>
      </c>
      <c r="C188" s="355"/>
      <c r="E188" s="7"/>
      <c r="G188" s="366" t="s">
        <v>693</v>
      </c>
      <c r="H188" s="366"/>
      <c r="I188" s="366"/>
      <c r="J188" s="366"/>
      <c r="K188" s="366"/>
      <c r="L188" s="367"/>
      <c r="M188" s="22" t="s">
        <v>591</v>
      </c>
      <c r="N188" s="22" t="s">
        <v>592</v>
      </c>
      <c r="O188" s="22" t="s">
        <v>593</v>
      </c>
      <c r="P188" s="24" t="s">
        <v>594</v>
      </c>
      <c r="V188" s="7"/>
    </row>
    <row r="189" spans="2:22" ht="18" customHeight="1">
      <c r="B189" s="195"/>
      <c r="C189" s="195"/>
      <c r="E189" s="7"/>
      <c r="V189" s="7"/>
    </row>
    <row r="190" spans="2:22" ht="18" customHeight="1">
      <c r="B190" s="195"/>
      <c r="C190" s="195"/>
      <c r="E190" s="7"/>
      <c r="V190" s="7"/>
    </row>
    <row r="191" spans="2:22" ht="18" customHeight="1" thickBot="1">
      <c r="B191" s="195"/>
      <c r="C191" s="195"/>
      <c r="E191" s="7"/>
      <c r="F191" s="6" t="s">
        <v>694</v>
      </c>
      <c r="V191" s="7"/>
    </row>
    <row r="192" spans="2:22" ht="31.5" thickTop="1" thickBot="1">
      <c r="B192" s="195"/>
      <c r="C192" s="195"/>
      <c r="E192" s="7"/>
      <c r="G192" s="397" t="s">
        <v>643</v>
      </c>
      <c r="H192" s="397"/>
      <c r="I192" s="397"/>
      <c r="J192" s="397"/>
      <c r="K192" s="397"/>
      <c r="L192" s="398"/>
      <c r="M192" s="9" t="s">
        <v>622</v>
      </c>
      <c r="N192" s="9" t="s">
        <v>623</v>
      </c>
      <c r="O192" s="9" t="s">
        <v>107</v>
      </c>
      <c r="P192" s="10" t="s">
        <v>108</v>
      </c>
      <c r="V192" s="7"/>
    </row>
    <row r="193" spans="2:22" ht="18" customHeight="1" thickTop="1">
      <c r="B193" s="355" t="str">
        <f>HYPERLINK("#LAYOUT_e4!lay초YPSY4A01","YPSY4A01")</f>
        <v>YPSY4A01</v>
      </c>
      <c r="C193" s="355"/>
      <c r="E193" s="7"/>
      <c r="G193" s="366" t="s">
        <v>695</v>
      </c>
      <c r="H193" s="366"/>
      <c r="I193" s="366"/>
      <c r="J193" s="366"/>
      <c r="K193" s="366"/>
      <c r="L193" s="367"/>
      <c r="M193" s="20" t="s">
        <v>591</v>
      </c>
      <c r="N193" s="20" t="s">
        <v>592</v>
      </c>
      <c r="O193" s="20" t="s">
        <v>593</v>
      </c>
      <c r="P193" s="25" t="s">
        <v>594</v>
      </c>
      <c r="V193" s="7"/>
    </row>
    <row r="194" spans="2:22" ht="18" customHeight="1">
      <c r="B194" s="355" t="str">
        <f>HYPERLINK("#LAYOUT_e4!lay초YPSY4A02","YPSY4A02")</f>
        <v>YPSY4A02</v>
      </c>
      <c r="C194" s="355"/>
      <c r="E194" s="7"/>
      <c r="G194" s="366" t="s">
        <v>696</v>
      </c>
      <c r="H194" s="366"/>
      <c r="I194" s="366"/>
      <c r="J194" s="366"/>
      <c r="K194" s="366"/>
      <c r="L194" s="367"/>
      <c r="M194" s="22" t="s">
        <v>591</v>
      </c>
      <c r="N194" s="22" t="s">
        <v>592</v>
      </c>
      <c r="O194" s="22" t="s">
        <v>593</v>
      </c>
      <c r="P194" s="24" t="s">
        <v>594</v>
      </c>
      <c r="V194" s="7"/>
    </row>
    <row r="195" spans="2:22" ht="18" customHeight="1">
      <c r="B195" s="355" t="str">
        <f>HYPERLINK("#LAYOUT_e4!lay초YPSY4A03","YPSY4A03")</f>
        <v>YPSY4A03</v>
      </c>
      <c r="C195" s="355"/>
      <c r="E195" s="7"/>
      <c r="G195" s="366" t="s">
        <v>697</v>
      </c>
      <c r="H195" s="366"/>
      <c r="I195" s="366"/>
      <c r="J195" s="366"/>
      <c r="K195" s="366"/>
      <c r="L195" s="367"/>
      <c r="M195" s="22" t="s">
        <v>591</v>
      </c>
      <c r="N195" s="22" t="s">
        <v>592</v>
      </c>
      <c r="O195" s="22" t="s">
        <v>593</v>
      </c>
      <c r="P195" s="24" t="s">
        <v>594</v>
      </c>
      <c r="V195" s="7"/>
    </row>
    <row r="196" spans="2:22" ht="18" customHeight="1">
      <c r="B196" s="355" t="str">
        <f>HYPERLINK("#LAYOUT_e4!lay초YPSY4A04","YPSY4A04")</f>
        <v>YPSY4A04</v>
      </c>
      <c r="C196" s="355"/>
      <c r="E196" s="7"/>
      <c r="G196" s="366" t="s">
        <v>698</v>
      </c>
      <c r="H196" s="366"/>
      <c r="I196" s="366"/>
      <c r="J196" s="366"/>
      <c r="K196" s="366"/>
      <c r="L196" s="367"/>
      <c r="M196" s="22" t="s">
        <v>591</v>
      </c>
      <c r="N196" s="22" t="s">
        <v>592</v>
      </c>
      <c r="O196" s="22" t="s">
        <v>593</v>
      </c>
      <c r="P196" s="24" t="s">
        <v>594</v>
      </c>
      <c r="V196" s="7"/>
    </row>
    <row r="197" spans="2:22" ht="18" customHeight="1">
      <c r="B197" s="355" t="str">
        <f>HYPERLINK("#LAYOUT_e4!lay초YPSY4A05","YPSY4A05")</f>
        <v>YPSY4A05</v>
      </c>
      <c r="C197" s="355"/>
      <c r="E197" s="7"/>
      <c r="G197" s="366" t="s">
        <v>699</v>
      </c>
      <c r="H197" s="366"/>
      <c r="I197" s="366"/>
      <c r="J197" s="366"/>
      <c r="K197" s="366"/>
      <c r="L197" s="367"/>
      <c r="M197" s="22" t="s">
        <v>591</v>
      </c>
      <c r="N197" s="22" t="s">
        <v>592</v>
      </c>
      <c r="O197" s="22" t="s">
        <v>593</v>
      </c>
      <c r="P197" s="24" t="s">
        <v>594</v>
      </c>
      <c r="V197" s="7"/>
    </row>
    <row r="198" spans="2:22" ht="18" customHeight="1">
      <c r="B198" s="355" t="str">
        <f>HYPERLINK("#LAYOUT_e4!lay초YPSY4A06","YPSY4A06")</f>
        <v>YPSY4A06</v>
      </c>
      <c r="C198" s="355"/>
      <c r="E198" s="7"/>
      <c r="G198" s="366" t="s">
        <v>700</v>
      </c>
      <c r="H198" s="366"/>
      <c r="I198" s="366"/>
      <c r="J198" s="366"/>
      <c r="K198" s="366"/>
      <c r="L198" s="367"/>
      <c r="M198" s="22" t="s">
        <v>591</v>
      </c>
      <c r="N198" s="22" t="s">
        <v>592</v>
      </c>
      <c r="O198" s="22" t="s">
        <v>593</v>
      </c>
      <c r="P198" s="24" t="s">
        <v>594</v>
      </c>
      <c r="V198" s="7"/>
    </row>
    <row r="199" spans="2:22" ht="18" customHeight="1">
      <c r="B199" s="355" t="str">
        <f>HYPERLINK("#LAYOUT_e4!lay초YPSY4A07","YPSY4A07")</f>
        <v>YPSY4A07</v>
      </c>
      <c r="C199" s="355"/>
      <c r="E199" s="7"/>
      <c r="G199" s="366" t="s">
        <v>701</v>
      </c>
      <c r="H199" s="366"/>
      <c r="I199" s="366"/>
      <c r="J199" s="366"/>
      <c r="K199" s="366"/>
      <c r="L199" s="367"/>
      <c r="M199" s="22" t="s">
        <v>591</v>
      </c>
      <c r="N199" s="22" t="s">
        <v>592</v>
      </c>
      <c r="O199" s="22" t="s">
        <v>593</v>
      </c>
      <c r="P199" s="24" t="s">
        <v>594</v>
      </c>
      <c r="V199" s="7"/>
    </row>
    <row r="200" spans="2:22" ht="18" customHeight="1">
      <c r="B200" s="355" t="str">
        <f>HYPERLINK("#LAYOUT_e4!lay초YPSY4B01","YPSY4B01")</f>
        <v>YPSY4B01</v>
      </c>
      <c r="C200" s="355"/>
      <c r="E200" s="7"/>
      <c r="G200" s="366" t="s">
        <v>702</v>
      </c>
      <c r="H200" s="366"/>
      <c r="I200" s="366"/>
      <c r="J200" s="366"/>
      <c r="K200" s="366"/>
      <c r="L200" s="367"/>
      <c r="M200" s="22" t="s">
        <v>591</v>
      </c>
      <c r="N200" s="22" t="s">
        <v>592</v>
      </c>
      <c r="O200" s="22" t="s">
        <v>593</v>
      </c>
      <c r="P200" s="24" t="s">
        <v>594</v>
      </c>
      <c r="V200" s="7"/>
    </row>
    <row r="201" spans="2:22" ht="18" customHeight="1">
      <c r="B201" s="355" t="str">
        <f>HYPERLINK("#LAYOUT_e4!lay초YPSY4B02","YPSY4B02")</f>
        <v>YPSY4B02</v>
      </c>
      <c r="C201" s="355"/>
      <c r="E201" s="7"/>
      <c r="G201" s="366" t="s">
        <v>703</v>
      </c>
      <c r="H201" s="366"/>
      <c r="I201" s="366"/>
      <c r="J201" s="366"/>
      <c r="K201" s="366"/>
      <c r="L201" s="367"/>
      <c r="M201" s="22" t="s">
        <v>591</v>
      </c>
      <c r="N201" s="22" t="s">
        <v>592</v>
      </c>
      <c r="O201" s="22" t="s">
        <v>593</v>
      </c>
      <c r="P201" s="24" t="s">
        <v>594</v>
      </c>
      <c r="V201" s="7"/>
    </row>
    <row r="202" spans="2:22" ht="18" customHeight="1">
      <c r="B202" s="355" t="str">
        <f>HYPERLINK("#LAYOUT_e4!lay초YPSY4B03","YPSY4B03")</f>
        <v>YPSY4B03</v>
      </c>
      <c r="C202" s="355"/>
      <c r="E202" s="7"/>
      <c r="G202" s="366" t="s">
        <v>704</v>
      </c>
      <c r="H202" s="366"/>
      <c r="I202" s="366"/>
      <c r="J202" s="366"/>
      <c r="K202" s="366"/>
      <c r="L202" s="367"/>
      <c r="M202" s="22" t="s">
        <v>591</v>
      </c>
      <c r="N202" s="22" t="s">
        <v>592</v>
      </c>
      <c r="O202" s="22" t="s">
        <v>593</v>
      </c>
      <c r="P202" s="24" t="s">
        <v>594</v>
      </c>
      <c r="V202" s="7"/>
    </row>
    <row r="203" spans="2:22" ht="18" customHeight="1">
      <c r="B203" s="355" t="str">
        <f>HYPERLINK("#LAYOUT_e4!lay초YPSY4B04","YPSY4B04")</f>
        <v>YPSY4B04</v>
      </c>
      <c r="C203" s="355"/>
      <c r="E203" s="7"/>
      <c r="G203" s="366" t="s">
        <v>705</v>
      </c>
      <c r="H203" s="366"/>
      <c r="I203" s="366"/>
      <c r="J203" s="366"/>
      <c r="K203" s="366"/>
      <c r="L203" s="367"/>
      <c r="M203" s="22" t="s">
        <v>591</v>
      </c>
      <c r="N203" s="22" t="s">
        <v>592</v>
      </c>
      <c r="O203" s="22" t="s">
        <v>593</v>
      </c>
      <c r="P203" s="24" t="s">
        <v>594</v>
      </c>
      <c r="V203" s="7"/>
    </row>
    <row r="204" spans="2:22" ht="18" customHeight="1">
      <c r="B204" s="355" t="str">
        <f>HYPERLINK("#LAYOUT_e4!lay초YPSY4B05","YPSY4B05")</f>
        <v>YPSY4B05</v>
      </c>
      <c r="C204" s="355"/>
      <c r="E204" s="7"/>
      <c r="G204" s="366" t="s">
        <v>706</v>
      </c>
      <c r="H204" s="366"/>
      <c r="I204" s="366"/>
      <c r="J204" s="366"/>
      <c r="K204" s="366"/>
      <c r="L204" s="367"/>
      <c r="M204" s="22" t="s">
        <v>591</v>
      </c>
      <c r="N204" s="22" t="s">
        <v>592</v>
      </c>
      <c r="O204" s="22" t="s">
        <v>593</v>
      </c>
      <c r="P204" s="24" t="s">
        <v>594</v>
      </c>
      <c r="V204" s="7"/>
    </row>
    <row r="205" spans="2:22" ht="18" customHeight="1">
      <c r="B205" s="355" t="str">
        <f>HYPERLINK("#LAYOUT_e4!lay초YPSY4B06","YPSY4B06")</f>
        <v>YPSY4B06</v>
      </c>
      <c r="C205" s="355"/>
      <c r="E205" s="7"/>
      <c r="G205" s="366" t="s">
        <v>707</v>
      </c>
      <c r="H205" s="366"/>
      <c r="I205" s="366"/>
      <c r="J205" s="366"/>
      <c r="K205" s="366"/>
      <c r="L205" s="367"/>
      <c r="M205" s="22" t="s">
        <v>591</v>
      </c>
      <c r="N205" s="22" t="s">
        <v>592</v>
      </c>
      <c r="O205" s="22" t="s">
        <v>593</v>
      </c>
      <c r="P205" s="24" t="s">
        <v>594</v>
      </c>
      <c r="V205" s="7"/>
    </row>
    <row r="206" spans="2:22" ht="18" customHeight="1">
      <c r="B206" s="355" t="str">
        <f>HYPERLINK("#LAYOUT_e4!lay초YPSY4C01","YPSY4C01")</f>
        <v>YPSY4C01</v>
      </c>
      <c r="C206" s="355"/>
      <c r="E206" s="7"/>
      <c r="G206" s="366" t="s">
        <v>708</v>
      </c>
      <c r="H206" s="366"/>
      <c r="I206" s="366"/>
      <c r="J206" s="366"/>
      <c r="K206" s="366"/>
      <c r="L206" s="367"/>
      <c r="M206" s="22" t="s">
        <v>591</v>
      </c>
      <c r="N206" s="22" t="s">
        <v>592</v>
      </c>
      <c r="O206" s="22" t="s">
        <v>593</v>
      </c>
      <c r="P206" s="24" t="s">
        <v>594</v>
      </c>
      <c r="V206" s="7"/>
    </row>
    <row r="207" spans="2:22" ht="18" customHeight="1">
      <c r="B207" s="355" t="str">
        <f>HYPERLINK("#LAYOUT_e4!lay초YPSY4C02","YPSY4C02")</f>
        <v>YPSY4C02</v>
      </c>
      <c r="C207" s="355"/>
      <c r="E207" s="7"/>
      <c r="G207" s="366" t="s">
        <v>709</v>
      </c>
      <c r="H207" s="366"/>
      <c r="I207" s="366"/>
      <c r="J207" s="366"/>
      <c r="K207" s="366"/>
      <c r="L207" s="367"/>
      <c r="M207" s="22" t="s">
        <v>591</v>
      </c>
      <c r="N207" s="22" t="s">
        <v>592</v>
      </c>
      <c r="O207" s="22" t="s">
        <v>593</v>
      </c>
      <c r="P207" s="24" t="s">
        <v>594</v>
      </c>
      <c r="V207" s="7"/>
    </row>
    <row r="208" spans="2:22" ht="18" customHeight="1">
      <c r="B208" s="355" t="str">
        <f>HYPERLINK("#LAYOUT_e4!lay초YPSY4C03","YPSY4C03")</f>
        <v>YPSY4C03</v>
      </c>
      <c r="C208" s="355"/>
      <c r="E208" s="7"/>
      <c r="G208" s="366" t="s">
        <v>710</v>
      </c>
      <c r="H208" s="366"/>
      <c r="I208" s="366"/>
      <c r="J208" s="366"/>
      <c r="K208" s="366"/>
      <c r="L208" s="367"/>
      <c r="M208" s="22" t="s">
        <v>591</v>
      </c>
      <c r="N208" s="22" t="s">
        <v>592</v>
      </c>
      <c r="O208" s="22" t="s">
        <v>593</v>
      </c>
      <c r="P208" s="24" t="s">
        <v>594</v>
      </c>
      <c r="V208" s="7"/>
    </row>
    <row r="209" spans="2:22" ht="18" customHeight="1">
      <c r="B209" s="355" t="str">
        <f>HYPERLINK("#LAYOUT_e4!lay초YPSY4C04","YPSY4C04")</f>
        <v>YPSY4C04</v>
      </c>
      <c r="C209" s="355"/>
      <c r="E209" s="7"/>
      <c r="G209" s="366" t="s">
        <v>711</v>
      </c>
      <c r="H209" s="366"/>
      <c r="I209" s="366"/>
      <c r="J209" s="366"/>
      <c r="K209" s="366"/>
      <c r="L209" s="367"/>
      <c r="M209" s="22" t="s">
        <v>591</v>
      </c>
      <c r="N209" s="22" t="s">
        <v>592</v>
      </c>
      <c r="O209" s="22" t="s">
        <v>593</v>
      </c>
      <c r="P209" s="24" t="s">
        <v>594</v>
      </c>
      <c r="V209" s="7"/>
    </row>
    <row r="210" spans="2:22" ht="18" customHeight="1">
      <c r="B210" s="355" t="str">
        <f>HYPERLINK("#LAYOUT_e4!lay초YPSY4C05","YPSY4C05")</f>
        <v>YPSY4C05</v>
      </c>
      <c r="C210" s="355"/>
      <c r="E210" s="7"/>
      <c r="G210" s="366" t="s">
        <v>712</v>
      </c>
      <c r="H210" s="366"/>
      <c r="I210" s="366"/>
      <c r="J210" s="366"/>
      <c r="K210" s="366"/>
      <c r="L210" s="367"/>
      <c r="M210" s="22" t="s">
        <v>591</v>
      </c>
      <c r="N210" s="22" t="s">
        <v>592</v>
      </c>
      <c r="O210" s="22" t="s">
        <v>593</v>
      </c>
      <c r="P210" s="24" t="s">
        <v>594</v>
      </c>
      <c r="V210" s="7"/>
    </row>
    <row r="211" spans="2:22" ht="18" customHeight="1">
      <c r="B211" s="355" t="str">
        <f>HYPERLINK("#LAYOUT_e4!lay초YPSY4C06","YPSY4C06")</f>
        <v>YPSY4C06</v>
      </c>
      <c r="C211" s="355"/>
      <c r="E211" s="7"/>
      <c r="G211" s="366" t="s">
        <v>713</v>
      </c>
      <c r="H211" s="366"/>
      <c r="I211" s="366"/>
      <c r="J211" s="366"/>
      <c r="K211" s="366"/>
      <c r="L211" s="367"/>
      <c r="M211" s="22" t="s">
        <v>591</v>
      </c>
      <c r="N211" s="22" t="s">
        <v>592</v>
      </c>
      <c r="O211" s="22" t="s">
        <v>593</v>
      </c>
      <c r="P211" s="24" t="s">
        <v>594</v>
      </c>
      <c r="V211" s="7"/>
    </row>
    <row r="212" spans="2:22" ht="18" customHeight="1">
      <c r="B212" s="355" t="str">
        <f>HYPERLINK("#LAYOUT_e4!lay초YPSY4C07","YPSY4C07")</f>
        <v>YPSY4C07</v>
      </c>
      <c r="C212" s="355"/>
      <c r="E212" s="7"/>
      <c r="G212" s="366" t="s">
        <v>714</v>
      </c>
      <c r="H212" s="366"/>
      <c r="I212" s="366"/>
      <c r="J212" s="366"/>
      <c r="K212" s="366"/>
      <c r="L212" s="367"/>
      <c r="M212" s="22" t="s">
        <v>591</v>
      </c>
      <c r="N212" s="22" t="s">
        <v>592</v>
      </c>
      <c r="O212" s="22" t="s">
        <v>593</v>
      </c>
      <c r="P212" s="24" t="s">
        <v>594</v>
      </c>
      <c r="V212" s="7"/>
    </row>
    <row r="213" spans="2:22" ht="18" customHeight="1">
      <c r="B213" s="355" t="str">
        <f>HYPERLINK("#LAYOUT_e4!lay초YPSY4C08","YPSY4C08")</f>
        <v>YPSY4C08</v>
      </c>
      <c r="C213" s="355"/>
      <c r="E213" s="7"/>
      <c r="G213" s="366" t="s">
        <v>715</v>
      </c>
      <c r="H213" s="366"/>
      <c r="I213" s="366"/>
      <c r="J213" s="366"/>
      <c r="K213" s="366"/>
      <c r="L213" s="367"/>
      <c r="M213" s="22" t="s">
        <v>591</v>
      </c>
      <c r="N213" s="22" t="s">
        <v>592</v>
      </c>
      <c r="O213" s="22" t="s">
        <v>593</v>
      </c>
      <c r="P213" s="24" t="s">
        <v>594</v>
      </c>
      <c r="V213" s="7"/>
    </row>
    <row r="214" spans="2:22" ht="18" customHeight="1">
      <c r="B214" s="355" t="str">
        <f>HYPERLINK("#LAYOUT_e4!lay초YPSY4D01","YPSY4D01")</f>
        <v>YPSY4D01</v>
      </c>
      <c r="C214" s="355"/>
      <c r="E214" s="7"/>
      <c r="G214" s="366" t="s">
        <v>716</v>
      </c>
      <c r="H214" s="366"/>
      <c r="I214" s="366"/>
      <c r="J214" s="366"/>
      <c r="K214" s="366"/>
      <c r="L214" s="367"/>
      <c r="M214" s="22" t="s">
        <v>591</v>
      </c>
      <c r="N214" s="22" t="s">
        <v>592</v>
      </c>
      <c r="O214" s="22" t="s">
        <v>593</v>
      </c>
      <c r="P214" s="24" t="s">
        <v>594</v>
      </c>
      <c r="V214" s="7"/>
    </row>
    <row r="215" spans="2:22" ht="18" customHeight="1">
      <c r="B215" s="355" t="str">
        <f>HYPERLINK("#LAYOUT_e4!lay초YPSY4D02","YPSY4D02")</f>
        <v>YPSY4D02</v>
      </c>
      <c r="C215" s="355"/>
      <c r="E215" s="7"/>
      <c r="G215" s="366" t="s">
        <v>717</v>
      </c>
      <c r="H215" s="366"/>
      <c r="I215" s="366"/>
      <c r="J215" s="366"/>
      <c r="K215" s="366"/>
      <c r="L215" s="367"/>
      <c r="M215" s="22" t="s">
        <v>591</v>
      </c>
      <c r="N215" s="22" t="s">
        <v>592</v>
      </c>
      <c r="O215" s="22" t="s">
        <v>593</v>
      </c>
      <c r="P215" s="24" t="s">
        <v>594</v>
      </c>
      <c r="V215" s="7"/>
    </row>
    <row r="216" spans="2:22" ht="18" customHeight="1">
      <c r="B216" s="355" t="str">
        <f>HYPERLINK("#LAYOUT_e4!lay초YPSY4D03","YPSY4D03")</f>
        <v>YPSY4D03</v>
      </c>
      <c r="C216" s="355"/>
      <c r="E216" s="7"/>
      <c r="G216" s="366" t="s">
        <v>718</v>
      </c>
      <c r="H216" s="366"/>
      <c r="I216" s="366"/>
      <c r="J216" s="366"/>
      <c r="K216" s="366"/>
      <c r="L216" s="367"/>
      <c r="M216" s="22" t="s">
        <v>591</v>
      </c>
      <c r="N216" s="22" t="s">
        <v>592</v>
      </c>
      <c r="O216" s="22" t="s">
        <v>593</v>
      </c>
      <c r="P216" s="24" t="s">
        <v>594</v>
      </c>
      <c r="V216" s="7"/>
    </row>
    <row r="217" spans="2:22" ht="18" customHeight="1">
      <c r="B217" s="355" t="str">
        <f>HYPERLINK("#LAYOUT_e4!lay초YPSY4D04","YPSY4D04")</f>
        <v>YPSY4D04</v>
      </c>
      <c r="C217" s="355"/>
      <c r="E217" s="7"/>
      <c r="G217" s="366" t="s">
        <v>719</v>
      </c>
      <c r="H217" s="366"/>
      <c r="I217" s="366"/>
      <c r="J217" s="366"/>
      <c r="K217" s="366"/>
      <c r="L217" s="367"/>
      <c r="M217" s="22" t="s">
        <v>591</v>
      </c>
      <c r="N217" s="22" t="s">
        <v>592</v>
      </c>
      <c r="O217" s="22" t="s">
        <v>593</v>
      </c>
      <c r="P217" s="24" t="s">
        <v>594</v>
      </c>
      <c r="V217" s="7"/>
    </row>
    <row r="218" spans="2:22" ht="18" customHeight="1">
      <c r="B218" s="355" t="str">
        <f>HYPERLINK("#LAYOUT_e4!lay초YPSY4D05","YPSY4D05")</f>
        <v>YPSY4D05</v>
      </c>
      <c r="C218" s="355"/>
      <c r="E218" s="7"/>
      <c r="G218" s="366" t="s">
        <v>720</v>
      </c>
      <c r="H218" s="366"/>
      <c r="I218" s="366"/>
      <c r="J218" s="366"/>
      <c r="K218" s="366"/>
      <c r="L218" s="367"/>
      <c r="M218" s="22" t="s">
        <v>591</v>
      </c>
      <c r="N218" s="22" t="s">
        <v>592</v>
      </c>
      <c r="O218" s="22" t="s">
        <v>593</v>
      </c>
      <c r="P218" s="24" t="s">
        <v>594</v>
      </c>
      <c r="V218" s="7"/>
    </row>
    <row r="219" spans="2:22" ht="18" customHeight="1">
      <c r="B219" s="355" t="str">
        <f>HYPERLINK("#LAYOUT_e4!lay초YPSY4E01","YPSY4E01")</f>
        <v>YPSY4E01</v>
      </c>
      <c r="C219" s="355"/>
      <c r="E219" s="7"/>
      <c r="G219" s="366" t="s">
        <v>721</v>
      </c>
      <c r="H219" s="366"/>
      <c r="I219" s="366"/>
      <c r="J219" s="366"/>
      <c r="K219" s="366"/>
      <c r="L219" s="367"/>
      <c r="M219" s="22" t="s">
        <v>591</v>
      </c>
      <c r="N219" s="22" t="s">
        <v>592</v>
      </c>
      <c r="O219" s="22" t="s">
        <v>593</v>
      </c>
      <c r="P219" s="24" t="s">
        <v>594</v>
      </c>
      <c r="V219" s="7"/>
    </row>
    <row r="220" spans="2:22" ht="18" customHeight="1">
      <c r="B220" s="355" t="str">
        <f>HYPERLINK("#LAYOUT_e4!lay초YPSY4E02","YPSY4E02")</f>
        <v>YPSY4E02</v>
      </c>
      <c r="C220" s="355"/>
      <c r="E220" s="7"/>
      <c r="G220" s="366" t="s">
        <v>722</v>
      </c>
      <c r="H220" s="366"/>
      <c r="I220" s="366"/>
      <c r="J220" s="366"/>
      <c r="K220" s="366"/>
      <c r="L220" s="367"/>
      <c r="M220" s="22" t="s">
        <v>591</v>
      </c>
      <c r="N220" s="22" t="s">
        <v>592</v>
      </c>
      <c r="O220" s="22" t="s">
        <v>593</v>
      </c>
      <c r="P220" s="24" t="s">
        <v>594</v>
      </c>
      <c r="V220" s="7"/>
    </row>
    <row r="221" spans="2:22" ht="18" customHeight="1">
      <c r="B221" s="355" t="str">
        <f>HYPERLINK("#LAYOUT_e4!lay초YPSY4E03","YPSY4E03")</f>
        <v>YPSY4E03</v>
      </c>
      <c r="C221" s="355"/>
      <c r="E221" s="7"/>
      <c r="G221" s="366" t="s">
        <v>723</v>
      </c>
      <c r="H221" s="366"/>
      <c r="I221" s="366"/>
      <c r="J221" s="366"/>
      <c r="K221" s="366"/>
      <c r="L221" s="367"/>
      <c r="M221" s="22" t="s">
        <v>591</v>
      </c>
      <c r="N221" s="22" t="s">
        <v>592</v>
      </c>
      <c r="O221" s="22" t="s">
        <v>593</v>
      </c>
      <c r="P221" s="24" t="s">
        <v>594</v>
      </c>
      <c r="V221" s="7"/>
    </row>
    <row r="222" spans="2:22" ht="18" customHeight="1">
      <c r="B222" s="355" t="str">
        <f>HYPERLINK("#LAYOUT_e4!lay초YPSY4E04","YPSY4E04")</f>
        <v>YPSY4E04</v>
      </c>
      <c r="C222" s="355"/>
      <c r="E222" s="7"/>
      <c r="G222" s="366" t="s">
        <v>724</v>
      </c>
      <c r="H222" s="366"/>
      <c r="I222" s="366"/>
      <c r="J222" s="366"/>
      <c r="K222" s="366"/>
      <c r="L222" s="367"/>
      <c r="M222" s="22" t="s">
        <v>591</v>
      </c>
      <c r="N222" s="22" t="s">
        <v>592</v>
      </c>
      <c r="O222" s="22" t="s">
        <v>593</v>
      </c>
      <c r="P222" s="24" t="s">
        <v>594</v>
      </c>
      <c r="V222" s="7"/>
    </row>
    <row r="223" spans="2:22" ht="18" customHeight="1">
      <c r="B223" s="355" t="str">
        <f>HYPERLINK("#LAYOUT_e4!lay초YPSY4E05","YPSY4E05")</f>
        <v>YPSY4E05</v>
      </c>
      <c r="C223" s="355"/>
      <c r="E223" s="7"/>
      <c r="G223" s="366" t="s">
        <v>725</v>
      </c>
      <c r="H223" s="366"/>
      <c r="I223" s="366"/>
      <c r="J223" s="366"/>
      <c r="K223" s="366"/>
      <c r="L223" s="367"/>
      <c r="M223" s="22" t="s">
        <v>591</v>
      </c>
      <c r="N223" s="22" t="s">
        <v>592</v>
      </c>
      <c r="O223" s="22" t="s">
        <v>593</v>
      </c>
      <c r="P223" s="24" t="s">
        <v>594</v>
      </c>
      <c r="V223" s="7"/>
    </row>
    <row r="224" spans="2:22" ht="18" customHeight="1">
      <c r="B224" s="355" t="str">
        <f>HYPERLINK("#LAYOUT_e4!lay초YPSY4E06","YPSY4E06")</f>
        <v>YPSY4E06</v>
      </c>
      <c r="C224" s="355"/>
      <c r="E224" s="7"/>
      <c r="G224" s="366" t="s">
        <v>726</v>
      </c>
      <c r="H224" s="366"/>
      <c r="I224" s="366"/>
      <c r="J224" s="366"/>
      <c r="K224" s="366"/>
      <c r="L224" s="367"/>
      <c r="M224" s="22" t="s">
        <v>591</v>
      </c>
      <c r="N224" s="22" t="s">
        <v>592</v>
      </c>
      <c r="O224" s="22" t="s">
        <v>593</v>
      </c>
      <c r="P224" s="24" t="s">
        <v>594</v>
      </c>
      <c r="V224" s="7"/>
    </row>
    <row r="225" spans="2:22" ht="18" customHeight="1">
      <c r="B225" s="355" t="str">
        <f>HYPERLINK("#LAYOUT_e4!lay초YPSY4E07","YPSY4E07")</f>
        <v>YPSY4E07</v>
      </c>
      <c r="C225" s="355"/>
      <c r="E225" s="7"/>
      <c r="G225" s="366" t="s">
        <v>727</v>
      </c>
      <c r="H225" s="366"/>
      <c r="I225" s="366"/>
      <c r="J225" s="366"/>
      <c r="K225" s="366"/>
      <c r="L225" s="367"/>
      <c r="M225" s="22" t="s">
        <v>591</v>
      </c>
      <c r="N225" s="22" t="s">
        <v>592</v>
      </c>
      <c r="O225" s="22" t="s">
        <v>593</v>
      </c>
      <c r="P225" s="24" t="s">
        <v>594</v>
      </c>
      <c r="V225" s="7"/>
    </row>
    <row r="226" spans="2:22" ht="18" customHeight="1">
      <c r="B226" s="355" t="str">
        <f>HYPERLINK("#LAYOUT_e4!lay초YPSY4E08","YPSY4E08")</f>
        <v>YPSY4E08</v>
      </c>
      <c r="C226" s="355"/>
      <c r="E226" s="7"/>
      <c r="G226" s="366" t="s">
        <v>728</v>
      </c>
      <c r="H226" s="366"/>
      <c r="I226" s="366"/>
      <c r="J226" s="366"/>
      <c r="K226" s="366"/>
      <c r="L226" s="367"/>
      <c r="M226" s="22" t="s">
        <v>591</v>
      </c>
      <c r="N226" s="22" t="s">
        <v>592</v>
      </c>
      <c r="O226" s="22" t="s">
        <v>593</v>
      </c>
      <c r="P226" s="24" t="s">
        <v>594</v>
      </c>
      <c r="V226" s="7"/>
    </row>
    <row r="227" spans="2:22" ht="18" customHeight="1">
      <c r="B227" s="355" t="str">
        <f>HYPERLINK("#LAYOUT_e4!lay초YPSY4E09","YPSY4E09")</f>
        <v>YPSY4E09</v>
      </c>
      <c r="C227" s="355"/>
      <c r="E227" s="7"/>
      <c r="G227" s="366" t="s">
        <v>729</v>
      </c>
      <c r="H227" s="366"/>
      <c r="I227" s="366"/>
      <c r="J227" s="366"/>
      <c r="K227" s="366"/>
      <c r="L227" s="367"/>
      <c r="M227" s="22" t="s">
        <v>591</v>
      </c>
      <c r="N227" s="22" t="s">
        <v>592</v>
      </c>
      <c r="O227" s="22" t="s">
        <v>593</v>
      </c>
      <c r="P227" s="24" t="s">
        <v>594</v>
      </c>
      <c r="V227" s="7"/>
    </row>
    <row r="228" spans="2:22" ht="18" customHeight="1">
      <c r="B228" s="355" t="str">
        <f>HYPERLINK("#LAYOUT_e4!lay초YPSY4E10","YPSY4E10")</f>
        <v>YPSY4E10</v>
      </c>
      <c r="C228" s="355"/>
      <c r="E228" s="7"/>
      <c r="G228" s="366" t="s">
        <v>730</v>
      </c>
      <c r="H228" s="366"/>
      <c r="I228" s="366"/>
      <c r="J228" s="366"/>
      <c r="K228" s="366"/>
      <c r="L228" s="367"/>
      <c r="M228" s="22" t="s">
        <v>591</v>
      </c>
      <c r="N228" s="22" t="s">
        <v>592</v>
      </c>
      <c r="O228" s="22" t="s">
        <v>593</v>
      </c>
      <c r="P228" s="24" t="s">
        <v>594</v>
      </c>
      <c r="V228" s="7"/>
    </row>
    <row r="229" spans="2:22" ht="18" customHeight="1">
      <c r="B229" s="195"/>
      <c r="C229" s="195"/>
      <c r="E229" s="7"/>
      <c r="V229" s="7"/>
    </row>
    <row r="230" spans="2:22" ht="18" customHeight="1">
      <c r="B230" s="195"/>
      <c r="C230" s="195"/>
      <c r="E230" s="7"/>
      <c r="V230" s="7"/>
    </row>
    <row r="231" spans="2:22" ht="18" customHeight="1" thickBot="1">
      <c r="B231" s="195"/>
      <c r="C231" s="195"/>
      <c r="E231" s="7"/>
      <c r="F231" s="6" t="s">
        <v>731</v>
      </c>
      <c r="V231" s="7"/>
    </row>
    <row r="232" spans="2:22" ht="31.5" thickTop="1" thickBot="1">
      <c r="B232" s="195"/>
      <c r="C232" s="195"/>
      <c r="E232" s="7"/>
      <c r="G232" s="397" t="s">
        <v>643</v>
      </c>
      <c r="H232" s="397"/>
      <c r="I232" s="397"/>
      <c r="J232" s="397"/>
      <c r="K232" s="397"/>
      <c r="L232" s="398"/>
      <c r="M232" s="9" t="s">
        <v>622</v>
      </c>
      <c r="N232" s="9" t="s">
        <v>623</v>
      </c>
      <c r="O232" s="9" t="s">
        <v>107</v>
      </c>
      <c r="P232" s="10" t="s">
        <v>108</v>
      </c>
      <c r="V232" s="7"/>
    </row>
    <row r="233" spans="2:22" ht="18" customHeight="1" thickTop="1">
      <c r="B233" s="355" t="str">
        <f>HYPERLINK("#LAYOUT_e4!lay초YPSY5A01","YPSY5A01")</f>
        <v>YPSY5A01</v>
      </c>
      <c r="C233" s="355"/>
      <c r="E233" s="7"/>
      <c r="G233" s="366" t="s">
        <v>732</v>
      </c>
      <c r="H233" s="366"/>
      <c r="I233" s="366"/>
      <c r="J233" s="366"/>
      <c r="K233" s="366"/>
      <c r="L233" s="367"/>
      <c r="M233" s="20" t="s">
        <v>591</v>
      </c>
      <c r="N233" s="20" t="s">
        <v>592</v>
      </c>
      <c r="O233" s="20" t="s">
        <v>593</v>
      </c>
      <c r="P233" s="25" t="s">
        <v>594</v>
      </c>
      <c r="V233" s="7"/>
    </row>
    <row r="234" spans="2:22" ht="18" customHeight="1">
      <c r="B234" s="355" t="str">
        <f>HYPERLINK("#LAYOUT_e4!lay초YPSY5A02","YPSY5A02")</f>
        <v>YPSY5A02</v>
      </c>
      <c r="C234" s="355"/>
      <c r="E234" s="7"/>
      <c r="G234" s="366" t="s">
        <v>733</v>
      </c>
      <c r="H234" s="366"/>
      <c r="I234" s="366"/>
      <c r="J234" s="366"/>
      <c r="K234" s="366"/>
      <c r="L234" s="367"/>
      <c r="M234" s="22" t="s">
        <v>591</v>
      </c>
      <c r="N234" s="22" t="s">
        <v>592</v>
      </c>
      <c r="O234" s="22" t="s">
        <v>593</v>
      </c>
      <c r="P234" s="24" t="s">
        <v>594</v>
      </c>
      <c r="V234" s="7"/>
    </row>
    <row r="235" spans="2:22" ht="18" customHeight="1">
      <c r="B235" s="355" t="str">
        <f>HYPERLINK("#LAYOUT_e4!lay초YPSY5A03","YPSY5A03")</f>
        <v>YPSY5A03</v>
      </c>
      <c r="C235" s="355"/>
      <c r="E235" s="7"/>
      <c r="G235" s="366" t="s">
        <v>734</v>
      </c>
      <c r="H235" s="366"/>
      <c r="I235" s="366"/>
      <c r="J235" s="366"/>
      <c r="K235" s="366"/>
      <c r="L235" s="367"/>
      <c r="M235" s="22" t="s">
        <v>591</v>
      </c>
      <c r="N235" s="22" t="s">
        <v>592</v>
      </c>
      <c r="O235" s="22" t="s">
        <v>593</v>
      </c>
      <c r="P235" s="24" t="s">
        <v>594</v>
      </c>
      <c r="V235" s="7"/>
    </row>
    <row r="236" spans="2:22" ht="18" customHeight="1">
      <c r="B236" s="355" t="str">
        <f>HYPERLINK("#LAYOUT_e4!lay초YPSY5A04","YPSY5A04")</f>
        <v>YPSY5A04</v>
      </c>
      <c r="C236" s="355"/>
      <c r="E236" s="7"/>
      <c r="G236" s="366" t="s">
        <v>735</v>
      </c>
      <c r="H236" s="366"/>
      <c r="I236" s="366"/>
      <c r="J236" s="366"/>
      <c r="K236" s="366"/>
      <c r="L236" s="367"/>
      <c r="M236" s="22" t="s">
        <v>591</v>
      </c>
      <c r="N236" s="22" t="s">
        <v>592</v>
      </c>
      <c r="O236" s="22" t="s">
        <v>593</v>
      </c>
      <c r="P236" s="24" t="s">
        <v>594</v>
      </c>
      <c r="V236" s="7"/>
    </row>
    <row r="237" spans="2:22" ht="18" customHeight="1">
      <c r="B237" s="355" t="str">
        <f>HYPERLINK("#LAYOUT_e4!lay초YPSY5A05","YPSY5A05")</f>
        <v>YPSY5A05</v>
      </c>
      <c r="C237" s="355"/>
      <c r="E237" s="7"/>
      <c r="G237" s="366" t="s">
        <v>736</v>
      </c>
      <c r="H237" s="366"/>
      <c r="I237" s="366"/>
      <c r="J237" s="366"/>
      <c r="K237" s="366"/>
      <c r="L237" s="367"/>
      <c r="M237" s="22" t="s">
        <v>591</v>
      </c>
      <c r="N237" s="22" t="s">
        <v>592</v>
      </c>
      <c r="O237" s="22" t="s">
        <v>593</v>
      </c>
      <c r="P237" s="24" t="s">
        <v>594</v>
      </c>
      <c r="V237" s="7"/>
    </row>
    <row r="238" spans="2:22" ht="18" customHeight="1">
      <c r="B238" s="355" t="str">
        <f>HYPERLINK("#LAYOUT_e4!lay초YPSY5A06","YPSY5A06")</f>
        <v>YPSY5A06</v>
      </c>
      <c r="C238" s="355"/>
      <c r="E238" s="7"/>
      <c r="G238" s="366" t="s">
        <v>737</v>
      </c>
      <c r="H238" s="366"/>
      <c r="I238" s="366"/>
      <c r="J238" s="366"/>
      <c r="K238" s="366"/>
      <c r="L238" s="367"/>
      <c r="M238" s="22" t="s">
        <v>591</v>
      </c>
      <c r="N238" s="22" t="s">
        <v>592</v>
      </c>
      <c r="O238" s="22" t="s">
        <v>593</v>
      </c>
      <c r="P238" s="24" t="s">
        <v>594</v>
      </c>
      <c r="V238" s="7"/>
    </row>
    <row r="239" spans="2:22" ht="18" customHeight="1">
      <c r="B239" s="355" t="str">
        <f>HYPERLINK("#LAYOUT_e4!lay초YPSY5A07","YPSY5A07")</f>
        <v>YPSY5A07</v>
      </c>
      <c r="C239" s="355"/>
      <c r="E239" s="7"/>
      <c r="G239" s="366" t="s">
        <v>738</v>
      </c>
      <c r="H239" s="366"/>
      <c r="I239" s="366"/>
      <c r="J239" s="366"/>
      <c r="K239" s="366"/>
      <c r="L239" s="367"/>
      <c r="M239" s="22" t="s">
        <v>591</v>
      </c>
      <c r="N239" s="22" t="s">
        <v>592</v>
      </c>
      <c r="O239" s="22" t="s">
        <v>593</v>
      </c>
      <c r="P239" s="24" t="s">
        <v>594</v>
      </c>
      <c r="V239" s="7"/>
    </row>
    <row r="240" spans="2:22" ht="18" customHeight="1">
      <c r="B240" s="355" t="str">
        <f>HYPERLINK("#LAYOUT_e4!lay초YPSY5A08","YPSY5A08")</f>
        <v>YPSY5A08</v>
      </c>
      <c r="C240" s="355"/>
      <c r="E240" s="7"/>
      <c r="G240" s="366" t="s">
        <v>739</v>
      </c>
      <c r="H240" s="366"/>
      <c r="I240" s="366"/>
      <c r="J240" s="366"/>
      <c r="K240" s="366"/>
      <c r="L240" s="367"/>
      <c r="M240" s="22" t="s">
        <v>591</v>
      </c>
      <c r="N240" s="22" t="s">
        <v>592</v>
      </c>
      <c r="O240" s="22" t="s">
        <v>593</v>
      </c>
      <c r="P240" s="24" t="s">
        <v>594</v>
      </c>
      <c r="V240" s="7"/>
    </row>
    <row r="241" spans="2:22" ht="18" customHeight="1">
      <c r="B241" s="355" t="str">
        <f>HYPERLINK("#LAYOUT_e4!lay초YPSY5A09","YPSY5A09")</f>
        <v>YPSY5A09</v>
      </c>
      <c r="C241" s="355"/>
      <c r="E241" s="7"/>
      <c r="G241" s="366" t="s">
        <v>740</v>
      </c>
      <c r="H241" s="366"/>
      <c r="I241" s="366"/>
      <c r="J241" s="366"/>
      <c r="K241" s="366"/>
      <c r="L241" s="367"/>
      <c r="M241" s="22" t="s">
        <v>591</v>
      </c>
      <c r="N241" s="22" t="s">
        <v>592</v>
      </c>
      <c r="O241" s="22" t="s">
        <v>593</v>
      </c>
      <c r="P241" s="24" t="s">
        <v>594</v>
      </c>
      <c r="V241" s="7"/>
    </row>
    <row r="242" spans="2:22" ht="18" customHeight="1">
      <c r="B242" s="355" t="str">
        <f>HYPERLINK("#LAYOUT_e4!lay초YPSY5A10","YPSY5A10")</f>
        <v>YPSY5A10</v>
      </c>
      <c r="C242" s="355"/>
      <c r="E242" s="7"/>
      <c r="G242" s="366" t="s">
        <v>741</v>
      </c>
      <c r="H242" s="366"/>
      <c r="I242" s="366"/>
      <c r="J242" s="366"/>
      <c r="K242" s="366"/>
      <c r="L242" s="367"/>
      <c r="M242" s="22" t="s">
        <v>591</v>
      </c>
      <c r="N242" s="22" t="s">
        <v>592</v>
      </c>
      <c r="O242" s="22" t="s">
        <v>593</v>
      </c>
      <c r="P242" s="24" t="s">
        <v>594</v>
      </c>
      <c r="V242" s="7"/>
    </row>
    <row r="243" spans="2:22" ht="18" customHeight="1">
      <c r="B243" s="355" t="str">
        <f>HYPERLINK("#LAYOUT_e4!lay초YPSY5A11","YPSY5A11")</f>
        <v>YPSY5A11</v>
      </c>
      <c r="C243" s="355"/>
      <c r="E243" s="7"/>
      <c r="G243" s="366" t="s">
        <v>742</v>
      </c>
      <c r="H243" s="366"/>
      <c r="I243" s="366"/>
      <c r="J243" s="366"/>
      <c r="K243" s="366"/>
      <c r="L243" s="367"/>
      <c r="M243" s="22" t="s">
        <v>591</v>
      </c>
      <c r="N243" s="22" t="s">
        <v>592</v>
      </c>
      <c r="O243" s="22" t="s">
        <v>593</v>
      </c>
      <c r="P243" s="24" t="s">
        <v>594</v>
      </c>
      <c r="V243" s="7"/>
    </row>
    <row r="244" spans="2:22" ht="18" customHeight="1">
      <c r="B244" s="355" t="str">
        <f>HYPERLINK("#LAYOUT_e4!lay초YPSY5A12","YPSY5A12")</f>
        <v>YPSY5A12</v>
      </c>
      <c r="C244" s="355"/>
      <c r="E244" s="7"/>
      <c r="G244" s="366" t="s">
        <v>743</v>
      </c>
      <c r="H244" s="366"/>
      <c r="I244" s="366"/>
      <c r="J244" s="366"/>
      <c r="K244" s="366"/>
      <c r="L244" s="367"/>
      <c r="M244" s="22" t="s">
        <v>591</v>
      </c>
      <c r="N244" s="22" t="s">
        <v>592</v>
      </c>
      <c r="O244" s="22" t="s">
        <v>593</v>
      </c>
      <c r="P244" s="24" t="s">
        <v>594</v>
      </c>
      <c r="V244" s="7"/>
    </row>
    <row r="245" spans="2:22" ht="18" customHeight="1">
      <c r="B245" s="355" t="str">
        <f>HYPERLINK("#LAYOUT_e4!lay초YPSY5A13","YPSY5A13")</f>
        <v>YPSY5A13</v>
      </c>
      <c r="C245" s="355"/>
      <c r="E245" s="7"/>
      <c r="G245" s="366" t="s">
        <v>744</v>
      </c>
      <c r="H245" s="366"/>
      <c r="I245" s="366"/>
      <c r="J245" s="366"/>
      <c r="K245" s="366"/>
      <c r="L245" s="367"/>
      <c r="M245" s="22" t="s">
        <v>591</v>
      </c>
      <c r="N245" s="22" t="s">
        <v>592</v>
      </c>
      <c r="O245" s="22" t="s">
        <v>593</v>
      </c>
      <c r="P245" s="24" t="s">
        <v>594</v>
      </c>
      <c r="V245" s="7"/>
    </row>
    <row r="246" spans="2:22" ht="18" customHeight="1">
      <c r="B246" s="355" t="str">
        <f>HYPERLINK("#LAYOUT_e4!lay초YPSY5A14","YPSY5A14")</f>
        <v>YPSY5A14</v>
      </c>
      <c r="C246" s="355"/>
      <c r="E246" s="7"/>
      <c r="G246" s="366" t="s">
        <v>745</v>
      </c>
      <c r="H246" s="366"/>
      <c r="I246" s="366"/>
      <c r="J246" s="366"/>
      <c r="K246" s="366"/>
      <c r="L246" s="367"/>
      <c r="M246" s="22" t="s">
        <v>591</v>
      </c>
      <c r="N246" s="22" t="s">
        <v>592</v>
      </c>
      <c r="O246" s="22" t="s">
        <v>593</v>
      </c>
      <c r="P246" s="24" t="s">
        <v>594</v>
      </c>
      <c r="V246" s="7"/>
    </row>
    <row r="247" spans="2:22" ht="18" customHeight="1">
      <c r="B247" s="195"/>
      <c r="C247" s="195"/>
      <c r="E247" s="7"/>
      <c r="V247" s="7"/>
    </row>
    <row r="248" spans="2:22" ht="18" customHeight="1">
      <c r="B248" s="195"/>
      <c r="C248" s="195"/>
      <c r="E248" s="7"/>
      <c r="V248" s="7"/>
    </row>
    <row r="249" spans="2:22" ht="18" customHeight="1" thickBot="1">
      <c r="B249" s="195"/>
      <c r="C249" s="195"/>
      <c r="E249" s="7"/>
      <c r="F249" s="6" t="s">
        <v>746</v>
      </c>
      <c r="V249" s="7"/>
    </row>
    <row r="250" spans="2:22" ht="31.5" thickTop="1" thickBot="1">
      <c r="B250" s="195"/>
      <c r="C250" s="195"/>
      <c r="E250" s="7"/>
      <c r="G250" s="397" t="s">
        <v>643</v>
      </c>
      <c r="H250" s="397"/>
      <c r="I250" s="397"/>
      <c r="J250" s="397"/>
      <c r="K250" s="397"/>
      <c r="L250" s="398"/>
      <c r="M250" s="9" t="s">
        <v>622</v>
      </c>
      <c r="N250" s="9" t="s">
        <v>623</v>
      </c>
      <c r="O250" s="9" t="s">
        <v>107</v>
      </c>
      <c r="P250" s="10" t="s">
        <v>108</v>
      </c>
      <c r="V250" s="7"/>
    </row>
    <row r="251" spans="2:22" ht="18" customHeight="1" thickTop="1">
      <c r="B251" s="355" t="str">
        <f>HYPERLINK("#LAYOUT_e4!lay초YPSY7A01","YPSY7A01")</f>
        <v>YPSY7A01</v>
      </c>
      <c r="C251" s="355"/>
      <c r="E251" s="7"/>
      <c r="G251" s="366" t="s">
        <v>747</v>
      </c>
      <c r="H251" s="366"/>
      <c r="I251" s="366"/>
      <c r="J251" s="366"/>
      <c r="K251" s="366"/>
      <c r="L251" s="367"/>
      <c r="M251" s="20" t="s">
        <v>591</v>
      </c>
      <c r="N251" s="20" t="s">
        <v>592</v>
      </c>
      <c r="O251" s="20" t="s">
        <v>593</v>
      </c>
      <c r="P251" s="25" t="s">
        <v>594</v>
      </c>
      <c r="V251" s="7"/>
    </row>
    <row r="252" spans="2:22" ht="31.5" customHeight="1">
      <c r="B252" s="355" t="str">
        <f>HYPERLINK("#LAYOUT_e4!lay초YPSY7A02","YPSY7A02")</f>
        <v>YPSY7A02</v>
      </c>
      <c r="C252" s="355"/>
      <c r="E252" s="7"/>
      <c r="G252" s="366" t="s">
        <v>748</v>
      </c>
      <c r="H252" s="366"/>
      <c r="I252" s="366"/>
      <c r="J252" s="366"/>
      <c r="K252" s="366"/>
      <c r="L252" s="367"/>
      <c r="M252" s="22" t="s">
        <v>591</v>
      </c>
      <c r="N252" s="22" t="s">
        <v>592</v>
      </c>
      <c r="O252" s="22" t="s">
        <v>593</v>
      </c>
      <c r="P252" s="24" t="s">
        <v>594</v>
      </c>
      <c r="V252" s="7"/>
    </row>
    <row r="253" spans="2:22" ht="18" customHeight="1">
      <c r="B253" s="355" t="str">
        <f>HYPERLINK("#LAYOUT_e4!lay초YPSY7A03","YPSY7A03")</f>
        <v>YPSY7A03</v>
      </c>
      <c r="C253" s="355"/>
      <c r="E253" s="7"/>
      <c r="G253" s="366" t="s">
        <v>749</v>
      </c>
      <c r="H253" s="366"/>
      <c r="I253" s="366"/>
      <c r="J253" s="366"/>
      <c r="K253" s="366"/>
      <c r="L253" s="367"/>
      <c r="M253" s="22" t="s">
        <v>591</v>
      </c>
      <c r="N253" s="22" t="s">
        <v>592</v>
      </c>
      <c r="O253" s="22" t="s">
        <v>593</v>
      </c>
      <c r="P253" s="24" t="s">
        <v>594</v>
      </c>
      <c r="V253" s="7"/>
    </row>
    <row r="254" spans="2:22" ht="18" customHeight="1">
      <c r="B254" s="355" t="str">
        <f>HYPERLINK("#LAYOUT_e4!lay초YPSY7A04","YPSY7A04")</f>
        <v>YPSY7A04</v>
      </c>
      <c r="C254" s="355"/>
      <c r="E254" s="7"/>
      <c r="G254" s="366" t="s">
        <v>750</v>
      </c>
      <c r="H254" s="366"/>
      <c r="I254" s="366"/>
      <c r="J254" s="366"/>
      <c r="K254" s="366"/>
      <c r="L254" s="367"/>
      <c r="M254" s="22" t="s">
        <v>591</v>
      </c>
      <c r="N254" s="22" t="s">
        <v>592</v>
      </c>
      <c r="O254" s="22" t="s">
        <v>593</v>
      </c>
      <c r="P254" s="24" t="s">
        <v>594</v>
      </c>
      <c r="V254" s="7"/>
    </row>
    <row r="255" spans="2:22" ht="18" customHeight="1">
      <c r="B255" s="355" t="str">
        <f>HYPERLINK("#LAYOUT_e4!lay초YPSY7A05","YPSY7A05")</f>
        <v>YPSY7A05</v>
      </c>
      <c r="C255" s="355"/>
      <c r="E255" s="7"/>
      <c r="G255" s="366" t="s">
        <v>751</v>
      </c>
      <c r="H255" s="366"/>
      <c r="I255" s="366"/>
      <c r="J255" s="366"/>
      <c r="K255" s="366"/>
      <c r="L255" s="367"/>
      <c r="M255" s="22" t="s">
        <v>591</v>
      </c>
      <c r="N255" s="22" t="s">
        <v>592</v>
      </c>
      <c r="O255" s="22" t="s">
        <v>593</v>
      </c>
      <c r="P255" s="24" t="s">
        <v>594</v>
      </c>
      <c r="V255" s="7"/>
    </row>
    <row r="256" spans="2:22" ht="18" customHeight="1">
      <c r="B256" s="355" t="str">
        <f>HYPERLINK("#LAYOUT_e4!lay초YPSY7A06","YPSY7A06")</f>
        <v>YPSY7A06</v>
      </c>
      <c r="C256" s="355"/>
      <c r="E256" s="7"/>
      <c r="G256" s="366" t="s">
        <v>752</v>
      </c>
      <c r="H256" s="366"/>
      <c r="I256" s="366"/>
      <c r="J256" s="366"/>
      <c r="K256" s="366"/>
      <c r="L256" s="367"/>
      <c r="M256" s="22" t="s">
        <v>591</v>
      </c>
      <c r="N256" s="22" t="s">
        <v>592</v>
      </c>
      <c r="O256" s="22" t="s">
        <v>593</v>
      </c>
      <c r="P256" s="24" t="s">
        <v>594</v>
      </c>
      <c r="V256" s="7"/>
    </row>
    <row r="257" spans="2:22" ht="18" customHeight="1">
      <c r="B257" s="355" t="str">
        <f>HYPERLINK("#LAYOUT_e4!lay초YPSY7A07","YPSY7A07")</f>
        <v>YPSY7A07</v>
      </c>
      <c r="C257" s="355"/>
      <c r="E257" s="7"/>
      <c r="G257" s="366" t="s">
        <v>753</v>
      </c>
      <c r="H257" s="366"/>
      <c r="I257" s="366"/>
      <c r="J257" s="366"/>
      <c r="K257" s="366"/>
      <c r="L257" s="367"/>
      <c r="M257" s="22" t="s">
        <v>591</v>
      </c>
      <c r="N257" s="22" t="s">
        <v>592</v>
      </c>
      <c r="O257" s="22" t="s">
        <v>593</v>
      </c>
      <c r="P257" s="24" t="s">
        <v>594</v>
      </c>
      <c r="V257" s="7"/>
    </row>
    <row r="258" spans="2:22" ht="18" customHeight="1">
      <c r="B258" s="355" t="str">
        <f>HYPERLINK("#LAYOUT_e4!lay초YPSY7A08","YPSY7A08")</f>
        <v>YPSY7A08</v>
      </c>
      <c r="C258" s="355"/>
      <c r="E258" s="7"/>
      <c r="G258" s="366" t="s">
        <v>754</v>
      </c>
      <c r="H258" s="366"/>
      <c r="I258" s="366"/>
      <c r="J258" s="366"/>
      <c r="K258" s="366"/>
      <c r="L258" s="367"/>
      <c r="M258" s="22" t="s">
        <v>591</v>
      </c>
      <c r="N258" s="22" t="s">
        <v>592</v>
      </c>
      <c r="O258" s="22" t="s">
        <v>593</v>
      </c>
      <c r="P258" s="24" t="s">
        <v>594</v>
      </c>
      <c r="V258" s="7"/>
    </row>
    <row r="259" spans="2:22" ht="18" customHeight="1">
      <c r="B259" s="195"/>
      <c r="C259" s="195"/>
      <c r="E259" s="7"/>
      <c r="V259" s="7"/>
    </row>
    <row r="260" spans="2:22" ht="18" customHeight="1">
      <c r="B260" s="195"/>
      <c r="C260" s="195"/>
      <c r="E260" s="7"/>
      <c r="V260" s="7"/>
    </row>
    <row r="261" spans="2:22" ht="18" customHeight="1">
      <c r="B261" s="195"/>
      <c r="C261" s="195"/>
      <c r="E261" s="7"/>
      <c r="F261" s="6" t="s">
        <v>755</v>
      </c>
      <c r="V261" s="7"/>
    </row>
    <row r="262" spans="2:22" ht="18" customHeight="1" thickBot="1">
      <c r="B262" s="195"/>
      <c r="C262" s="195"/>
      <c r="E262" s="7"/>
      <c r="G262" s="6" t="s">
        <v>756</v>
      </c>
      <c r="V262" s="7"/>
    </row>
    <row r="263" spans="2:22" ht="18" customHeight="1" thickTop="1" thickBot="1">
      <c r="B263" s="195"/>
      <c r="C263" s="195"/>
      <c r="E263" s="7"/>
      <c r="G263" s="401" t="s">
        <v>757</v>
      </c>
      <c r="H263" s="402"/>
      <c r="I263" s="368" t="s">
        <v>758</v>
      </c>
      <c r="J263" s="368"/>
      <c r="V263" s="7"/>
    </row>
    <row r="264" spans="2:22" ht="18" customHeight="1" thickTop="1">
      <c r="B264" s="195" t="str">
        <f>HYPERLINK("#LAYOUT_e4!lay초YFAM1A01","YFAM1A01")</f>
        <v>YFAM1A01</v>
      </c>
      <c r="C264" s="195" t="str">
        <f>HYPERLINK("#LAYOUT_e4!lay초YFAM1A03","YFAM1A03")</f>
        <v>YFAM1A03</v>
      </c>
      <c r="E264" s="7"/>
      <c r="G264" s="399" t="s">
        <v>1593</v>
      </c>
      <c r="H264" s="400"/>
      <c r="I264" s="399" t="s">
        <v>1594</v>
      </c>
      <c r="J264" s="399"/>
      <c r="V264" s="7"/>
    </row>
    <row r="265" spans="2:22" ht="18" customHeight="1">
      <c r="B265" s="195" t="str">
        <f>HYPERLINK("#LAYOUT_e4!lay초YFAM1A02","YFAM1A02")</f>
        <v>YFAM1A02</v>
      </c>
      <c r="C265" s="195" t="str">
        <f>HYPERLINK("#LAYOUT_e4!lay초YFAM1A04","YFAM1A04")</f>
        <v>YFAM1A04</v>
      </c>
      <c r="E265" s="7"/>
      <c r="G265" s="403" t="s">
        <v>1595</v>
      </c>
      <c r="H265" s="404"/>
      <c r="I265" s="405" t="s">
        <v>1595</v>
      </c>
      <c r="J265" s="405"/>
      <c r="V265" s="7"/>
    </row>
    <row r="266" spans="2:22" ht="18" customHeight="1">
      <c r="B266" s="195"/>
      <c r="C266" s="195"/>
      <c r="E266" s="7"/>
      <c r="V266" s="7"/>
    </row>
    <row r="267" spans="2:22" ht="18" customHeight="1">
      <c r="B267" s="195"/>
      <c r="C267" s="195"/>
      <c r="E267" s="7"/>
      <c r="V267" s="7"/>
    </row>
    <row r="268" spans="2:22" ht="18" customHeight="1" thickBot="1">
      <c r="B268" s="195"/>
      <c r="C268" s="195"/>
      <c r="E268" s="7"/>
      <c r="F268" s="6" t="s">
        <v>759</v>
      </c>
      <c r="V268" s="7"/>
    </row>
    <row r="269" spans="2:22" ht="31.5" thickTop="1" thickBot="1">
      <c r="B269" s="195"/>
      <c r="C269" s="195"/>
      <c r="E269" s="7"/>
      <c r="G269" s="397" t="s">
        <v>643</v>
      </c>
      <c r="H269" s="397"/>
      <c r="I269" s="397"/>
      <c r="J269" s="397"/>
      <c r="K269" s="397"/>
      <c r="L269" s="398"/>
      <c r="M269" s="9" t="s">
        <v>622</v>
      </c>
      <c r="N269" s="9" t="s">
        <v>623</v>
      </c>
      <c r="O269" s="9" t="s">
        <v>107</v>
      </c>
      <c r="P269" s="10" t="s">
        <v>108</v>
      </c>
      <c r="V269" s="7"/>
    </row>
    <row r="270" spans="2:22" ht="18" customHeight="1" thickTop="1">
      <c r="B270" s="355" t="str">
        <f>HYPERLINK("#LAYOUT_e4!lay초YFAM2A01","YFAM2A01")</f>
        <v>YFAM2A01</v>
      </c>
      <c r="C270" s="355"/>
      <c r="E270" s="7"/>
      <c r="G270" s="366" t="s">
        <v>760</v>
      </c>
      <c r="H270" s="366"/>
      <c r="I270" s="366"/>
      <c r="J270" s="366"/>
      <c r="K270" s="366"/>
      <c r="L270" s="367"/>
      <c r="M270" s="20" t="s">
        <v>591</v>
      </c>
      <c r="N270" s="20" t="s">
        <v>592</v>
      </c>
      <c r="O270" s="20" t="s">
        <v>593</v>
      </c>
      <c r="P270" s="25" t="s">
        <v>594</v>
      </c>
      <c r="V270" s="7"/>
    </row>
    <row r="271" spans="2:22" ht="18" customHeight="1">
      <c r="B271" s="355" t="str">
        <f>HYPERLINK("#LAYOUT_e4!lay초YFAM2A02","YFAM2A02")</f>
        <v>YFAM2A02</v>
      </c>
      <c r="C271" s="355"/>
      <c r="E271" s="7"/>
      <c r="G271" s="366" t="s">
        <v>761</v>
      </c>
      <c r="H271" s="366"/>
      <c r="I271" s="366"/>
      <c r="J271" s="366"/>
      <c r="K271" s="366"/>
      <c r="L271" s="367"/>
      <c r="M271" s="22" t="s">
        <v>591</v>
      </c>
      <c r="N271" s="22" t="s">
        <v>592</v>
      </c>
      <c r="O271" s="22" t="s">
        <v>593</v>
      </c>
      <c r="P271" s="24" t="s">
        <v>594</v>
      </c>
      <c r="V271" s="7"/>
    </row>
    <row r="272" spans="2:22" ht="18" customHeight="1">
      <c r="B272" s="355" t="str">
        <f>HYPERLINK("#LAYOUT_e4!lay초YFAM2A03","YFAM2A03")</f>
        <v>YFAM2A03</v>
      </c>
      <c r="C272" s="355"/>
      <c r="E272" s="7"/>
      <c r="G272" s="366" t="s">
        <v>762</v>
      </c>
      <c r="H272" s="366"/>
      <c r="I272" s="366"/>
      <c r="J272" s="366"/>
      <c r="K272" s="366"/>
      <c r="L272" s="367"/>
      <c r="M272" s="22" t="s">
        <v>591</v>
      </c>
      <c r="N272" s="22" t="s">
        <v>592</v>
      </c>
      <c r="O272" s="22" t="s">
        <v>593</v>
      </c>
      <c r="P272" s="24" t="s">
        <v>594</v>
      </c>
      <c r="V272" s="7"/>
    </row>
    <row r="273" spans="2:22" ht="18" customHeight="1">
      <c r="B273" s="355" t="str">
        <f>HYPERLINK("#LAYOUT_e4!lay초YFAM2A04","YFAM2A04")</f>
        <v>YFAM2A04</v>
      </c>
      <c r="C273" s="355"/>
      <c r="E273" s="7"/>
      <c r="G273" s="366" t="s">
        <v>763</v>
      </c>
      <c r="H273" s="366"/>
      <c r="I273" s="366"/>
      <c r="J273" s="366"/>
      <c r="K273" s="366"/>
      <c r="L273" s="367"/>
      <c r="M273" s="22" t="s">
        <v>591</v>
      </c>
      <c r="N273" s="22" t="s">
        <v>592</v>
      </c>
      <c r="O273" s="22" t="s">
        <v>593</v>
      </c>
      <c r="P273" s="24" t="s">
        <v>594</v>
      </c>
      <c r="V273" s="7"/>
    </row>
    <row r="274" spans="2:22" ht="18" customHeight="1">
      <c r="B274" s="355" t="str">
        <f>HYPERLINK("#LAYOUT_e4!lay초YFAM2B01","YFAM2B01")</f>
        <v>YFAM2B01</v>
      </c>
      <c r="C274" s="355"/>
      <c r="E274" s="7"/>
      <c r="G274" s="366" t="s">
        <v>764</v>
      </c>
      <c r="H274" s="366"/>
      <c r="I274" s="366"/>
      <c r="J274" s="366"/>
      <c r="K274" s="366"/>
      <c r="L274" s="367"/>
      <c r="M274" s="22" t="s">
        <v>591</v>
      </c>
      <c r="N274" s="22" t="s">
        <v>592</v>
      </c>
      <c r="O274" s="22" t="s">
        <v>593</v>
      </c>
      <c r="P274" s="24" t="s">
        <v>594</v>
      </c>
      <c r="V274" s="7"/>
    </row>
    <row r="275" spans="2:22" ht="18" customHeight="1">
      <c r="B275" s="355" t="str">
        <f>HYPERLINK("#LAYOUT_e4!lay초YFAM2B02","YFAM2B02")</f>
        <v>YFAM2B02</v>
      </c>
      <c r="C275" s="355"/>
      <c r="E275" s="7"/>
      <c r="G275" s="366" t="s">
        <v>765</v>
      </c>
      <c r="H275" s="366"/>
      <c r="I275" s="366"/>
      <c r="J275" s="366"/>
      <c r="K275" s="366"/>
      <c r="L275" s="367"/>
      <c r="M275" s="22" t="s">
        <v>591</v>
      </c>
      <c r="N275" s="22" t="s">
        <v>592</v>
      </c>
      <c r="O275" s="22" t="s">
        <v>593</v>
      </c>
      <c r="P275" s="24" t="s">
        <v>594</v>
      </c>
      <c r="V275" s="7"/>
    </row>
    <row r="276" spans="2:22" ht="18" customHeight="1">
      <c r="B276" s="355" t="str">
        <f>HYPERLINK("#LAYOUT_e4!lay초YFAM2B03","YFAM2B03")</f>
        <v>YFAM2B03</v>
      </c>
      <c r="C276" s="355"/>
      <c r="E276" s="7"/>
      <c r="G276" s="366" t="s">
        <v>766</v>
      </c>
      <c r="H276" s="366"/>
      <c r="I276" s="366"/>
      <c r="J276" s="366"/>
      <c r="K276" s="366"/>
      <c r="L276" s="367"/>
      <c r="M276" s="22" t="s">
        <v>591</v>
      </c>
      <c r="N276" s="22" t="s">
        <v>592</v>
      </c>
      <c r="O276" s="22" t="s">
        <v>593</v>
      </c>
      <c r="P276" s="24" t="s">
        <v>594</v>
      </c>
      <c r="V276" s="7"/>
    </row>
    <row r="277" spans="2:22" ht="18" customHeight="1">
      <c r="B277" s="355" t="str">
        <f>HYPERLINK("#LAYOUT_e4!lay초YFAM2B04","YFAM2B04")</f>
        <v>YFAM2B04</v>
      </c>
      <c r="C277" s="355"/>
      <c r="E277" s="7"/>
      <c r="G277" s="366" t="s">
        <v>767</v>
      </c>
      <c r="H277" s="366"/>
      <c r="I277" s="366"/>
      <c r="J277" s="366"/>
      <c r="K277" s="366"/>
      <c r="L277" s="367"/>
      <c r="M277" s="22" t="s">
        <v>591</v>
      </c>
      <c r="N277" s="22" t="s">
        <v>592</v>
      </c>
      <c r="O277" s="22" t="s">
        <v>593</v>
      </c>
      <c r="P277" s="24" t="s">
        <v>594</v>
      </c>
      <c r="V277" s="7"/>
    </row>
    <row r="278" spans="2:22" ht="18" customHeight="1">
      <c r="B278" s="355" t="str">
        <f>HYPERLINK("#LAYOUT_e4!lay초YFAM2C01","YFAM2C01")</f>
        <v>YFAM2C01</v>
      </c>
      <c r="C278" s="355"/>
      <c r="E278" s="7"/>
      <c r="G278" s="366" t="s">
        <v>768</v>
      </c>
      <c r="H278" s="366"/>
      <c r="I278" s="366"/>
      <c r="J278" s="366"/>
      <c r="K278" s="366"/>
      <c r="L278" s="367"/>
      <c r="M278" s="22" t="s">
        <v>591</v>
      </c>
      <c r="N278" s="22" t="s">
        <v>592</v>
      </c>
      <c r="O278" s="22" t="s">
        <v>593</v>
      </c>
      <c r="P278" s="24" t="s">
        <v>594</v>
      </c>
      <c r="V278" s="7"/>
    </row>
    <row r="279" spans="2:22" ht="18" customHeight="1">
      <c r="B279" s="355" t="str">
        <f>HYPERLINK("#LAYOUT_e4!lay초YFAM2C02","YFAM2C02")</f>
        <v>YFAM2C02</v>
      </c>
      <c r="C279" s="355"/>
      <c r="E279" s="7"/>
      <c r="G279" s="366" t="s">
        <v>769</v>
      </c>
      <c r="H279" s="366"/>
      <c r="I279" s="366"/>
      <c r="J279" s="366"/>
      <c r="K279" s="366"/>
      <c r="L279" s="367"/>
      <c r="M279" s="22" t="s">
        <v>591</v>
      </c>
      <c r="N279" s="22" t="s">
        <v>592</v>
      </c>
      <c r="O279" s="22" t="s">
        <v>593</v>
      </c>
      <c r="P279" s="24" t="s">
        <v>594</v>
      </c>
      <c r="V279" s="7"/>
    </row>
    <row r="280" spans="2:22" ht="18" customHeight="1">
      <c r="B280" s="355" t="str">
        <f>HYPERLINK("#LAYOUT_e4!lay초YFAM2C03","YFAM2C03")</f>
        <v>YFAM2C03</v>
      </c>
      <c r="C280" s="355"/>
      <c r="E280" s="7"/>
      <c r="G280" s="366" t="s">
        <v>770</v>
      </c>
      <c r="H280" s="366"/>
      <c r="I280" s="366"/>
      <c r="J280" s="366"/>
      <c r="K280" s="366"/>
      <c r="L280" s="367"/>
      <c r="M280" s="22" t="s">
        <v>591</v>
      </c>
      <c r="N280" s="22" t="s">
        <v>592</v>
      </c>
      <c r="O280" s="22" t="s">
        <v>593</v>
      </c>
      <c r="P280" s="24" t="s">
        <v>594</v>
      </c>
      <c r="V280" s="7"/>
    </row>
    <row r="281" spans="2:22" ht="18" customHeight="1">
      <c r="B281" s="355" t="str">
        <f>HYPERLINK("#LAYOUT_e4!lay초YFAM2C04","YFAM2C04")</f>
        <v>YFAM2C04</v>
      </c>
      <c r="C281" s="355"/>
      <c r="E281" s="7"/>
      <c r="G281" s="366" t="s">
        <v>771</v>
      </c>
      <c r="H281" s="366"/>
      <c r="I281" s="366"/>
      <c r="J281" s="366"/>
      <c r="K281" s="366"/>
      <c r="L281" s="367"/>
      <c r="M281" s="22" t="s">
        <v>591</v>
      </c>
      <c r="N281" s="22" t="s">
        <v>592</v>
      </c>
      <c r="O281" s="22" t="s">
        <v>593</v>
      </c>
      <c r="P281" s="24" t="s">
        <v>594</v>
      </c>
      <c r="V281" s="7"/>
    </row>
    <row r="282" spans="2:22" ht="18" customHeight="1">
      <c r="B282" s="355" t="str">
        <f>HYPERLINK("#LAYOUT_e4!lay초YFAM2D01","YFAM2D01")</f>
        <v>YFAM2D01</v>
      </c>
      <c r="C282" s="355"/>
      <c r="E282" s="7"/>
      <c r="G282" s="366" t="s">
        <v>772</v>
      </c>
      <c r="H282" s="366"/>
      <c r="I282" s="366"/>
      <c r="J282" s="366"/>
      <c r="K282" s="366"/>
      <c r="L282" s="367"/>
      <c r="M282" s="22" t="s">
        <v>591</v>
      </c>
      <c r="N282" s="22" t="s">
        <v>592</v>
      </c>
      <c r="O282" s="22" t="s">
        <v>593</v>
      </c>
      <c r="P282" s="24" t="s">
        <v>594</v>
      </c>
      <c r="V282" s="7"/>
    </row>
    <row r="283" spans="2:22" ht="18" customHeight="1">
      <c r="B283" s="355" t="str">
        <f>HYPERLINK("#LAYOUT_e4!lay초YFAM2D02","YFAM2D02")</f>
        <v>YFAM2D02</v>
      </c>
      <c r="C283" s="355"/>
      <c r="E283" s="7"/>
      <c r="G283" s="366" t="s">
        <v>773</v>
      </c>
      <c r="H283" s="366"/>
      <c r="I283" s="366"/>
      <c r="J283" s="366"/>
      <c r="K283" s="366"/>
      <c r="L283" s="367"/>
      <c r="M283" s="22" t="s">
        <v>591</v>
      </c>
      <c r="N283" s="22" t="s">
        <v>592</v>
      </c>
      <c r="O283" s="22" t="s">
        <v>593</v>
      </c>
      <c r="P283" s="24" t="s">
        <v>594</v>
      </c>
      <c r="V283" s="7"/>
    </row>
    <row r="284" spans="2:22" ht="18" customHeight="1">
      <c r="B284" s="355" t="str">
        <f>HYPERLINK("#LAYOUT_e4!lay초YFAM2D03","YFAM2D03")</f>
        <v>YFAM2D03</v>
      </c>
      <c r="C284" s="355"/>
      <c r="E284" s="7"/>
      <c r="G284" s="366" t="s">
        <v>774</v>
      </c>
      <c r="H284" s="366"/>
      <c r="I284" s="366"/>
      <c r="J284" s="366"/>
      <c r="K284" s="366"/>
      <c r="L284" s="367"/>
      <c r="M284" s="22" t="s">
        <v>591</v>
      </c>
      <c r="N284" s="22" t="s">
        <v>592</v>
      </c>
      <c r="O284" s="22" t="s">
        <v>593</v>
      </c>
      <c r="P284" s="24" t="s">
        <v>594</v>
      </c>
      <c r="V284" s="7"/>
    </row>
    <row r="285" spans="2:22" ht="18" customHeight="1">
      <c r="B285" s="355" t="str">
        <f>HYPERLINK("#LAYOUT_e4!lay초YFAM2D04","YFAM2D04")</f>
        <v>YFAM2D04</v>
      </c>
      <c r="C285" s="355"/>
      <c r="E285" s="7"/>
      <c r="G285" s="366" t="s">
        <v>775</v>
      </c>
      <c r="H285" s="366"/>
      <c r="I285" s="366"/>
      <c r="J285" s="366"/>
      <c r="K285" s="366"/>
      <c r="L285" s="367"/>
      <c r="M285" s="22" t="s">
        <v>591</v>
      </c>
      <c r="N285" s="22" t="s">
        <v>592</v>
      </c>
      <c r="O285" s="22" t="s">
        <v>593</v>
      </c>
      <c r="P285" s="24" t="s">
        <v>594</v>
      </c>
      <c r="V285" s="7"/>
    </row>
    <row r="286" spans="2:22" ht="18" customHeight="1">
      <c r="B286" s="355" t="str">
        <f>HYPERLINK("#LAYOUT_e4!lay초YFAM2E01","YFAM2E01")</f>
        <v>YFAM2E01</v>
      </c>
      <c r="C286" s="355"/>
      <c r="E286" s="7"/>
      <c r="G286" s="366" t="s">
        <v>776</v>
      </c>
      <c r="H286" s="366"/>
      <c r="I286" s="366"/>
      <c r="J286" s="366"/>
      <c r="K286" s="366"/>
      <c r="L286" s="367"/>
      <c r="M286" s="22" t="s">
        <v>591</v>
      </c>
      <c r="N286" s="22" t="s">
        <v>592</v>
      </c>
      <c r="O286" s="22" t="s">
        <v>593</v>
      </c>
      <c r="P286" s="24" t="s">
        <v>594</v>
      </c>
      <c r="V286" s="7"/>
    </row>
    <row r="287" spans="2:22" ht="18" customHeight="1">
      <c r="B287" s="355" t="str">
        <f>HYPERLINK("#LAYOUT_e4!lay초YFAM2E02","YFAM2E02")</f>
        <v>YFAM2E02</v>
      </c>
      <c r="C287" s="355"/>
      <c r="E287" s="7"/>
      <c r="G287" s="366" t="s">
        <v>777</v>
      </c>
      <c r="H287" s="366"/>
      <c r="I287" s="366"/>
      <c r="J287" s="366"/>
      <c r="K287" s="366"/>
      <c r="L287" s="367"/>
      <c r="M287" s="22" t="s">
        <v>591</v>
      </c>
      <c r="N287" s="22" t="s">
        <v>592</v>
      </c>
      <c r="O287" s="22" t="s">
        <v>593</v>
      </c>
      <c r="P287" s="24" t="s">
        <v>594</v>
      </c>
      <c r="V287" s="7"/>
    </row>
    <row r="288" spans="2:22" ht="18" customHeight="1">
      <c r="B288" s="355" t="str">
        <f>HYPERLINK("#LAYOUT_e4!lay초YFAM2E03","YFAM2E03")</f>
        <v>YFAM2E03</v>
      </c>
      <c r="C288" s="355"/>
      <c r="E288" s="7"/>
      <c r="G288" s="366" t="s">
        <v>778</v>
      </c>
      <c r="H288" s="366"/>
      <c r="I288" s="366"/>
      <c r="J288" s="366"/>
      <c r="K288" s="366"/>
      <c r="L288" s="367"/>
      <c r="M288" s="22" t="s">
        <v>591</v>
      </c>
      <c r="N288" s="22" t="s">
        <v>592</v>
      </c>
      <c r="O288" s="22" t="s">
        <v>593</v>
      </c>
      <c r="P288" s="24" t="s">
        <v>594</v>
      </c>
      <c r="V288" s="7"/>
    </row>
    <row r="289" spans="2:22" ht="18" customHeight="1">
      <c r="B289" s="355" t="str">
        <f>HYPERLINK("#LAYOUT_e4!lay초YFAM2E04","YFAM2E04")</f>
        <v>YFAM2E04</v>
      </c>
      <c r="C289" s="355"/>
      <c r="E289" s="7"/>
      <c r="G289" s="366" t="s">
        <v>779</v>
      </c>
      <c r="H289" s="366"/>
      <c r="I289" s="366"/>
      <c r="J289" s="366"/>
      <c r="K289" s="366"/>
      <c r="L289" s="367"/>
      <c r="M289" s="22" t="s">
        <v>591</v>
      </c>
      <c r="N289" s="22" t="s">
        <v>592</v>
      </c>
      <c r="O289" s="22" t="s">
        <v>593</v>
      </c>
      <c r="P289" s="24" t="s">
        <v>594</v>
      </c>
      <c r="V289" s="7"/>
    </row>
    <row r="290" spans="2:22" ht="18" customHeight="1">
      <c r="B290" s="355" t="str">
        <f>HYPERLINK("#LAYOUT_e4!lay초YFAM2F01","YFAM2F01")</f>
        <v>YFAM2F01</v>
      </c>
      <c r="C290" s="355"/>
      <c r="E290" s="7"/>
      <c r="G290" s="366" t="s">
        <v>780</v>
      </c>
      <c r="H290" s="366"/>
      <c r="I290" s="366"/>
      <c r="J290" s="366"/>
      <c r="K290" s="366"/>
      <c r="L290" s="367"/>
      <c r="M290" s="22" t="s">
        <v>591</v>
      </c>
      <c r="N290" s="22" t="s">
        <v>592</v>
      </c>
      <c r="O290" s="22" t="s">
        <v>593</v>
      </c>
      <c r="P290" s="24" t="s">
        <v>594</v>
      </c>
      <c r="V290" s="7"/>
    </row>
    <row r="291" spans="2:22" ht="18" customHeight="1">
      <c r="B291" s="355" t="str">
        <f>HYPERLINK("#LAYOUT_e4!lay초YFAM2F02","YFAM2F02")</f>
        <v>YFAM2F02</v>
      </c>
      <c r="C291" s="355"/>
      <c r="E291" s="7"/>
      <c r="G291" s="366" t="s">
        <v>781</v>
      </c>
      <c r="H291" s="366"/>
      <c r="I291" s="366"/>
      <c r="J291" s="366"/>
      <c r="K291" s="366"/>
      <c r="L291" s="367"/>
      <c r="M291" s="22" t="s">
        <v>591</v>
      </c>
      <c r="N291" s="22" t="s">
        <v>592</v>
      </c>
      <c r="O291" s="22" t="s">
        <v>593</v>
      </c>
      <c r="P291" s="24" t="s">
        <v>594</v>
      </c>
      <c r="V291" s="7"/>
    </row>
    <row r="292" spans="2:22" ht="18" customHeight="1">
      <c r="B292" s="355" t="str">
        <f>HYPERLINK("#LAYOUT_e4!lay초YFAM2F03","YFAM2F03")</f>
        <v>YFAM2F03</v>
      </c>
      <c r="C292" s="355"/>
      <c r="E292" s="7"/>
      <c r="G292" s="366" t="s">
        <v>782</v>
      </c>
      <c r="H292" s="366"/>
      <c r="I292" s="366"/>
      <c r="J292" s="366"/>
      <c r="K292" s="366"/>
      <c r="L292" s="367"/>
      <c r="M292" s="22" t="s">
        <v>591</v>
      </c>
      <c r="N292" s="22" t="s">
        <v>592</v>
      </c>
      <c r="O292" s="22" t="s">
        <v>593</v>
      </c>
      <c r="P292" s="24" t="s">
        <v>594</v>
      </c>
      <c r="V292" s="7"/>
    </row>
    <row r="293" spans="2:22" ht="18" customHeight="1">
      <c r="B293" s="355" t="str">
        <f>HYPERLINK("#LAYOUT_e4!lay초YFAM2F04","YFAM2F04")</f>
        <v>YFAM2F04</v>
      </c>
      <c r="C293" s="355"/>
      <c r="E293" s="7"/>
      <c r="G293" s="366" t="s">
        <v>783</v>
      </c>
      <c r="H293" s="366"/>
      <c r="I293" s="366"/>
      <c r="J293" s="366"/>
      <c r="K293" s="366"/>
      <c r="L293" s="367"/>
      <c r="M293" s="22" t="s">
        <v>591</v>
      </c>
      <c r="N293" s="22" t="s">
        <v>592</v>
      </c>
      <c r="O293" s="22" t="s">
        <v>593</v>
      </c>
      <c r="P293" s="24" t="s">
        <v>594</v>
      </c>
      <c r="V293" s="7"/>
    </row>
    <row r="294" spans="2:22" ht="18" customHeight="1">
      <c r="B294" s="195"/>
      <c r="C294" s="195"/>
      <c r="E294" s="7"/>
      <c r="V294" s="7"/>
    </row>
    <row r="295" spans="2:22" ht="18" customHeight="1">
      <c r="B295" s="195"/>
      <c r="C295" s="195"/>
      <c r="E295" s="7"/>
      <c r="V295" s="7"/>
    </row>
    <row r="296" spans="2:22" ht="18" customHeight="1" thickBot="1">
      <c r="B296" s="195"/>
      <c r="C296" s="195"/>
      <c r="E296" s="7"/>
      <c r="F296" s="6" t="s">
        <v>784</v>
      </c>
      <c r="V296" s="7"/>
    </row>
    <row r="297" spans="2:22" ht="31.5" thickTop="1" thickBot="1">
      <c r="B297" s="195"/>
      <c r="C297" s="195"/>
      <c r="E297" s="7"/>
      <c r="G297" s="397" t="s">
        <v>643</v>
      </c>
      <c r="H297" s="397"/>
      <c r="I297" s="397"/>
      <c r="J297" s="397"/>
      <c r="K297" s="397"/>
      <c r="L297" s="398"/>
      <c r="M297" s="9" t="s">
        <v>622</v>
      </c>
      <c r="N297" s="9" t="s">
        <v>623</v>
      </c>
      <c r="O297" s="9" t="s">
        <v>107</v>
      </c>
      <c r="P297" s="10" t="s">
        <v>108</v>
      </c>
      <c r="V297" s="7"/>
    </row>
    <row r="298" spans="2:22" ht="18" customHeight="1" thickTop="1">
      <c r="B298" s="355" t="str">
        <f>HYPERLINK("#LAYOUT_e4!lay초YEDU2A01","YEDU2A01")</f>
        <v>YEDU2A01</v>
      </c>
      <c r="C298" s="355"/>
      <c r="E298" s="7"/>
      <c r="G298" s="366" t="s">
        <v>785</v>
      </c>
      <c r="H298" s="366"/>
      <c r="I298" s="366"/>
      <c r="J298" s="366"/>
      <c r="K298" s="366"/>
      <c r="L298" s="367"/>
      <c r="M298" s="20" t="s">
        <v>591</v>
      </c>
      <c r="N298" s="20" t="s">
        <v>592</v>
      </c>
      <c r="O298" s="20" t="s">
        <v>593</v>
      </c>
      <c r="P298" s="25" t="s">
        <v>594</v>
      </c>
      <c r="V298" s="7"/>
    </row>
    <row r="299" spans="2:22" ht="18" customHeight="1">
      <c r="B299" s="355" t="str">
        <f>HYPERLINK("#LAYOUT_e4!lay초YEDU2A02","YEDU2A02")</f>
        <v>YEDU2A02</v>
      </c>
      <c r="C299" s="355"/>
      <c r="E299" s="7"/>
      <c r="G299" s="366" t="s">
        <v>786</v>
      </c>
      <c r="H299" s="366"/>
      <c r="I299" s="366"/>
      <c r="J299" s="366"/>
      <c r="K299" s="366"/>
      <c r="L299" s="367"/>
      <c r="M299" s="22" t="s">
        <v>591</v>
      </c>
      <c r="N299" s="22" t="s">
        <v>592</v>
      </c>
      <c r="O299" s="22" t="s">
        <v>593</v>
      </c>
      <c r="P299" s="24" t="s">
        <v>594</v>
      </c>
      <c r="V299" s="7"/>
    </row>
    <row r="300" spans="2:22" ht="18" customHeight="1">
      <c r="B300" s="355" t="str">
        <f>HYPERLINK("#LAYOUT_e4!lay초YEDU2A03","YEDU2A03")</f>
        <v>YEDU2A03</v>
      </c>
      <c r="C300" s="355"/>
      <c r="E300" s="7"/>
      <c r="G300" s="366" t="s">
        <v>787</v>
      </c>
      <c r="H300" s="366"/>
      <c r="I300" s="366"/>
      <c r="J300" s="366"/>
      <c r="K300" s="366"/>
      <c r="L300" s="367"/>
      <c r="M300" s="22" t="s">
        <v>591</v>
      </c>
      <c r="N300" s="22" t="s">
        <v>592</v>
      </c>
      <c r="O300" s="22" t="s">
        <v>593</v>
      </c>
      <c r="P300" s="24" t="s">
        <v>594</v>
      </c>
      <c r="V300" s="7"/>
    </row>
    <row r="301" spans="2:22" ht="18" customHeight="1">
      <c r="B301" s="355" t="str">
        <f>HYPERLINK("#LAYOUT_e4!lay초YEDU2A04","YEDU2A04")</f>
        <v>YEDU2A04</v>
      </c>
      <c r="C301" s="355"/>
      <c r="E301" s="7"/>
      <c r="G301" s="366" t="s">
        <v>788</v>
      </c>
      <c r="H301" s="366"/>
      <c r="I301" s="366"/>
      <c r="J301" s="366"/>
      <c r="K301" s="366"/>
      <c r="L301" s="367"/>
      <c r="M301" s="22" t="s">
        <v>591</v>
      </c>
      <c r="N301" s="22" t="s">
        <v>592</v>
      </c>
      <c r="O301" s="22" t="s">
        <v>593</v>
      </c>
      <c r="P301" s="24" t="s">
        <v>594</v>
      </c>
      <c r="V301" s="7"/>
    </row>
    <row r="302" spans="2:22" ht="18" customHeight="1">
      <c r="B302" s="355" t="str">
        <f>HYPERLINK("#LAYOUT_e4!lay초YEDU2A05","YEDU2A05")</f>
        <v>YEDU2A05</v>
      </c>
      <c r="C302" s="355"/>
      <c r="E302" s="7"/>
      <c r="G302" s="366" t="s">
        <v>789</v>
      </c>
      <c r="H302" s="366"/>
      <c r="I302" s="366"/>
      <c r="J302" s="366"/>
      <c r="K302" s="366"/>
      <c r="L302" s="367"/>
      <c r="M302" s="22" t="s">
        <v>591</v>
      </c>
      <c r="N302" s="22" t="s">
        <v>592</v>
      </c>
      <c r="O302" s="22" t="s">
        <v>593</v>
      </c>
      <c r="P302" s="24" t="s">
        <v>594</v>
      </c>
      <c r="V302" s="7"/>
    </row>
    <row r="303" spans="2:22" ht="18" customHeight="1">
      <c r="B303" s="355" t="str">
        <f>HYPERLINK("#LAYOUT_e4!lay초YEDU2A06","YEDU2A06")</f>
        <v>YEDU2A06</v>
      </c>
      <c r="C303" s="355"/>
      <c r="E303" s="7"/>
      <c r="G303" s="366" t="s">
        <v>790</v>
      </c>
      <c r="H303" s="366"/>
      <c r="I303" s="366"/>
      <c r="J303" s="366"/>
      <c r="K303" s="366"/>
      <c r="L303" s="367"/>
      <c r="M303" s="22" t="s">
        <v>591</v>
      </c>
      <c r="N303" s="22" t="s">
        <v>592</v>
      </c>
      <c r="O303" s="22" t="s">
        <v>593</v>
      </c>
      <c r="P303" s="24" t="s">
        <v>594</v>
      </c>
      <c r="V303" s="7"/>
    </row>
    <row r="304" spans="2:22" ht="18" customHeight="1">
      <c r="B304" s="355" t="str">
        <f>HYPERLINK("#LAYOUT_e4!lay초YEDU2A07","YEDU2A07")</f>
        <v>YEDU2A07</v>
      </c>
      <c r="C304" s="355"/>
      <c r="E304" s="7"/>
      <c r="G304" s="366" t="s">
        <v>791</v>
      </c>
      <c r="H304" s="366"/>
      <c r="I304" s="366"/>
      <c r="J304" s="366"/>
      <c r="K304" s="366"/>
      <c r="L304" s="367"/>
      <c r="M304" s="22" t="s">
        <v>591</v>
      </c>
      <c r="N304" s="22" t="s">
        <v>592</v>
      </c>
      <c r="O304" s="22" t="s">
        <v>593</v>
      </c>
      <c r="P304" s="24" t="s">
        <v>594</v>
      </c>
      <c r="V304" s="7"/>
    </row>
    <row r="305" spans="2:22" ht="18" customHeight="1">
      <c r="B305" s="355" t="str">
        <f>HYPERLINK("#LAYOUT_e4!lay초YEDU2A08","YEDU2A08")</f>
        <v>YEDU2A08</v>
      </c>
      <c r="C305" s="355"/>
      <c r="E305" s="7"/>
      <c r="G305" s="366" t="s">
        <v>792</v>
      </c>
      <c r="H305" s="366"/>
      <c r="I305" s="366"/>
      <c r="J305" s="366"/>
      <c r="K305" s="366"/>
      <c r="L305" s="367"/>
      <c r="M305" s="22" t="s">
        <v>591</v>
      </c>
      <c r="N305" s="22" t="s">
        <v>592</v>
      </c>
      <c r="O305" s="22" t="s">
        <v>593</v>
      </c>
      <c r="P305" s="24" t="s">
        <v>594</v>
      </c>
      <c r="V305" s="7"/>
    </row>
    <row r="306" spans="2:22" ht="18" customHeight="1">
      <c r="B306" s="355" t="str">
        <f>HYPERLINK("#LAYOUT_e4!lay초YEDU2A09","YEDU2A09")</f>
        <v>YEDU2A09</v>
      </c>
      <c r="C306" s="355"/>
      <c r="E306" s="7"/>
      <c r="G306" s="366" t="s">
        <v>793</v>
      </c>
      <c r="H306" s="366"/>
      <c r="I306" s="366"/>
      <c r="J306" s="366"/>
      <c r="K306" s="366"/>
      <c r="L306" s="367"/>
      <c r="M306" s="22" t="s">
        <v>591</v>
      </c>
      <c r="N306" s="22" t="s">
        <v>592</v>
      </c>
      <c r="O306" s="22" t="s">
        <v>593</v>
      </c>
      <c r="P306" s="24" t="s">
        <v>594</v>
      </c>
      <c r="V306" s="7"/>
    </row>
    <row r="307" spans="2:22" ht="18" customHeight="1">
      <c r="B307" s="355" t="str">
        <f>HYPERLINK("#LAYOUT_e4!lay초YEDU2A10","YEDU2A10")</f>
        <v>YEDU2A10</v>
      </c>
      <c r="C307" s="355"/>
      <c r="E307" s="7"/>
      <c r="G307" s="366" t="s">
        <v>794</v>
      </c>
      <c r="H307" s="366"/>
      <c r="I307" s="366"/>
      <c r="J307" s="366"/>
      <c r="K307" s="366"/>
      <c r="L307" s="367"/>
      <c r="M307" s="22" t="s">
        <v>591</v>
      </c>
      <c r="N307" s="22" t="s">
        <v>592</v>
      </c>
      <c r="O307" s="22" t="s">
        <v>593</v>
      </c>
      <c r="P307" s="24" t="s">
        <v>594</v>
      </c>
      <c r="V307" s="7"/>
    </row>
    <row r="308" spans="2:22" ht="18" customHeight="1">
      <c r="B308" s="355" t="str">
        <f>HYPERLINK("#LAYOUT_e4!lay초YEDU2A11","YEDU2A11")</f>
        <v>YEDU2A11</v>
      </c>
      <c r="C308" s="355"/>
      <c r="E308" s="7"/>
      <c r="G308" s="366" t="s">
        <v>795</v>
      </c>
      <c r="H308" s="366"/>
      <c r="I308" s="366"/>
      <c r="J308" s="366"/>
      <c r="K308" s="366"/>
      <c r="L308" s="367"/>
      <c r="M308" s="22" t="s">
        <v>591</v>
      </c>
      <c r="N308" s="22" t="s">
        <v>592</v>
      </c>
      <c r="O308" s="22" t="s">
        <v>593</v>
      </c>
      <c r="P308" s="24" t="s">
        <v>594</v>
      </c>
      <c r="V308" s="7"/>
    </row>
    <row r="309" spans="2:22" ht="18" customHeight="1">
      <c r="B309" s="355" t="str">
        <f>HYPERLINK("#LAYOUT_e4!lay초YEDU2A12","YEDU2A12")</f>
        <v>YEDU2A12</v>
      </c>
      <c r="C309" s="355"/>
      <c r="E309" s="7"/>
      <c r="G309" s="366" t="s">
        <v>796</v>
      </c>
      <c r="H309" s="366"/>
      <c r="I309" s="366"/>
      <c r="J309" s="366"/>
      <c r="K309" s="366"/>
      <c r="L309" s="367"/>
      <c r="M309" s="22" t="s">
        <v>591</v>
      </c>
      <c r="N309" s="22" t="s">
        <v>592</v>
      </c>
      <c r="O309" s="22" t="s">
        <v>593</v>
      </c>
      <c r="P309" s="24" t="s">
        <v>594</v>
      </c>
      <c r="V309" s="7"/>
    </row>
    <row r="310" spans="2:22" ht="18" customHeight="1">
      <c r="B310" s="355" t="str">
        <f>HYPERLINK("#LAYOUT_e4!lay초YEDU2A13","YEDU2A13")</f>
        <v>YEDU2A13</v>
      </c>
      <c r="C310" s="355"/>
      <c r="E310" s="7"/>
      <c r="G310" s="366" t="s">
        <v>797</v>
      </c>
      <c r="H310" s="366"/>
      <c r="I310" s="366"/>
      <c r="J310" s="366"/>
      <c r="K310" s="366"/>
      <c r="L310" s="367"/>
      <c r="M310" s="22" t="s">
        <v>591</v>
      </c>
      <c r="N310" s="22" t="s">
        <v>592</v>
      </c>
      <c r="O310" s="22" t="s">
        <v>593</v>
      </c>
      <c r="P310" s="24" t="s">
        <v>594</v>
      </c>
      <c r="V310" s="7"/>
    </row>
    <row r="311" spans="2:22" ht="18" customHeight="1">
      <c r="B311" s="195"/>
      <c r="C311" s="195"/>
      <c r="E311" s="7"/>
      <c r="V311" s="7"/>
    </row>
    <row r="312" spans="2:22" ht="18" customHeight="1">
      <c r="B312" s="195"/>
      <c r="C312" s="195"/>
      <c r="E312" s="7"/>
      <c r="V312" s="7"/>
    </row>
    <row r="313" spans="2:22" ht="18" customHeight="1" thickBot="1">
      <c r="B313" s="195"/>
      <c r="C313" s="195"/>
      <c r="E313" s="7"/>
      <c r="F313" s="6" t="s">
        <v>798</v>
      </c>
      <c r="V313" s="7"/>
    </row>
    <row r="314" spans="2:22" ht="31.5" thickTop="1" thickBot="1">
      <c r="B314" s="195"/>
      <c r="C314" s="195"/>
      <c r="E314" s="7"/>
      <c r="G314" s="397" t="s">
        <v>643</v>
      </c>
      <c r="H314" s="397"/>
      <c r="I314" s="397"/>
      <c r="J314" s="397"/>
      <c r="K314" s="397"/>
      <c r="L314" s="398"/>
      <c r="M314" s="9" t="s">
        <v>622</v>
      </c>
      <c r="N314" s="9" t="s">
        <v>623</v>
      </c>
      <c r="O314" s="9" t="s">
        <v>107</v>
      </c>
      <c r="P314" s="10" t="s">
        <v>108</v>
      </c>
      <c r="V314" s="7"/>
    </row>
    <row r="315" spans="2:22" ht="18" customHeight="1" thickTop="1">
      <c r="B315" s="355" t="str">
        <f>HYPERLINK("#LAYOUT_e4!lay초YEDU3A01","YEDU3A01")</f>
        <v>YEDU3A01</v>
      </c>
      <c r="C315" s="355"/>
      <c r="E315" s="7"/>
      <c r="G315" s="366" t="s">
        <v>799</v>
      </c>
      <c r="H315" s="366"/>
      <c r="I315" s="366"/>
      <c r="J315" s="366"/>
      <c r="K315" s="366"/>
      <c r="L315" s="367"/>
      <c r="M315" s="20" t="s">
        <v>591</v>
      </c>
      <c r="N315" s="20" t="s">
        <v>592</v>
      </c>
      <c r="O315" s="20" t="s">
        <v>593</v>
      </c>
      <c r="P315" s="25" t="s">
        <v>594</v>
      </c>
      <c r="V315" s="7"/>
    </row>
    <row r="316" spans="2:22" ht="18" customHeight="1">
      <c r="B316" s="355" t="str">
        <f>HYPERLINK("#LAYOUT_e4!lay초YEDU3A02","YEDU3A02")</f>
        <v>YEDU3A02</v>
      </c>
      <c r="C316" s="355"/>
      <c r="E316" s="7"/>
      <c r="G316" s="366" t="s">
        <v>800</v>
      </c>
      <c r="H316" s="366"/>
      <c r="I316" s="366"/>
      <c r="J316" s="366"/>
      <c r="K316" s="366"/>
      <c r="L316" s="367"/>
      <c r="M316" s="22" t="s">
        <v>591</v>
      </c>
      <c r="N316" s="22" t="s">
        <v>592</v>
      </c>
      <c r="O316" s="22" t="s">
        <v>593</v>
      </c>
      <c r="P316" s="24" t="s">
        <v>594</v>
      </c>
      <c r="V316" s="7"/>
    </row>
    <row r="317" spans="2:22" ht="18" customHeight="1">
      <c r="B317" s="355" t="str">
        <f>HYPERLINK("#LAYOUT_e4!lay초YEDU3A03","YEDU3A03")</f>
        <v>YEDU3A03</v>
      </c>
      <c r="C317" s="355"/>
      <c r="E317" s="7"/>
      <c r="G317" s="366" t="s">
        <v>801</v>
      </c>
      <c r="H317" s="366"/>
      <c r="I317" s="366"/>
      <c r="J317" s="366"/>
      <c r="K317" s="366"/>
      <c r="L317" s="367"/>
      <c r="M317" s="22" t="s">
        <v>591</v>
      </c>
      <c r="N317" s="22" t="s">
        <v>592</v>
      </c>
      <c r="O317" s="22" t="s">
        <v>593</v>
      </c>
      <c r="P317" s="24" t="s">
        <v>594</v>
      </c>
      <c r="V317" s="7"/>
    </row>
    <row r="318" spans="2:22" ht="18" customHeight="1">
      <c r="B318" s="355" t="str">
        <f>HYPERLINK("#LAYOUT_e4!lay초YEDU3A04","YEDU3A04")</f>
        <v>YEDU3A04</v>
      </c>
      <c r="C318" s="355"/>
      <c r="E318" s="7"/>
      <c r="G318" s="366" t="s">
        <v>802</v>
      </c>
      <c r="H318" s="366"/>
      <c r="I318" s="366"/>
      <c r="J318" s="366"/>
      <c r="K318" s="366"/>
      <c r="L318" s="367"/>
      <c r="M318" s="22" t="s">
        <v>591</v>
      </c>
      <c r="N318" s="22" t="s">
        <v>592</v>
      </c>
      <c r="O318" s="22" t="s">
        <v>593</v>
      </c>
      <c r="P318" s="24" t="s">
        <v>594</v>
      </c>
      <c r="V318" s="7"/>
    </row>
    <row r="319" spans="2:22" ht="18" customHeight="1">
      <c r="B319" s="355" t="str">
        <f>HYPERLINK("#LAYOUT_e4!lay초YEDU3A05","YEDU3A05")</f>
        <v>YEDU3A05</v>
      </c>
      <c r="C319" s="355"/>
      <c r="E319" s="7"/>
      <c r="G319" s="366" t="s">
        <v>803</v>
      </c>
      <c r="H319" s="366"/>
      <c r="I319" s="366"/>
      <c r="J319" s="366"/>
      <c r="K319" s="366"/>
      <c r="L319" s="367"/>
      <c r="M319" s="22" t="s">
        <v>591</v>
      </c>
      <c r="N319" s="22" t="s">
        <v>592</v>
      </c>
      <c r="O319" s="22" t="s">
        <v>593</v>
      </c>
      <c r="P319" s="24" t="s">
        <v>594</v>
      </c>
      <c r="V319" s="7"/>
    </row>
    <row r="320" spans="2:22" ht="18" customHeight="1">
      <c r="B320" s="355" t="str">
        <f>HYPERLINK("#LAYOUT_e4!lay초YEDU3A06","YEDU3A06")</f>
        <v>YEDU3A06</v>
      </c>
      <c r="C320" s="355"/>
      <c r="E320" s="7"/>
      <c r="G320" s="366" t="s">
        <v>804</v>
      </c>
      <c r="H320" s="366"/>
      <c r="I320" s="366"/>
      <c r="J320" s="366"/>
      <c r="K320" s="366"/>
      <c r="L320" s="367"/>
      <c r="M320" s="22" t="s">
        <v>591</v>
      </c>
      <c r="N320" s="22" t="s">
        <v>592</v>
      </c>
      <c r="O320" s="22" t="s">
        <v>593</v>
      </c>
      <c r="P320" s="24" t="s">
        <v>594</v>
      </c>
      <c r="V320" s="7"/>
    </row>
    <row r="321" spans="2:22" ht="18" customHeight="1">
      <c r="B321" s="355" t="str">
        <f>HYPERLINK("#LAYOUT_e4!lay초YEDU3A07","YEDU3A07")</f>
        <v>YEDU3A07</v>
      </c>
      <c r="C321" s="355"/>
      <c r="E321" s="7"/>
      <c r="G321" s="366" t="s">
        <v>805</v>
      </c>
      <c r="H321" s="366"/>
      <c r="I321" s="366"/>
      <c r="J321" s="366"/>
      <c r="K321" s="366"/>
      <c r="L321" s="367"/>
      <c r="M321" s="22" t="s">
        <v>591</v>
      </c>
      <c r="N321" s="22" t="s">
        <v>592</v>
      </c>
      <c r="O321" s="22" t="s">
        <v>593</v>
      </c>
      <c r="P321" s="24" t="s">
        <v>594</v>
      </c>
      <c r="V321" s="7"/>
    </row>
    <row r="322" spans="2:22" ht="18" customHeight="1">
      <c r="B322" s="355" t="str">
        <f>HYPERLINK("#LAYOUT_e4!lay초YEDU3A08","YEDU3A08")</f>
        <v>YEDU3A08</v>
      </c>
      <c r="C322" s="355"/>
      <c r="E322" s="7"/>
      <c r="G322" s="366" t="s">
        <v>806</v>
      </c>
      <c r="H322" s="366"/>
      <c r="I322" s="366"/>
      <c r="J322" s="366"/>
      <c r="K322" s="366"/>
      <c r="L322" s="367"/>
      <c r="M322" s="22" t="s">
        <v>591</v>
      </c>
      <c r="N322" s="22" t="s">
        <v>592</v>
      </c>
      <c r="O322" s="22" t="s">
        <v>593</v>
      </c>
      <c r="P322" s="24" t="s">
        <v>594</v>
      </c>
      <c r="V322" s="7"/>
    </row>
    <row r="323" spans="2:22" ht="18" customHeight="1">
      <c r="B323" s="355" t="str">
        <f>HYPERLINK("#LAYOUT_e4!lay초YEDU3A09","YEDU3A09")</f>
        <v>YEDU3A09</v>
      </c>
      <c r="C323" s="355"/>
      <c r="E323" s="7"/>
      <c r="G323" s="366" t="s">
        <v>807</v>
      </c>
      <c r="H323" s="366"/>
      <c r="I323" s="366"/>
      <c r="J323" s="366"/>
      <c r="K323" s="366"/>
      <c r="L323" s="367"/>
      <c r="M323" s="22" t="s">
        <v>591</v>
      </c>
      <c r="N323" s="22" t="s">
        <v>592</v>
      </c>
      <c r="O323" s="22" t="s">
        <v>593</v>
      </c>
      <c r="P323" s="24" t="s">
        <v>594</v>
      </c>
      <c r="V323" s="7"/>
    </row>
    <row r="324" spans="2:22" ht="18" customHeight="1">
      <c r="B324" s="355" t="str">
        <f>HYPERLINK("#LAYOUT_e4!lay초YEDU3A10","YEDU3A10")</f>
        <v>YEDU3A10</v>
      </c>
      <c r="C324" s="355"/>
      <c r="E324" s="7"/>
      <c r="G324" s="366" t="s">
        <v>808</v>
      </c>
      <c r="H324" s="366"/>
      <c r="I324" s="366"/>
      <c r="J324" s="366"/>
      <c r="K324" s="366"/>
      <c r="L324" s="367"/>
      <c r="M324" s="22" t="s">
        <v>591</v>
      </c>
      <c r="N324" s="22" t="s">
        <v>592</v>
      </c>
      <c r="O324" s="22" t="s">
        <v>593</v>
      </c>
      <c r="P324" s="24" t="s">
        <v>594</v>
      </c>
      <c r="V324" s="7"/>
    </row>
    <row r="325" spans="2:22" ht="18" customHeight="1">
      <c r="B325" s="355" t="str">
        <f>HYPERLINK("#LAYOUT_e4!lay초YEDU3A11","YEDU3A11")</f>
        <v>YEDU3A11</v>
      </c>
      <c r="C325" s="355"/>
      <c r="E325" s="7"/>
      <c r="G325" s="366" t="s">
        <v>809</v>
      </c>
      <c r="H325" s="366"/>
      <c r="I325" s="366"/>
      <c r="J325" s="366"/>
      <c r="K325" s="366"/>
      <c r="L325" s="367"/>
      <c r="M325" s="22" t="s">
        <v>591</v>
      </c>
      <c r="N325" s="22" t="s">
        <v>592</v>
      </c>
      <c r="O325" s="22" t="s">
        <v>593</v>
      </c>
      <c r="P325" s="24" t="s">
        <v>594</v>
      </c>
      <c r="V325" s="7"/>
    </row>
    <row r="326" spans="2:22" ht="18" customHeight="1">
      <c r="B326" s="355" t="str">
        <f>HYPERLINK("#LAYOUT_e4!lay초YEDU3A12","YEDU3A12")</f>
        <v>YEDU3A12</v>
      </c>
      <c r="C326" s="355"/>
      <c r="E326" s="7"/>
      <c r="G326" s="366" t="s">
        <v>810</v>
      </c>
      <c r="H326" s="366"/>
      <c r="I326" s="366"/>
      <c r="J326" s="366"/>
      <c r="K326" s="366"/>
      <c r="L326" s="367"/>
      <c r="M326" s="22" t="s">
        <v>591</v>
      </c>
      <c r="N326" s="22" t="s">
        <v>592</v>
      </c>
      <c r="O326" s="22" t="s">
        <v>593</v>
      </c>
      <c r="P326" s="24" t="s">
        <v>594</v>
      </c>
      <c r="V326" s="7"/>
    </row>
    <row r="327" spans="2:22" ht="18" customHeight="1">
      <c r="B327" s="355" t="str">
        <f>HYPERLINK("#LAYOUT_e4!lay초YEDU3A13","YEDU3A13")</f>
        <v>YEDU3A13</v>
      </c>
      <c r="C327" s="355"/>
      <c r="E327" s="7"/>
      <c r="G327" s="366" t="s">
        <v>811</v>
      </c>
      <c r="H327" s="366"/>
      <c r="I327" s="366"/>
      <c r="J327" s="366"/>
      <c r="K327" s="366"/>
      <c r="L327" s="367"/>
      <c r="M327" s="22" t="s">
        <v>591</v>
      </c>
      <c r="N327" s="22" t="s">
        <v>592</v>
      </c>
      <c r="O327" s="22" t="s">
        <v>593</v>
      </c>
      <c r="P327" s="24" t="s">
        <v>594</v>
      </c>
      <c r="V327" s="7"/>
    </row>
    <row r="328" spans="2:22" ht="18" customHeight="1">
      <c r="B328" s="355" t="str">
        <f>HYPERLINK("#LAYOUT_e4!lay초YEDU3A14","YEDU3A14")</f>
        <v>YEDU3A14</v>
      </c>
      <c r="C328" s="355"/>
      <c r="E328" s="7"/>
      <c r="G328" s="366" t="s">
        <v>812</v>
      </c>
      <c r="H328" s="366"/>
      <c r="I328" s="366"/>
      <c r="J328" s="366"/>
      <c r="K328" s="366"/>
      <c r="L328" s="367"/>
      <c r="M328" s="22" t="s">
        <v>591</v>
      </c>
      <c r="N328" s="22" t="s">
        <v>592</v>
      </c>
      <c r="O328" s="22" t="s">
        <v>593</v>
      </c>
      <c r="P328" s="24" t="s">
        <v>594</v>
      </c>
      <c r="V328" s="7"/>
    </row>
    <row r="329" spans="2:22" ht="18" customHeight="1">
      <c r="B329" s="195"/>
      <c r="C329" s="195"/>
      <c r="E329" s="7"/>
      <c r="V329" s="7"/>
    </row>
    <row r="330" spans="2:22" ht="18" customHeight="1">
      <c r="B330" s="195"/>
      <c r="C330" s="195"/>
      <c r="E330" s="7"/>
      <c r="V330" s="7"/>
    </row>
    <row r="331" spans="2:22" ht="18" customHeight="1">
      <c r="B331" s="355" t="str">
        <f>HYPERLINK("#LAYOUT_e4!lay초YPHY1A00","YPHY1A00")</f>
        <v>YPHY1A00</v>
      </c>
      <c r="C331" s="355"/>
      <c r="E331" s="7"/>
      <c r="F331" s="6" t="s">
        <v>813</v>
      </c>
      <c r="V331" s="7"/>
    </row>
    <row r="332" spans="2:22" ht="18" customHeight="1">
      <c r="B332" s="195"/>
      <c r="C332" s="195"/>
      <c r="E332" s="7"/>
      <c r="G332" s="396" t="s">
        <v>814</v>
      </c>
      <c r="H332" s="396"/>
      <c r="I332" s="396" t="s">
        <v>815</v>
      </c>
      <c r="J332" s="396"/>
      <c r="V332" s="7"/>
    </row>
    <row r="333" spans="2:22" ht="18" customHeight="1">
      <c r="B333" s="195"/>
      <c r="C333" s="195"/>
      <c r="E333" s="7"/>
      <c r="G333" s="396" t="s">
        <v>816</v>
      </c>
      <c r="H333" s="396"/>
      <c r="I333" s="396" t="s">
        <v>817</v>
      </c>
      <c r="J333" s="396"/>
      <c r="V333" s="7"/>
    </row>
    <row r="334" spans="2:22" ht="18" customHeight="1">
      <c r="B334" s="195"/>
      <c r="C334" s="195"/>
      <c r="E334" s="7"/>
      <c r="V334" s="7"/>
    </row>
    <row r="335" spans="2:22" ht="18" customHeight="1">
      <c r="B335" s="195"/>
      <c r="C335" s="195"/>
      <c r="E335" s="7"/>
      <c r="V335" s="7"/>
    </row>
    <row r="336" spans="2:22" ht="18" customHeight="1">
      <c r="B336" s="355" t="str">
        <f>HYPERLINK("#LAYOUT_e4!lay초YPHY1B00","YPHY1B00")</f>
        <v>YPHY1B00</v>
      </c>
      <c r="C336" s="355"/>
      <c r="E336" s="7"/>
      <c r="F336" s="6" t="s">
        <v>818</v>
      </c>
      <c r="V336" s="7"/>
    </row>
    <row r="337" spans="2:22" ht="18" customHeight="1">
      <c r="B337" s="195"/>
      <c r="C337" s="195"/>
      <c r="E337" s="7"/>
      <c r="G337" s="6" t="s">
        <v>819</v>
      </c>
      <c r="H337" s="6" t="s">
        <v>820</v>
      </c>
      <c r="I337" s="6" t="s">
        <v>821</v>
      </c>
      <c r="V337" s="7"/>
    </row>
    <row r="338" spans="2:22" ht="18" customHeight="1">
      <c r="B338" s="195"/>
      <c r="C338" s="195"/>
      <c r="E338" s="7"/>
      <c r="G338" s="6" t="s">
        <v>822</v>
      </c>
      <c r="H338" s="6" t="s">
        <v>823</v>
      </c>
      <c r="V338" s="7"/>
    </row>
    <row r="339" spans="2:22" ht="18" customHeight="1">
      <c r="B339" s="195"/>
      <c r="C339" s="195"/>
      <c r="E339" s="7"/>
      <c r="V339" s="7"/>
    </row>
    <row r="340" spans="2:22" ht="18" customHeight="1">
      <c r="B340" s="195"/>
      <c r="C340" s="195"/>
      <c r="E340" s="7"/>
      <c r="V340" s="7"/>
    </row>
    <row r="341" spans="2:22" ht="18" customHeight="1">
      <c r="B341" s="355" t="str">
        <f>HYPERLINK("#LAYOUT_e4!lay초YPHY1C00","YPHY1C00")</f>
        <v>YPHY1C00</v>
      </c>
      <c r="C341" s="355"/>
      <c r="E341" s="7"/>
      <c r="F341" s="6" t="s">
        <v>824</v>
      </c>
      <c r="V341" s="7"/>
    </row>
    <row r="342" spans="2:22" ht="18" customHeight="1">
      <c r="B342" s="195"/>
      <c r="C342" s="195"/>
      <c r="E342" s="7"/>
      <c r="G342" s="6" t="s">
        <v>1596</v>
      </c>
      <c r="V342" s="7"/>
    </row>
    <row r="343" spans="2:22" ht="18" customHeight="1">
      <c r="B343" s="195"/>
      <c r="C343" s="195"/>
      <c r="E343" s="7"/>
      <c r="V343" s="7"/>
    </row>
    <row r="344" spans="2:22" ht="18" customHeight="1">
      <c r="B344" s="195"/>
      <c r="C344" s="195"/>
      <c r="E344" s="7"/>
      <c r="V344" s="7"/>
    </row>
    <row r="345" spans="2:22" ht="18" customHeight="1">
      <c r="B345" s="195"/>
      <c r="C345" s="195"/>
      <c r="E345" s="7"/>
      <c r="F345" s="6" t="s">
        <v>825</v>
      </c>
      <c r="V345" s="7"/>
    </row>
    <row r="346" spans="2:22" ht="18" customHeight="1">
      <c r="B346" s="355" t="str">
        <f>HYPERLINK("#LAYOUT_e4!lay초YPHY2A00","YPHY2A00")</f>
        <v>YPHY2A00</v>
      </c>
      <c r="C346" s="355"/>
      <c r="E346" s="7"/>
      <c r="G346" s="407" t="s">
        <v>1597</v>
      </c>
      <c r="H346" s="407"/>
      <c r="I346" s="407"/>
      <c r="V346" s="7"/>
    </row>
    <row r="347" spans="2:22" ht="18" customHeight="1">
      <c r="B347" s="355" t="str">
        <f>HYPERLINK("#LAYOUT_e4!lay초YPHY2B00","YPHY2B00")</f>
        <v>YPHY2B00</v>
      </c>
      <c r="C347" s="355"/>
      <c r="E347" s="7"/>
      <c r="G347" s="407" t="s">
        <v>1598</v>
      </c>
      <c r="H347" s="407"/>
      <c r="I347" s="407"/>
      <c r="V347" s="7"/>
    </row>
    <row r="348" spans="2:22" ht="18" customHeight="1">
      <c r="E348" s="7"/>
      <c r="V348" s="7"/>
    </row>
    <row r="349" spans="2:22" ht="9.75" customHeight="1"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</sheetData>
  <sheetProtection algorithmName="SHA-512" hashValue="U740rZAXxnPSWju2doSrYY28c7EgXBfMsNZw7e9KJuHJYKUgaBDpTarzqq7wG6T3UVm6H9PDc3GLuIUo0Vlnzg==" saltValue="Q7GgcWv7FUR3KW/Zw7steA==" spinCount="100000" sheet="1" objects="1" scenarios="1"/>
  <mergeCells count="457">
    <mergeCell ref="F6:U6"/>
    <mergeCell ref="G347:I347"/>
    <mergeCell ref="G346:I346"/>
    <mergeCell ref="G321:L321"/>
    <mergeCell ref="G322:L322"/>
    <mergeCell ref="B321:C321"/>
    <mergeCell ref="B347:C347"/>
    <mergeCell ref="B346:C346"/>
    <mergeCell ref="B341:C341"/>
    <mergeCell ref="B336:C336"/>
    <mergeCell ref="B331:C331"/>
    <mergeCell ref="B328:C328"/>
    <mergeCell ref="B327:C327"/>
    <mergeCell ref="B326:C326"/>
    <mergeCell ref="B325:C325"/>
    <mergeCell ref="B324:C324"/>
    <mergeCell ref="B323:C323"/>
    <mergeCell ref="B322:C322"/>
    <mergeCell ref="G323:L323"/>
    <mergeCell ref="G332:H332"/>
    <mergeCell ref="G324:L324"/>
    <mergeCell ref="G285:L285"/>
    <mergeCell ref="G286:L286"/>
    <mergeCell ref="G275:L275"/>
    <mergeCell ref="B299:C299"/>
    <mergeCell ref="B320:C320"/>
    <mergeCell ref="B319:C319"/>
    <mergeCell ref="B318:C318"/>
    <mergeCell ref="B317:C317"/>
    <mergeCell ref="B316:C316"/>
    <mergeCell ref="B315:C315"/>
    <mergeCell ref="B310:C310"/>
    <mergeCell ref="B309:C309"/>
    <mergeCell ref="B308:C308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G327:L327"/>
    <mergeCell ref="G328:L328"/>
    <mergeCell ref="G304:L304"/>
    <mergeCell ref="G305:L305"/>
    <mergeCell ref="G293:L293"/>
    <mergeCell ref="G297:L297"/>
    <mergeCell ref="G299:L299"/>
    <mergeCell ref="G298:L298"/>
    <mergeCell ref="G287:L287"/>
    <mergeCell ref="G288:L288"/>
    <mergeCell ref="G289:L289"/>
    <mergeCell ref="G290:L290"/>
    <mergeCell ref="G291:L291"/>
    <mergeCell ref="G292:L292"/>
    <mergeCell ref="G325:L325"/>
    <mergeCell ref="G326:L326"/>
    <mergeCell ref="G315:L315"/>
    <mergeCell ref="G316:L316"/>
    <mergeCell ref="G306:L306"/>
    <mergeCell ref="G300:L300"/>
    <mergeCell ref="G301:L301"/>
    <mergeCell ref="G302:L302"/>
    <mergeCell ref="G303:L303"/>
    <mergeCell ref="G317:L317"/>
    <mergeCell ref="G320:L320"/>
    <mergeCell ref="G307:L307"/>
    <mergeCell ref="G308:L308"/>
    <mergeCell ref="G309:L309"/>
    <mergeCell ref="G310:L310"/>
    <mergeCell ref="G314:L314"/>
    <mergeCell ref="G278:L278"/>
    <mergeCell ref="G279:L279"/>
    <mergeCell ref="G280:L280"/>
    <mergeCell ref="G281:L281"/>
    <mergeCell ref="G282:L282"/>
    <mergeCell ref="G283:L283"/>
    <mergeCell ref="G284:L284"/>
    <mergeCell ref="G254:L254"/>
    <mergeCell ref="G265:H265"/>
    <mergeCell ref="I265:J265"/>
    <mergeCell ref="G258:L258"/>
    <mergeCell ref="G255:L255"/>
    <mergeCell ref="G256:L256"/>
    <mergeCell ref="G257:L257"/>
    <mergeCell ref="G318:L318"/>
    <mergeCell ref="G319:L319"/>
    <mergeCell ref="G235:L235"/>
    <mergeCell ref="G236:L236"/>
    <mergeCell ref="G271:L271"/>
    <mergeCell ref="G272:L272"/>
    <mergeCell ref="G273:L273"/>
    <mergeCell ref="G274:L274"/>
    <mergeCell ref="G263:H263"/>
    <mergeCell ref="G227:L227"/>
    <mergeCell ref="G228:L228"/>
    <mergeCell ref="G240:L240"/>
    <mergeCell ref="G241:L241"/>
    <mergeCell ref="G242:L242"/>
    <mergeCell ref="G243:L243"/>
    <mergeCell ref="G244:L244"/>
    <mergeCell ref="G237:L237"/>
    <mergeCell ref="G238:L238"/>
    <mergeCell ref="G239:L239"/>
    <mergeCell ref="G269:L269"/>
    <mergeCell ref="G270:L270"/>
    <mergeCell ref="G246:L246"/>
    <mergeCell ref="G250:L250"/>
    <mergeCell ref="G251:L251"/>
    <mergeCell ref="G252:L252"/>
    <mergeCell ref="G253:L253"/>
    <mergeCell ref="G194:L194"/>
    <mergeCell ref="G201:L201"/>
    <mergeCell ref="G276:L276"/>
    <mergeCell ref="G277:L277"/>
    <mergeCell ref="I263:J263"/>
    <mergeCell ref="G264:H264"/>
    <mergeCell ref="I264:J264"/>
    <mergeCell ref="G218:L218"/>
    <mergeCell ref="G207:L207"/>
    <mergeCell ref="G208:L208"/>
    <mergeCell ref="G209:L209"/>
    <mergeCell ref="G210:L210"/>
    <mergeCell ref="G211:L211"/>
    <mergeCell ref="G212:L212"/>
    <mergeCell ref="G245:L245"/>
    <mergeCell ref="G232:L232"/>
    <mergeCell ref="G233:L233"/>
    <mergeCell ref="G219:L219"/>
    <mergeCell ref="G220:L220"/>
    <mergeCell ref="G221:L221"/>
    <mergeCell ref="G222:L222"/>
    <mergeCell ref="G223:L223"/>
    <mergeCell ref="G224:L224"/>
    <mergeCell ref="G234:L234"/>
    <mergeCell ref="G172:L172"/>
    <mergeCell ref="G173:L173"/>
    <mergeCell ref="G225:L225"/>
    <mergeCell ref="G226:L226"/>
    <mergeCell ref="G174:L174"/>
    <mergeCell ref="G149:L149"/>
    <mergeCell ref="G150:L150"/>
    <mergeCell ref="G151:L151"/>
    <mergeCell ref="G152:L152"/>
    <mergeCell ref="G153:L153"/>
    <mergeCell ref="G157:L157"/>
    <mergeCell ref="G186:L186"/>
    <mergeCell ref="G187:L187"/>
    <mergeCell ref="G180:L180"/>
    <mergeCell ref="G181:L181"/>
    <mergeCell ref="G182:L182"/>
    <mergeCell ref="G183:L183"/>
    <mergeCell ref="G184:L184"/>
    <mergeCell ref="G185:L185"/>
    <mergeCell ref="G178:L178"/>
    <mergeCell ref="G179:L179"/>
    <mergeCell ref="G188:L188"/>
    <mergeCell ref="G192:L192"/>
    <mergeCell ref="G193:L193"/>
    <mergeCell ref="G333:H333"/>
    <mergeCell ref="I332:J332"/>
    <mergeCell ref="I333:J333"/>
    <mergeCell ref="G128:L128"/>
    <mergeCell ref="G129:L129"/>
    <mergeCell ref="G130:L130"/>
    <mergeCell ref="G131:L131"/>
    <mergeCell ref="G132:L132"/>
    <mergeCell ref="G133:L133"/>
    <mergeCell ref="G140:L140"/>
    <mergeCell ref="G141:L141"/>
    <mergeCell ref="G145:L145"/>
    <mergeCell ref="G146:L146"/>
    <mergeCell ref="G147:L147"/>
    <mergeCell ref="G148:L148"/>
    <mergeCell ref="G134:L134"/>
    <mergeCell ref="G135:L135"/>
    <mergeCell ref="G136:L136"/>
    <mergeCell ref="G137:L137"/>
    <mergeCell ref="G138:L138"/>
    <mergeCell ref="G139:L139"/>
    <mergeCell ref="G166:L166"/>
    <mergeCell ref="G167:L167"/>
    <mergeCell ref="G168:L168"/>
    <mergeCell ref="G213:L213"/>
    <mergeCell ref="G214:L214"/>
    <mergeCell ref="G215:L215"/>
    <mergeCell ref="G216:L216"/>
    <mergeCell ref="G217:L217"/>
    <mergeCell ref="G74:L74"/>
    <mergeCell ref="G75:L75"/>
    <mergeCell ref="G44:L45"/>
    <mergeCell ref="G46:L47"/>
    <mergeCell ref="G202:L202"/>
    <mergeCell ref="G203:L203"/>
    <mergeCell ref="G204:L204"/>
    <mergeCell ref="G205:L205"/>
    <mergeCell ref="G206:L206"/>
    <mergeCell ref="G195:L195"/>
    <mergeCell ref="G196:L196"/>
    <mergeCell ref="G197:L197"/>
    <mergeCell ref="G198:L198"/>
    <mergeCell ref="G199:L199"/>
    <mergeCell ref="G200:L200"/>
    <mergeCell ref="G90:L90"/>
    <mergeCell ref="G92:L92"/>
    <mergeCell ref="G93:L93"/>
    <mergeCell ref="G94:L94"/>
    <mergeCell ref="G31:M31"/>
    <mergeCell ref="G40:L41"/>
    <mergeCell ref="G85:L85"/>
    <mergeCell ref="G86:L86"/>
    <mergeCell ref="G87:L87"/>
    <mergeCell ref="G88:L88"/>
    <mergeCell ref="G89:L89"/>
    <mergeCell ref="G73:L73"/>
    <mergeCell ref="M26:N26"/>
    <mergeCell ref="M27:N27"/>
    <mergeCell ref="M28:N28"/>
    <mergeCell ref="M29:N29"/>
    <mergeCell ref="G32:L33"/>
    <mergeCell ref="G34:L35"/>
    <mergeCell ref="G158:L158"/>
    <mergeCell ref="G159:L159"/>
    <mergeCell ref="G160:L160"/>
    <mergeCell ref="G161:L161"/>
    <mergeCell ref="G162:L162"/>
    <mergeCell ref="G91:L91"/>
    <mergeCell ref="G84:L84"/>
    <mergeCell ref="G125:L125"/>
    <mergeCell ref="G126:L126"/>
    <mergeCell ref="G127:L127"/>
    <mergeCell ref="O20:P20"/>
    <mergeCell ref="O21:P21"/>
    <mergeCell ref="O26:P26"/>
    <mergeCell ref="O27:P27"/>
    <mergeCell ref="M20:N20"/>
    <mergeCell ref="M21:N21"/>
    <mergeCell ref="O24:P24"/>
    <mergeCell ref="O25:P25"/>
    <mergeCell ref="G22:L23"/>
    <mergeCell ref="G24:L25"/>
    <mergeCell ref="M22:N22"/>
    <mergeCell ref="M23:N23"/>
    <mergeCell ref="O22:P22"/>
    <mergeCell ref="O23:P23"/>
    <mergeCell ref="G20:L21"/>
    <mergeCell ref="G26:L29"/>
    <mergeCell ref="M24:N24"/>
    <mergeCell ref="M25:N25"/>
    <mergeCell ref="F2:U3"/>
    <mergeCell ref="G83:L83"/>
    <mergeCell ref="G48:L49"/>
    <mergeCell ref="G50:L51"/>
    <mergeCell ref="G52:L53"/>
    <mergeCell ref="G63:L63"/>
    <mergeCell ref="G42:L43"/>
    <mergeCell ref="O28:P28"/>
    <mergeCell ref="O29:P29"/>
    <mergeCell ref="G36:L37"/>
    <mergeCell ref="G38:L39"/>
    <mergeCell ref="G80:L80"/>
    <mergeCell ref="G81:L81"/>
    <mergeCell ref="G82:L82"/>
    <mergeCell ref="G79:L79"/>
    <mergeCell ref="G64:L64"/>
    <mergeCell ref="G65:L65"/>
    <mergeCell ref="G66:L66"/>
    <mergeCell ref="G67:L67"/>
    <mergeCell ref="G68:L68"/>
    <mergeCell ref="G69:L69"/>
    <mergeCell ref="G70:L70"/>
    <mergeCell ref="G71:L71"/>
    <mergeCell ref="G72:L72"/>
    <mergeCell ref="B10:C10"/>
    <mergeCell ref="B11:C11"/>
    <mergeCell ref="B14:C14"/>
    <mergeCell ref="B32:C32"/>
    <mergeCell ref="B33:C33"/>
    <mergeCell ref="B34:C34"/>
    <mergeCell ref="B35:C35"/>
    <mergeCell ref="B36:C36"/>
    <mergeCell ref="B37:C37"/>
    <mergeCell ref="B26:B29"/>
    <mergeCell ref="C26:C29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6:C56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7:C97"/>
    <mergeCell ref="B106:C106"/>
    <mergeCell ref="B115:C11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6:C146"/>
    <mergeCell ref="B147:C147"/>
    <mergeCell ref="B148:C148"/>
    <mergeCell ref="B149:C149"/>
    <mergeCell ref="B150:C150"/>
    <mergeCell ref="B151:C151"/>
    <mergeCell ref="B152:C152"/>
    <mergeCell ref="B158:C158"/>
    <mergeCell ref="B159:C159"/>
    <mergeCell ref="B160:C160"/>
    <mergeCell ref="B161:C161"/>
    <mergeCell ref="B162:C162"/>
    <mergeCell ref="B167:C167"/>
    <mergeCell ref="B168:C168"/>
    <mergeCell ref="B173:C173"/>
    <mergeCell ref="B174:C174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33:C233"/>
    <mergeCell ref="B234:C234"/>
    <mergeCell ref="B254:C254"/>
    <mergeCell ref="B255:C255"/>
    <mergeCell ref="B256:C256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98:C298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F5:U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57:C257"/>
    <mergeCell ref="B258:C258"/>
    <mergeCell ref="B270:C270"/>
    <mergeCell ref="B271:C271"/>
    <mergeCell ref="B272:C272"/>
    <mergeCell ref="B273:C273"/>
    <mergeCell ref="B274:C274"/>
    <mergeCell ref="B275:C275"/>
    <mergeCell ref="B276:C276"/>
    <mergeCell ref="B244:C244"/>
    <mergeCell ref="B245:C245"/>
    <mergeCell ref="B246:C246"/>
    <mergeCell ref="B251:C251"/>
    <mergeCell ref="B252:C252"/>
    <mergeCell ref="B253:C253"/>
  </mergeCells>
  <phoneticPr fontId="1" type="noConversion"/>
  <pageMargins left="0.25" right="0.25" top="0.75" bottom="0.75" header="0.3" footer="0.3"/>
  <pageSetup paperSize="9" scale="41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1"/>
  <sheetViews>
    <sheetView showGridLines="0" zoomScaleNormal="100" workbookViewId="0">
      <pane ySplit="6" topLeftCell="A7" activePane="bottomLeft" state="frozen"/>
      <selection pane="bottomLeft" activeCell="F2" sqref="F2:U3"/>
    </sheetView>
  </sheetViews>
  <sheetFormatPr defaultColWidth="9" defaultRowHeight="18" customHeight="1"/>
  <cols>
    <col min="1" max="1" width="1.625" style="6" customWidth="1"/>
    <col min="2" max="3" width="12.375" style="1" customWidth="1"/>
    <col min="4" max="4" width="1.625" style="2" customWidth="1"/>
    <col min="5" max="5" width="1.625" style="6" customWidth="1"/>
    <col min="6" max="6" width="5.125" style="6" customWidth="1"/>
    <col min="7" max="20" width="13.5" style="6" customWidth="1"/>
    <col min="21" max="21" width="5.125" style="6" customWidth="1"/>
    <col min="22" max="22" width="1.625" style="6" customWidth="1"/>
    <col min="23" max="16384" width="9" style="6"/>
  </cols>
  <sheetData>
    <row r="1" spans="2:22" ht="9.75" customHeight="1" thickBot="1"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"/>
      <c r="V1" s="3"/>
    </row>
    <row r="2" spans="2:22" ht="18" customHeight="1">
      <c r="E2" s="4"/>
      <c r="F2" s="356" t="s">
        <v>1762</v>
      </c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8"/>
      <c r="V2" s="3"/>
    </row>
    <row r="3" spans="2:22" ht="18" customHeight="1" thickBot="1">
      <c r="E3" s="4"/>
      <c r="F3" s="359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1"/>
      <c r="V3" s="3"/>
    </row>
    <row r="4" spans="2:22" ht="9.75" customHeight="1">
      <c r="E4" s="3"/>
      <c r="F4" s="3"/>
      <c r="U4" s="3"/>
      <c r="V4" s="3"/>
    </row>
    <row r="5" spans="2:22" ht="18" customHeight="1">
      <c r="F5" s="354" t="s">
        <v>1768</v>
      </c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</row>
    <row r="6" spans="2:22" ht="18" customHeight="1">
      <c r="B6" s="193"/>
      <c r="C6" s="193"/>
      <c r="F6" s="406" t="s">
        <v>1067</v>
      </c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</row>
    <row r="7" spans="2:22" ht="9.75" customHeight="1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2:22" ht="18" customHeight="1">
      <c r="E8" s="7"/>
      <c r="V8" s="7"/>
    </row>
    <row r="9" spans="2:22" ht="18" customHeight="1">
      <c r="E9" s="7"/>
      <c r="F9" s="6" t="s">
        <v>569</v>
      </c>
      <c r="V9" s="7"/>
    </row>
    <row r="10" spans="2:22" ht="18" customHeight="1">
      <c r="B10" s="355" t="str">
        <f>HYPERLINK("#LAYOUT_m1!lay중YBRT1A","YBRT1A")</f>
        <v>YBRT1A</v>
      </c>
      <c r="C10" s="355"/>
      <c r="E10" s="7"/>
      <c r="G10" s="6" t="s">
        <v>1581</v>
      </c>
      <c r="V10" s="7"/>
    </row>
    <row r="11" spans="2:22" ht="18" customHeight="1">
      <c r="B11" s="355" t="str">
        <f>HYPERLINK("#LAYOUT_m1!lay중YBRT1B","YBRT1B")</f>
        <v>YBRT1B</v>
      </c>
      <c r="C11" s="355"/>
      <c r="E11" s="7"/>
      <c r="G11" s="6" t="s">
        <v>1582</v>
      </c>
      <c r="V11" s="7"/>
    </row>
    <row r="12" spans="2:22" ht="18" customHeight="1">
      <c r="B12" s="195"/>
      <c r="C12" s="195"/>
      <c r="E12" s="7"/>
      <c r="V12" s="7"/>
    </row>
    <row r="13" spans="2:22" ht="18" customHeight="1">
      <c r="B13" s="195"/>
      <c r="C13" s="195"/>
      <c r="E13" s="7"/>
      <c r="V13" s="7"/>
    </row>
    <row r="14" spans="2:22" ht="18" customHeight="1">
      <c r="B14" s="355" t="str">
        <f>HYPERLINK("#LAYOUT_m1!lay중YGENDER","YGENDER")</f>
        <v>YGENDER</v>
      </c>
      <c r="C14" s="355"/>
      <c r="E14" s="7"/>
      <c r="F14" s="6" t="s">
        <v>570</v>
      </c>
      <c r="V14" s="7"/>
    </row>
    <row r="15" spans="2:22" ht="18" customHeight="1">
      <c r="B15" s="195"/>
      <c r="C15" s="195"/>
      <c r="E15" s="7"/>
      <c r="G15" s="6" t="s">
        <v>571</v>
      </c>
      <c r="H15" s="6" t="s">
        <v>572</v>
      </c>
      <c r="V15" s="7"/>
    </row>
    <row r="16" spans="2:22" ht="18" customHeight="1">
      <c r="B16" s="195"/>
      <c r="C16" s="195"/>
      <c r="E16" s="7"/>
      <c r="V16" s="7"/>
    </row>
    <row r="17" spans="2:22" ht="18" customHeight="1">
      <c r="B17" s="195"/>
      <c r="C17" s="195"/>
      <c r="E17" s="7"/>
      <c r="V17" s="7"/>
    </row>
    <row r="18" spans="2:22" ht="18" customHeight="1">
      <c r="B18" s="195"/>
      <c r="C18" s="195"/>
      <c r="E18" s="7"/>
      <c r="F18" s="6" t="s">
        <v>826</v>
      </c>
      <c r="V18" s="7"/>
    </row>
    <row r="19" spans="2:22" ht="18" customHeight="1" thickBot="1">
      <c r="B19" s="195"/>
      <c r="C19" s="195"/>
      <c r="E19" s="7"/>
      <c r="G19" s="6" t="s">
        <v>573</v>
      </c>
      <c r="H19" s="8"/>
      <c r="I19" s="8"/>
      <c r="J19" s="8"/>
      <c r="K19" s="8"/>
      <c r="L19" s="8"/>
      <c r="M19" s="8"/>
      <c r="N19" s="8"/>
      <c r="O19" s="8"/>
      <c r="P19" s="8"/>
      <c r="V19" s="7"/>
    </row>
    <row r="20" spans="2:22" ht="18" customHeight="1" thickTop="1">
      <c r="B20" s="195"/>
      <c r="C20" s="195"/>
      <c r="E20" s="7"/>
      <c r="G20" s="388" t="s">
        <v>574</v>
      </c>
      <c r="H20" s="388"/>
      <c r="I20" s="388"/>
      <c r="J20" s="388"/>
      <c r="K20" s="388"/>
      <c r="L20" s="389"/>
      <c r="M20" s="375" t="s">
        <v>575</v>
      </c>
      <c r="N20" s="376"/>
      <c r="O20" s="316" t="s">
        <v>576</v>
      </c>
      <c r="P20" s="316"/>
      <c r="V20" s="7"/>
    </row>
    <row r="21" spans="2:22" ht="18" customHeight="1" thickBot="1">
      <c r="B21" s="195"/>
      <c r="C21" s="195"/>
      <c r="E21" s="7"/>
      <c r="G21" s="374"/>
      <c r="H21" s="374"/>
      <c r="I21" s="374"/>
      <c r="J21" s="374"/>
      <c r="K21" s="374"/>
      <c r="L21" s="378"/>
      <c r="M21" s="377" t="s">
        <v>577</v>
      </c>
      <c r="N21" s="378"/>
      <c r="O21" s="374" t="s">
        <v>578</v>
      </c>
      <c r="P21" s="374"/>
      <c r="V21" s="7"/>
    </row>
    <row r="22" spans="2:22" ht="18" customHeight="1" thickTop="1">
      <c r="B22" s="195" t="str">
        <f>HYPERLINK("#LAYOUT_m1!lay중YTIM1A01","YTIM1A01")</f>
        <v>YTIM1A01</v>
      </c>
      <c r="C22" s="195" t="str">
        <f>HYPERLINK("#LAYOUT_m1!lay중YTIM1A03","YTIM1A03")</f>
        <v>YTIM1A03</v>
      </c>
      <c r="E22" s="7"/>
      <c r="G22" s="380" t="s">
        <v>579</v>
      </c>
      <c r="H22" s="380"/>
      <c r="I22" s="380"/>
      <c r="J22" s="380"/>
      <c r="K22" s="380"/>
      <c r="L22" s="381"/>
      <c r="M22" s="384" t="s">
        <v>1583</v>
      </c>
      <c r="N22" s="385"/>
      <c r="O22" s="384" t="s">
        <v>1583</v>
      </c>
      <c r="P22" s="387"/>
      <c r="Q22" s="5"/>
      <c r="V22" s="7"/>
    </row>
    <row r="23" spans="2:22" ht="18" customHeight="1">
      <c r="B23" s="195" t="str">
        <f>HYPERLINK("#LAYOUT_m1!lay중YTIM1A02","YTIM1A02")</f>
        <v>YTIM1A02</v>
      </c>
      <c r="C23" s="195" t="str">
        <f>HYPERLINK("#LAYOUT_m1!lay중YTIM1A04","YTIM1A04")</f>
        <v>YTIM1A04</v>
      </c>
      <c r="E23" s="7"/>
      <c r="G23" s="371"/>
      <c r="H23" s="371"/>
      <c r="I23" s="371"/>
      <c r="J23" s="371"/>
      <c r="K23" s="371"/>
      <c r="L23" s="382"/>
      <c r="M23" s="379" t="s">
        <v>1584</v>
      </c>
      <c r="N23" s="386"/>
      <c r="O23" s="379" t="s">
        <v>1584</v>
      </c>
      <c r="P23" s="317"/>
      <c r="Q23" s="5"/>
      <c r="V23" s="7"/>
    </row>
    <row r="24" spans="2:22" ht="18" customHeight="1">
      <c r="B24" s="195" t="str">
        <f>HYPERLINK("#LAYOUT_m1!lay중YTIM1B01","YTIM1B01")</f>
        <v>YTIM1B01</v>
      </c>
      <c r="C24" s="195" t="str">
        <f>HYPERLINK("#LAYOUT_m1!lay중YTIM1B03","YTIM1B03")</f>
        <v>YTIM1B03</v>
      </c>
      <c r="E24" s="7"/>
      <c r="G24" s="370" t="s">
        <v>580</v>
      </c>
      <c r="H24" s="370"/>
      <c r="I24" s="370"/>
      <c r="J24" s="370"/>
      <c r="K24" s="370"/>
      <c r="L24" s="383"/>
      <c r="M24" s="375" t="s">
        <v>1583</v>
      </c>
      <c r="N24" s="376"/>
      <c r="O24" s="375" t="s">
        <v>1583</v>
      </c>
      <c r="P24" s="316"/>
      <c r="Q24" s="5"/>
      <c r="V24" s="7"/>
    </row>
    <row r="25" spans="2:22" ht="18" customHeight="1">
      <c r="B25" s="195" t="str">
        <f>HYPERLINK("#LAYOUT_m1!lay중YTIM1B02","YTIM1B02")</f>
        <v>YTIM1B02</v>
      </c>
      <c r="C25" s="195" t="str">
        <f>HYPERLINK("#LAYOUT_m1!lay중YTIM1B04","YTIM1B04")</f>
        <v>YTIM1B04</v>
      </c>
      <c r="E25" s="7"/>
      <c r="G25" s="371"/>
      <c r="H25" s="371"/>
      <c r="I25" s="371"/>
      <c r="J25" s="371"/>
      <c r="K25" s="371"/>
      <c r="L25" s="382"/>
      <c r="M25" s="379" t="s">
        <v>1584</v>
      </c>
      <c r="N25" s="386"/>
      <c r="O25" s="379" t="s">
        <v>1584</v>
      </c>
      <c r="P25" s="317"/>
      <c r="Q25" s="5"/>
      <c r="V25" s="7"/>
    </row>
    <row r="26" spans="2:22" ht="18" customHeight="1">
      <c r="B26" s="355" t="str">
        <f>HYPERLINK("#LAYOUT_m1!lay중YTIM1C01","YTIM1C01")</f>
        <v>YTIM1C01</v>
      </c>
      <c r="C26" s="355" t="str">
        <f>HYPERLINK("#LAYOUT_m1!lay중YTIM1C02","YTIM1C02")</f>
        <v>YTIM1C02</v>
      </c>
      <c r="E26" s="7"/>
      <c r="G26" s="370" t="s">
        <v>581</v>
      </c>
      <c r="H26" s="370"/>
      <c r="I26" s="370"/>
      <c r="J26" s="370"/>
      <c r="K26" s="370"/>
      <c r="L26" s="383"/>
      <c r="M26" s="392" t="s">
        <v>582</v>
      </c>
      <c r="N26" s="383"/>
      <c r="O26" s="370" t="s">
        <v>582</v>
      </c>
      <c r="P26" s="370"/>
      <c r="V26" s="7"/>
    </row>
    <row r="27" spans="2:22" ht="18" customHeight="1">
      <c r="B27" s="355"/>
      <c r="C27" s="355"/>
      <c r="E27" s="7"/>
      <c r="G27" s="370"/>
      <c r="H27" s="370"/>
      <c r="I27" s="370"/>
      <c r="J27" s="370"/>
      <c r="K27" s="370"/>
      <c r="L27" s="383"/>
      <c r="M27" s="392" t="s">
        <v>583</v>
      </c>
      <c r="N27" s="383"/>
      <c r="O27" s="370" t="s">
        <v>583</v>
      </c>
      <c r="P27" s="370"/>
      <c r="V27" s="7"/>
    </row>
    <row r="28" spans="2:22" ht="18" customHeight="1">
      <c r="B28" s="355"/>
      <c r="C28" s="355"/>
      <c r="E28" s="7"/>
      <c r="G28" s="370"/>
      <c r="H28" s="370"/>
      <c r="I28" s="370"/>
      <c r="J28" s="370"/>
      <c r="K28" s="370"/>
      <c r="L28" s="383"/>
      <c r="M28" s="392" t="s">
        <v>584</v>
      </c>
      <c r="N28" s="383"/>
      <c r="O28" s="370" t="s">
        <v>584</v>
      </c>
      <c r="P28" s="370"/>
      <c r="V28" s="7"/>
    </row>
    <row r="29" spans="2:22" ht="18" customHeight="1">
      <c r="B29" s="355"/>
      <c r="C29" s="355"/>
      <c r="E29" s="7"/>
      <c r="G29" s="371"/>
      <c r="H29" s="371"/>
      <c r="I29" s="371"/>
      <c r="J29" s="371"/>
      <c r="K29" s="371"/>
      <c r="L29" s="382"/>
      <c r="M29" s="393" t="s">
        <v>585</v>
      </c>
      <c r="N29" s="382"/>
      <c r="O29" s="371" t="s">
        <v>585</v>
      </c>
      <c r="P29" s="371"/>
      <c r="V29" s="7"/>
    </row>
    <row r="30" spans="2:22" ht="18" customHeight="1" thickBot="1">
      <c r="B30" s="195"/>
      <c r="C30" s="195"/>
      <c r="E30" s="7"/>
      <c r="V30" s="7"/>
    </row>
    <row r="31" spans="2:22" ht="31.5" thickTop="1" thickBot="1">
      <c r="B31" s="195"/>
      <c r="C31" s="195"/>
      <c r="E31" s="7"/>
      <c r="G31" s="390" t="s">
        <v>574</v>
      </c>
      <c r="H31" s="390"/>
      <c r="I31" s="390"/>
      <c r="J31" s="390"/>
      <c r="K31" s="390"/>
      <c r="L31" s="390"/>
      <c r="M31" s="391"/>
      <c r="N31" s="9" t="s">
        <v>62</v>
      </c>
      <c r="O31" s="9" t="s">
        <v>63</v>
      </c>
      <c r="P31" s="9" t="s">
        <v>586</v>
      </c>
      <c r="Q31" s="9" t="s">
        <v>587</v>
      </c>
      <c r="R31" s="9" t="s">
        <v>588</v>
      </c>
      <c r="S31" s="9" t="s">
        <v>589</v>
      </c>
      <c r="T31" s="10" t="s">
        <v>68</v>
      </c>
      <c r="U31" s="11"/>
      <c r="V31" s="7"/>
    </row>
    <row r="32" spans="2:22" ht="18" customHeight="1" thickTop="1">
      <c r="B32" s="355" t="str">
        <f>HYPERLINK("#LAYOUT_m1!lay중YTIM1D01","YTIM1D01")</f>
        <v>YTIM1D01</v>
      </c>
      <c r="C32" s="355"/>
      <c r="E32" s="7"/>
      <c r="G32" s="394" t="s">
        <v>590</v>
      </c>
      <c r="H32" s="394"/>
      <c r="I32" s="394"/>
      <c r="J32" s="394"/>
      <c r="K32" s="394"/>
      <c r="L32" s="395"/>
      <c r="M32" s="12" t="s">
        <v>61</v>
      </c>
      <c r="N32" s="12" t="s">
        <v>591</v>
      </c>
      <c r="O32" s="12" t="s">
        <v>592</v>
      </c>
      <c r="P32" s="12" t="s">
        <v>593</v>
      </c>
      <c r="Q32" s="12" t="s">
        <v>594</v>
      </c>
      <c r="R32" s="12" t="s">
        <v>595</v>
      </c>
      <c r="S32" s="12" t="s">
        <v>596</v>
      </c>
      <c r="T32" s="13" t="s">
        <v>597</v>
      </c>
      <c r="U32" s="11"/>
      <c r="V32" s="7"/>
    </row>
    <row r="33" spans="2:22" ht="18" customHeight="1">
      <c r="B33" s="355" t="str">
        <f>HYPERLINK("#LAYOUT_m1!lay중YTIM1D02","YTIM1D02")</f>
        <v>YTIM1D02</v>
      </c>
      <c r="C33" s="355"/>
      <c r="E33" s="7"/>
      <c r="G33" s="366"/>
      <c r="H33" s="366"/>
      <c r="I33" s="366"/>
      <c r="J33" s="366"/>
      <c r="K33" s="366"/>
      <c r="L33" s="367"/>
      <c r="M33" s="14" t="s">
        <v>69</v>
      </c>
      <c r="N33" s="14" t="s">
        <v>591</v>
      </c>
      <c r="O33" s="14" t="s">
        <v>592</v>
      </c>
      <c r="P33" s="14" t="s">
        <v>593</v>
      </c>
      <c r="Q33" s="14" t="s">
        <v>594</v>
      </c>
      <c r="R33" s="14" t="s">
        <v>595</v>
      </c>
      <c r="S33" s="14" t="s">
        <v>596</v>
      </c>
      <c r="T33" s="15" t="s">
        <v>597</v>
      </c>
      <c r="U33" s="11"/>
      <c r="V33" s="7"/>
    </row>
    <row r="34" spans="2:22" ht="18" customHeight="1">
      <c r="B34" s="355" t="str">
        <f>HYPERLINK("#LAYOUT_m1!lay중YTIM1E01","YTIM1E01")</f>
        <v>YTIM1E01</v>
      </c>
      <c r="C34" s="355"/>
      <c r="E34" s="7"/>
      <c r="G34" s="364" t="s">
        <v>598</v>
      </c>
      <c r="H34" s="364"/>
      <c r="I34" s="364"/>
      <c r="J34" s="364"/>
      <c r="K34" s="364"/>
      <c r="L34" s="365"/>
      <c r="M34" s="16" t="s">
        <v>61</v>
      </c>
      <c r="N34" s="16" t="s">
        <v>591</v>
      </c>
      <c r="O34" s="16" t="s">
        <v>592</v>
      </c>
      <c r="P34" s="16" t="s">
        <v>593</v>
      </c>
      <c r="Q34" s="16" t="s">
        <v>594</v>
      </c>
      <c r="R34" s="16" t="s">
        <v>595</v>
      </c>
      <c r="S34" s="16" t="s">
        <v>596</v>
      </c>
      <c r="T34" s="17" t="s">
        <v>597</v>
      </c>
      <c r="U34" s="11"/>
      <c r="V34" s="7"/>
    </row>
    <row r="35" spans="2:22" ht="18" customHeight="1">
      <c r="B35" s="355" t="str">
        <f>HYPERLINK("#LAYOUT_m1!lay중YTIM1E02","YTIM1E02")</f>
        <v>YTIM1E02</v>
      </c>
      <c r="C35" s="355"/>
      <c r="E35" s="7"/>
      <c r="G35" s="366"/>
      <c r="H35" s="366"/>
      <c r="I35" s="366"/>
      <c r="J35" s="366"/>
      <c r="K35" s="366"/>
      <c r="L35" s="367"/>
      <c r="M35" s="14" t="s">
        <v>69</v>
      </c>
      <c r="N35" s="14" t="s">
        <v>591</v>
      </c>
      <c r="O35" s="14" t="s">
        <v>592</v>
      </c>
      <c r="P35" s="14" t="s">
        <v>593</v>
      </c>
      <c r="Q35" s="14" t="s">
        <v>594</v>
      </c>
      <c r="R35" s="14" t="s">
        <v>595</v>
      </c>
      <c r="S35" s="14" t="s">
        <v>596</v>
      </c>
      <c r="T35" s="15" t="s">
        <v>597</v>
      </c>
      <c r="U35" s="11"/>
      <c r="V35" s="7"/>
    </row>
    <row r="36" spans="2:22" ht="18" customHeight="1">
      <c r="B36" s="355" t="str">
        <f>HYPERLINK("#LAYOUT_m1!lay중YTIM1F01","YTIM1F01")</f>
        <v>YTIM1F01</v>
      </c>
      <c r="C36" s="355"/>
      <c r="E36" s="7"/>
      <c r="G36" s="364" t="s">
        <v>599</v>
      </c>
      <c r="H36" s="364"/>
      <c r="I36" s="364"/>
      <c r="J36" s="364"/>
      <c r="K36" s="364"/>
      <c r="L36" s="365"/>
      <c r="M36" s="16" t="s">
        <v>61</v>
      </c>
      <c r="N36" s="16" t="s">
        <v>591</v>
      </c>
      <c r="O36" s="16" t="s">
        <v>592</v>
      </c>
      <c r="P36" s="16" t="s">
        <v>593</v>
      </c>
      <c r="Q36" s="16" t="s">
        <v>594</v>
      </c>
      <c r="R36" s="16" t="s">
        <v>595</v>
      </c>
      <c r="S36" s="16" t="s">
        <v>596</v>
      </c>
      <c r="T36" s="17" t="s">
        <v>597</v>
      </c>
      <c r="U36" s="11"/>
      <c r="V36" s="7"/>
    </row>
    <row r="37" spans="2:22" ht="18" customHeight="1">
      <c r="B37" s="355" t="str">
        <f>HYPERLINK("#LAYOUT_m1!lay중YTIM1F02","YTIM1F02")</f>
        <v>YTIM1F02</v>
      </c>
      <c r="C37" s="355"/>
      <c r="E37" s="7"/>
      <c r="G37" s="366"/>
      <c r="H37" s="366"/>
      <c r="I37" s="366"/>
      <c r="J37" s="366"/>
      <c r="K37" s="366"/>
      <c r="L37" s="367"/>
      <c r="M37" s="14" t="s">
        <v>69</v>
      </c>
      <c r="N37" s="14" t="s">
        <v>591</v>
      </c>
      <c r="O37" s="14" t="s">
        <v>592</v>
      </c>
      <c r="P37" s="14" t="s">
        <v>593</v>
      </c>
      <c r="Q37" s="14" t="s">
        <v>594</v>
      </c>
      <c r="R37" s="14" t="s">
        <v>595</v>
      </c>
      <c r="S37" s="14" t="s">
        <v>596</v>
      </c>
      <c r="T37" s="15" t="s">
        <v>597</v>
      </c>
      <c r="U37" s="11"/>
      <c r="V37" s="7"/>
    </row>
    <row r="38" spans="2:22" ht="18" customHeight="1">
      <c r="B38" s="355" t="str">
        <f>HYPERLINK("#LAYOUT_m1!lay중YTIM1G01","YTIM1G01")</f>
        <v>YTIM1G01</v>
      </c>
      <c r="C38" s="355"/>
      <c r="E38" s="7"/>
      <c r="G38" s="364" t="s">
        <v>600</v>
      </c>
      <c r="H38" s="364"/>
      <c r="I38" s="364"/>
      <c r="J38" s="364"/>
      <c r="K38" s="364"/>
      <c r="L38" s="365"/>
      <c r="M38" s="16" t="s">
        <v>61</v>
      </c>
      <c r="N38" s="16" t="s">
        <v>591</v>
      </c>
      <c r="O38" s="16" t="s">
        <v>592</v>
      </c>
      <c r="P38" s="16" t="s">
        <v>593</v>
      </c>
      <c r="Q38" s="16" t="s">
        <v>594</v>
      </c>
      <c r="R38" s="16" t="s">
        <v>595</v>
      </c>
      <c r="S38" s="16" t="s">
        <v>596</v>
      </c>
      <c r="T38" s="17" t="s">
        <v>597</v>
      </c>
      <c r="U38" s="11"/>
      <c r="V38" s="7"/>
    </row>
    <row r="39" spans="2:22" ht="18" customHeight="1">
      <c r="B39" s="355" t="str">
        <f>HYPERLINK("#LAYOUT_m1!lay중YTIM1G02","YTIM1G02")</f>
        <v>YTIM1G02</v>
      </c>
      <c r="C39" s="355"/>
      <c r="E39" s="7"/>
      <c r="G39" s="366"/>
      <c r="H39" s="366"/>
      <c r="I39" s="366"/>
      <c r="J39" s="366"/>
      <c r="K39" s="366"/>
      <c r="L39" s="367"/>
      <c r="M39" s="14" t="s">
        <v>69</v>
      </c>
      <c r="N39" s="14" t="s">
        <v>591</v>
      </c>
      <c r="O39" s="14" t="s">
        <v>592</v>
      </c>
      <c r="P39" s="14" t="s">
        <v>593</v>
      </c>
      <c r="Q39" s="14" t="s">
        <v>594</v>
      </c>
      <c r="R39" s="14" t="s">
        <v>595</v>
      </c>
      <c r="S39" s="14" t="s">
        <v>596</v>
      </c>
      <c r="T39" s="15" t="s">
        <v>597</v>
      </c>
      <c r="U39" s="11"/>
      <c r="V39" s="7"/>
    </row>
    <row r="40" spans="2:22" ht="18" customHeight="1">
      <c r="B40" s="355" t="str">
        <f>HYPERLINK("#LAYOUT_m1!lay중YTIM1H01","YTIM1H01")</f>
        <v>YTIM1H01</v>
      </c>
      <c r="C40" s="355"/>
      <c r="E40" s="7"/>
      <c r="G40" s="364" t="s">
        <v>601</v>
      </c>
      <c r="H40" s="364"/>
      <c r="I40" s="364"/>
      <c r="J40" s="364"/>
      <c r="K40" s="364"/>
      <c r="L40" s="365"/>
      <c r="M40" s="16" t="s">
        <v>61</v>
      </c>
      <c r="N40" s="16" t="s">
        <v>591</v>
      </c>
      <c r="O40" s="16" t="s">
        <v>592</v>
      </c>
      <c r="P40" s="16" t="s">
        <v>593</v>
      </c>
      <c r="Q40" s="16" t="s">
        <v>594</v>
      </c>
      <c r="R40" s="16" t="s">
        <v>595</v>
      </c>
      <c r="S40" s="16" t="s">
        <v>596</v>
      </c>
      <c r="T40" s="17" t="s">
        <v>597</v>
      </c>
      <c r="U40" s="11"/>
      <c r="V40" s="7"/>
    </row>
    <row r="41" spans="2:22" ht="18" customHeight="1">
      <c r="B41" s="355" t="str">
        <f>HYPERLINK("#LAYOUT_m1!lay중YTIM1H02","YTIM1H02")</f>
        <v>YTIM1H02</v>
      </c>
      <c r="C41" s="355"/>
      <c r="E41" s="7"/>
      <c r="G41" s="366"/>
      <c r="H41" s="366"/>
      <c r="I41" s="366"/>
      <c r="J41" s="366"/>
      <c r="K41" s="366"/>
      <c r="L41" s="367"/>
      <c r="M41" s="14" t="s">
        <v>69</v>
      </c>
      <c r="N41" s="14" t="s">
        <v>591</v>
      </c>
      <c r="O41" s="14" t="s">
        <v>592</v>
      </c>
      <c r="P41" s="14" t="s">
        <v>593</v>
      </c>
      <c r="Q41" s="14" t="s">
        <v>594</v>
      </c>
      <c r="R41" s="14" t="s">
        <v>595</v>
      </c>
      <c r="S41" s="14" t="s">
        <v>596</v>
      </c>
      <c r="T41" s="15" t="s">
        <v>597</v>
      </c>
      <c r="U41" s="11"/>
      <c r="V41" s="7"/>
    </row>
    <row r="42" spans="2:22" ht="18" customHeight="1">
      <c r="B42" s="355" t="str">
        <f>HYPERLINK("#LAYOUT_m1!lay중YTIM1I01","YTIM1I01")</f>
        <v>YTIM1I01</v>
      </c>
      <c r="C42" s="355"/>
      <c r="E42" s="7"/>
      <c r="G42" s="364" t="s">
        <v>602</v>
      </c>
      <c r="H42" s="364"/>
      <c r="I42" s="364"/>
      <c r="J42" s="364"/>
      <c r="K42" s="364"/>
      <c r="L42" s="365"/>
      <c r="M42" s="16" t="s">
        <v>61</v>
      </c>
      <c r="N42" s="16" t="s">
        <v>591</v>
      </c>
      <c r="O42" s="16" t="s">
        <v>592</v>
      </c>
      <c r="P42" s="16" t="s">
        <v>593</v>
      </c>
      <c r="Q42" s="16" t="s">
        <v>594</v>
      </c>
      <c r="R42" s="16" t="s">
        <v>595</v>
      </c>
      <c r="S42" s="16" t="s">
        <v>596</v>
      </c>
      <c r="T42" s="17" t="s">
        <v>597</v>
      </c>
      <c r="U42" s="11"/>
      <c r="V42" s="7"/>
    </row>
    <row r="43" spans="2:22" ht="18" customHeight="1">
      <c r="B43" s="355" t="str">
        <f>HYPERLINK("#LAYOUT_m1!lay중YTIM1I02","YTIM1I02")</f>
        <v>YTIM1I02</v>
      </c>
      <c r="C43" s="355"/>
      <c r="E43" s="7"/>
      <c r="G43" s="366"/>
      <c r="H43" s="366"/>
      <c r="I43" s="366"/>
      <c r="J43" s="366"/>
      <c r="K43" s="366"/>
      <c r="L43" s="367"/>
      <c r="M43" s="14" t="s">
        <v>69</v>
      </c>
      <c r="N43" s="14" t="s">
        <v>591</v>
      </c>
      <c r="O43" s="14" t="s">
        <v>592</v>
      </c>
      <c r="P43" s="14" t="s">
        <v>593</v>
      </c>
      <c r="Q43" s="14" t="s">
        <v>594</v>
      </c>
      <c r="R43" s="14" t="s">
        <v>595</v>
      </c>
      <c r="S43" s="14" t="s">
        <v>596</v>
      </c>
      <c r="T43" s="15" t="s">
        <v>597</v>
      </c>
      <c r="U43" s="11"/>
      <c r="V43" s="7"/>
    </row>
    <row r="44" spans="2:22" ht="18" customHeight="1">
      <c r="B44" s="355" t="str">
        <f>HYPERLINK("#LAYOUT_m1!lay중YTIM1J01","YTIM1J01")</f>
        <v>YTIM1J01</v>
      </c>
      <c r="C44" s="355"/>
      <c r="E44" s="7"/>
      <c r="G44" s="364" t="s">
        <v>603</v>
      </c>
      <c r="H44" s="364"/>
      <c r="I44" s="364"/>
      <c r="J44" s="364"/>
      <c r="K44" s="364"/>
      <c r="L44" s="365"/>
      <c r="M44" s="16" t="s">
        <v>61</v>
      </c>
      <c r="N44" s="16" t="s">
        <v>591</v>
      </c>
      <c r="O44" s="16" t="s">
        <v>592</v>
      </c>
      <c r="P44" s="16" t="s">
        <v>593</v>
      </c>
      <c r="Q44" s="16" t="s">
        <v>594</v>
      </c>
      <c r="R44" s="16" t="s">
        <v>595</v>
      </c>
      <c r="S44" s="16" t="s">
        <v>596</v>
      </c>
      <c r="T44" s="17" t="s">
        <v>597</v>
      </c>
      <c r="U44" s="11"/>
      <c r="V44" s="7"/>
    </row>
    <row r="45" spans="2:22" ht="18" customHeight="1">
      <c r="B45" s="355" t="str">
        <f>HYPERLINK("#LAYOUT_m1!lay중YTIM1J02","YTIM1J02")</f>
        <v>YTIM1J02</v>
      </c>
      <c r="C45" s="355"/>
      <c r="E45" s="7"/>
      <c r="G45" s="366"/>
      <c r="H45" s="366"/>
      <c r="I45" s="366"/>
      <c r="J45" s="366"/>
      <c r="K45" s="366"/>
      <c r="L45" s="367"/>
      <c r="M45" s="14" t="s">
        <v>69</v>
      </c>
      <c r="N45" s="14" t="s">
        <v>591</v>
      </c>
      <c r="O45" s="14" t="s">
        <v>592</v>
      </c>
      <c r="P45" s="14" t="s">
        <v>593</v>
      </c>
      <c r="Q45" s="14" t="s">
        <v>594</v>
      </c>
      <c r="R45" s="14" t="s">
        <v>595</v>
      </c>
      <c r="S45" s="14" t="s">
        <v>596</v>
      </c>
      <c r="T45" s="15" t="s">
        <v>597</v>
      </c>
      <c r="U45" s="11"/>
      <c r="V45" s="7"/>
    </row>
    <row r="46" spans="2:22" ht="18" customHeight="1">
      <c r="B46" s="355" t="str">
        <f>HYPERLINK("#LAYOUT_m1!lay중YTIM1K01","YTIM1K01")</f>
        <v>YTIM1K01</v>
      </c>
      <c r="C46" s="355"/>
      <c r="E46" s="7"/>
      <c r="G46" s="364" t="s">
        <v>604</v>
      </c>
      <c r="H46" s="364"/>
      <c r="I46" s="364"/>
      <c r="J46" s="364"/>
      <c r="K46" s="364"/>
      <c r="L46" s="365"/>
      <c r="M46" s="16" t="s">
        <v>61</v>
      </c>
      <c r="N46" s="16" t="s">
        <v>591</v>
      </c>
      <c r="O46" s="16" t="s">
        <v>592</v>
      </c>
      <c r="P46" s="16" t="s">
        <v>593</v>
      </c>
      <c r="Q46" s="16" t="s">
        <v>594</v>
      </c>
      <c r="R46" s="16" t="s">
        <v>595</v>
      </c>
      <c r="S46" s="16" t="s">
        <v>596</v>
      </c>
      <c r="T46" s="17" t="s">
        <v>597</v>
      </c>
      <c r="U46" s="11"/>
      <c r="V46" s="7"/>
    </row>
    <row r="47" spans="2:22" ht="18" customHeight="1">
      <c r="B47" s="355" t="str">
        <f>HYPERLINK("#LAYOUT_m1!lay중YTIM1K02","YTIM1K02")</f>
        <v>YTIM1K02</v>
      </c>
      <c r="C47" s="355"/>
      <c r="E47" s="7"/>
      <c r="G47" s="366"/>
      <c r="H47" s="366"/>
      <c r="I47" s="366"/>
      <c r="J47" s="366"/>
      <c r="K47" s="366"/>
      <c r="L47" s="367"/>
      <c r="M47" s="14" t="s">
        <v>69</v>
      </c>
      <c r="N47" s="14" t="s">
        <v>591</v>
      </c>
      <c r="O47" s="14" t="s">
        <v>592</v>
      </c>
      <c r="P47" s="14" t="s">
        <v>593</v>
      </c>
      <c r="Q47" s="14" t="s">
        <v>594</v>
      </c>
      <c r="R47" s="14" t="s">
        <v>595</v>
      </c>
      <c r="S47" s="14" t="s">
        <v>596</v>
      </c>
      <c r="T47" s="15" t="s">
        <v>597</v>
      </c>
      <c r="U47" s="11"/>
      <c r="V47" s="7"/>
    </row>
    <row r="48" spans="2:22" ht="18" customHeight="1">
      <c r="B48" s="355" t="str">
        <f>HYPERLINK("#LAYOUT_m1!lay중YTIM1L01","YTIM1L01")</f>
        <v>YTIM1L01</v>
      </c>
      <c r="C48" s="355"/>
      <c r="E48" s="7"/>
      <c r="G48" s="364" t="s">
        <v>605</v>
      </c>
      <c r="H48" s="364"/>
      <c r="I48" s="364"/>
      <c r="J48" s="364"/>
      <c r="K48" s="364"/>
      <c r="L48" s="365"/>
      <c r="M48" s="16" t="s">
        <v>61</v>
      </c>
      <c r="N48" s="16" t="s">
        <v>591</v>
      </c>
      <c r="O48" s="16" t="s">
        <v>592</v>
      </c>
      <c r="P48" s="16" t="s">
        <v>593</v>
      </c>
      <c r="Q48" s="16" t="s">
        <v>594</v>
      </c>
      <c r="R48" s="16" t="s">
        <v>595</v>
      </c>
      <c r="S48" s="16" t="s">
        <v>596</v>
      </c>
      <c r="T48" s="17" t="s">
        <v>597</v>
      </c>
      <c r="U48" s="11"/>
      <c r="V48" s="7"/>
    </row>
    <row r="49" spans="2:22" ht="18" customHeight="1">
      <c r="B49" s="355" t="str">
        <f>HYPERLINK("#LAYOUT_m1!lay중YTIM1L02","YTIM1L02")</f>
        <v>YTIM1L02</v>
      </c>
      <c r="C49" s="355"/>
      <c r="E49" s="7"/>
      <c r="G49" s="366"/>
      <c r="H49" s="366"/>
      <c r="I49" s="366"/>
      <c r="J49" s="366"/>
      <c r="K49" s="366"/>
      <c r="L49" s="367"/>
      <c r="M49" s="14" t="s">
        <v>69</v>
      </c>
      <c r="N49" s="14" t="s">
        <v>591</v>
      </c>
      <c r="O49" s="14" t="s">
        <v>592</v>
      </c>
      <c r="P49" s="14" t="s">
        <v>593</v>
      </c>
      <c r="Q49" s="14" t="s">
        <v>594</v>
      </c>
      <c r="R49" s="14" t="s">
        <v>595</v>
      </c>
      <c r="S49" s="14" t="s">
        <v>596</v>
      </c>
      <c r="T49" s="15" t="s">
        <v>597</v>
      </c>
      <c r="U49" s="11"/>
      <c r="V49" s="7"/>
    </row>
    <row r="50" spans="2:22" ht="18" customHeight="1">
      <c r="B50" s="355" t="str">
        <f>HYPERLINK("#LAYOUT_m1!lay중YTIM1M01","YTIM1M01")</f>
        <v>YTIM1M01</v>
      </c>
      <c r="C50" s="355"/>
      <c r="E50" s="7"/>
      <c r="G50" s="364" t="s">
        <v>606</v>
      </c>
      <c r="H50" s="364"/>
      <c r="I50" s="364"/>
      <c r="J50" s="364"/>
      <c r="K50" s="364"/>
      <c r="L50" s="365"/>
      <c r="M50" s="16" t="s">
        <v>61</v>
      </c>
      <c r="N50" s="16" t="s">
        <v>591</v>
      </c>
      <c r="O50" s="16" t="s">
        <v>592</v>
      </c>
      <c r="P50" s="16" t="s">
        <v>593</v>
      </c>
      <c r="Q50" s="16" t="s">
        <v>594</v>
      </c>
      <c r="R50" s="16" t="s">
        <v>595</v>
      </c>
      <c r="S50" s="16" t="s">
        <v>596</v>
      </c>
      <c r="T50" s="17" t="s">
        <v>597</v>
      </c>
      <c r="U50" s="11"/>
      <c r="V50" s="7"/>
    </row>
    <row r="51" spans="2:22" ht="18" customHeight="1">
      <c r="B51" s="355" t="str">
        <f>HYPERLINK("#LAYOUT_m1!lay중YTIM1M02","YTIM1M02")</f>
        <v>YTIM1M02</v>
      </c>
      <c r="C51" s="355"/>
      <c r="E51" s="7"/>
      <c r="G51" s="366"/>
      <c r="H51" s="366"/>
      <c r="I51" s="366"/>
      <c r="J51" s="366"/>
      <c r="K51" s="366"/>
      <c r="L51" s="367"/>
      <c r="M51" s="14" t="s">
        <v>69</v>
      </c>
      <c r="N51" s="14" t="s">
        <v>591</v>
      </c>
      <c r="O51" s="14" t="s">
        <v>592</v>
      </c>
      <c r="P51" s="14" t="s">
        <v>593</v>
      </c>
      <c r="Q51" s="14" t="s">
        <v>594</v>
      </c>
      <c r="R51" s="14" t="s">
        <v>595</v>
      </c>
      <c r="S51" s="14" t="s">
        <v>596</v>
      </c>
      <c r="T51" s="15" t="s">
        <v>597</v>
      </c>
      <c r="U51" s="11"/>
      <c r="V51" s="7"/>
    </row>
    <row r="52" spans="2:22" ht="18" customHeight="1">
      <c r="B52" s="355" t="str">
        <f>HYPERLINK("#LAYOUT_m1!lay중YTIM1N01","YTIM1N01")</f>
        <v>YTIM1N01</v>
      </c>
      <c r="C52" s="355"/>
      <c r="E52" s="7"/>
      <c r="G52" s="364" t="s">
        <v>607</v>
      </c>
      <c r="H52" s="364"/>
      <c r="I52" s="364"/>
      <c r="J52" s="364"/>
      <c r="K52" s="364"/>
      <c r="L52" s="365"/>
      <c r="M52" s="16" t="s">
        <v>61</v>
      </c>
      <c r="N52" s="16" t="s">
        <v>591</v>
      </c>
      <c r="O52" s="16" t="s">
        <v>592</v>
      </c>
      <c r="P52" s="16" t="s">
        <v>593</v>
      </c>
      <c r="Q52" s="16" t="s">
        <v>594</v>
      </c>
      <c r="R52" s="16" t="s">
        <v>595</v>
      </c>
      <c r="S52" s="16" t="s">
        <v>596</v>
      </c>
      <c r="T52" s="17" t="s">
        <v>597</v>
      </c>
      <c r="U52" s="11"/>
      <c r="V52" s="7"/>
    </row>
    <row r="53" spans="2:22" ht="18" customHeight="1">
      <c r="B53" s="355" t="str">
        <f>HYPERLINK("#LAYOUT_m1!lay중YTIM1N02","YTIM1N02")</f>
        <v>YTIM1N02</v>
      </c>
      <c r="C53" s="355"/>
      <c r="E53" s="7"/>
      <c r="G53" s="366"/>
      <c r="H53" s="366"/>
      <c r="I53" s="366"/>
      <c r="J53" s="366"/>
      <c r="K53" s="366"/>
      <c r="L53" s="367"/>
      <c r="M53" s="14" t="s">
        <v>69</v>
      </c>
      <c r="N53" s="14" t="s">
        <v>591</v>
      </c>
      <c r="O53" s="14" t="s">
        <v>592</v>
      </c>
      <c r="P53" s="14" t="s">
        <v>593</v>
      </c>
      <c r="Q53" s="14" t="s">
        <v>594</v>
      </c>
      <c r="R53" s="14" t="s">
        <v>595</v>
      </c>
      <c r="S53" s="14" t="s">
        <v>596</v>
      </c>
      <c r="T53" s="15" t="s">
        <v>597</v>
      </c>
      <c r="U53" s="11"/>
      <c r="V53" s="7"/>
    </row>
    <row r="54" spans="2:22" ht="18" customHeight="1">
      <c r="B54" s="195"/>
      <c r="C54" s="195"/>
      <c r="E54" s="7"/>
      <c r="V54" s="7"/>
    </row>
    <row r="55" spans="2:22" ht="18" customHeight="1">
      <c r="B55" s="195"/>
      <c r="C55" s="195"/>
      <c r="E55" s="7"/>
      <c r="V55" s="7"/>
    </row>
    <row r="56" spans="2:22" ht="18" customHeight="1">
      <c r="B56" s="355" t="str">
        <f>HYPERLINK("#LAYOUT_m1!lay중YMDA1A00","YMDA1A00")</f>
        <v>YMDA1A00</v>
      </c>
      <c r="C56" s="355"/>
      <c r="E56" s="7"/>
      <c r="F56" s="6" t="s">
        <v>608</v>
      </c>
      <c r="V56" s="7"/>
    </row>
    <row r="57" spans="2:22" ht="18" customHeight="1">
      <c r="B57" s="195"/>
      <c r="C57" s="195"/>
      <c r="E57" s="7"/>
      <c r="G57" s="6" t="s">
        <v>1585</v>
      </c>
      <c r="V57" s="7"/>
    </row>
    <row r="58" spans="2:22" ht="18" customHeight="1">
      <c r="B58" s="195"/>
      <c r="C58" s="195"/>
      <c r="E58" s="7"/>
      <c r="G58" s="6" t="s">
        <v>1586</v>
      </c>
      <c r="V58" s="7"/>
    </row>
    <row r="59" spans="2:22" ht="18" customHeight="1">
      <c r="B59" s="195"/>
      <c r="C59" s="195"/>
      <c r="E59" s="7"/>
      <c r="G59" s="6" t="s">
        <v>1587</v>
      </c>
      <c r="V59" s="7"/>
    </row>
    <row r="60" spans="2:22" ht="18" customHeight="1">
      <c r="B60" s="195"/>
      <c r="C60" s="195"/>
      <c r="E60" s="7"/>
      <c r="V60" s="7"/>
    </row>
    <row r="61" spans="2:22" ht="18" customHeight="1">
      <c r="B61" s="195"/>
      <c r="C61" s="195"/>
      <c r="E61" s="7"/>
      <c r="V61" s="7"/>
    </row>
    <row r="62" spans="2:22" ht="18" customHeight="1" thickBot="1">
      <c r="B62" s="195"/>
      <c r="C62" s="195"/>
      <c r="E62" s="7"/>
      <c r="F62" s="6" t="s">
        <v>1588</v>
      </c>
      <c r="V62" s="7"/>
    </row>
    <row r="63" spans="2:22" ht="31.5" thickTop="1" thickBot="1">
      <c r="B63" s="195"/>
      <c r="C63" s="195"/>
      <c r="E63" s="7"/>
      <c r="F63" s="18"/>
      <c r="G63" s="368" t="s">
        <v>574</v>
      </c>
      <c r="H63" s="368"/>
      <c r="I63" s="368"/>
      <c r="J63" s="368"/>
      <c r="K63" s="368"/>
      <c r="L63" s="369"/>
      <c r="M63" s="9" t="s">
        <v>86</v>
      </c>
      <c r="N63" s="9" t="s">
        <v>87</v>
      </c>
      <c r="O63" s="9" t="s">
        <v>88</v>
      </c>
      <c r="P63" s="9" t="s">
        <v>89</v>
      </c>
      <c r="Q63" s="19" t="s">
        <v>90</v>
      </c>
      <c r="V63" s="7"/>
    </row>
    <row r="64" spans="2:22" ht="18" customHeight="1" thickTop="1">
      <c r="B64" s="355" t="str">
        <f>HYPERLINK("#LAYOUT_m1!lay중YMDA1B01","YMDA1B01")</f>
        <v>YMDA1B01</v>
      </c>
      <c r="C64" s="355"/>
      <c r="E64" s="7"/>
      <c r="G64" s="372" t="s">
        <v>609</v>
      </c>
      <c r="H64" s="372"/>
      <c r="I64" s="372"/>
      <c r="J64" s="372"/>
      <c r="K64" s="372"/>
      <c r="L64" s="373"/>
      <c r="M64" s="20" t="s">
        <v>591</v>
      </c>
      <c r="N64" s="20" t="s">
        <v>592</v>
      </c>
      <c r="O64" s="20" t="s">
        <v>593</v>
      </c>
      <c r="P64" s="20" t="s">
        <v>594</v>
      </c>
      <c r="Q64" s="21"/>
      <c r="V64" s="7"/>
    </row>
    <row r="65" spans="2:22" ht="18" customHeight="1">
      <c r="B65" s="355" t="str">
        <f>HYPERLINK("#LAYOUT_m1!lay중YMDA1B02","YMDA1B02")</f>
        <v>YMDA1B02</v>
      </c>
      <c r="C65" s="355"/>
      <c r="E65" s="7"/>
      <c r="G65" s="362" t="s">
        <v>610</v>
      </c>
      <c r="H65" s="362"/>
      <c r="I65" s="362"/>
      <c r="J65" s="362"/>
      <c r="K65" s="362"/>
      <c r="L65" s="363"/>
      <c r="M65" s="22" t="s">
        <v>591</v>
      </c>
      <c r="N65" s="22" t="s">
        <v>592</v>
      </c>
      <c r="O65" s="22" t="s">
        <v>593</v>
      </c>
      <c r="P65" s="22" t="s">
        <v>594</v>
      </c>
      <c r="Q65" s="23"/>
      <c r="V65" s="7"/>
    </row>
    <row r="66" spans="2:22" ht="18" customHeight="1">
      <c r="B66" s="355" t="str">
        <f>HYPERLINK("#LAYOUT_m1!lay중YMDA1B03","YMDA1B03")</f>
        <v>YMDA1B03</v>
      </c>
      <c r="C66" s="355"/>
      <c r="E66" s="7"/>
      <c r="G66" s="362" t="s">
        <v>611</v>
      </c>
      <c r="H66" s="362"/>
      <c r="I66" s="362"/>
      <c r="J66" s="362"/>
      <c r="K66" s="362"/>
      <c r="L66" s="363"/>
      <c r="M66" s="22" t="s">
        <v>591</v>
      </c>
      <c r="N66" s="22" t="s">
        <v>592</v>
      </c>
      <c r="O66" s="22" t="s">
        <v>593</v>
      </c>
      <c r="P66" s="22" t="s">
        <v>594</v>
      </c>
      <c r="Q66" s="23"/>
      <c r="V66" s="7"/>
    </row>
    <row r="67" spans="2:22" ht="18" customHeight="1">
      <c r="B67" s="355" t="str">
        <f>HYPERLINK("#LAYOUT_m1!lay중YMDA1B04","YMDA1B04")</f>
        <v>YMDA1B04</v>
      </c>
      <c r="C67" s="355"/>
      <c r="E67" s="7"/>
      <c r="G67" s="362" t="s">
        <v>612</v>
      </c>
      <c r="H67" s="362"/>
      <c r="I67" s="362"/>
      <c r="J67" s="362"/>
      <c r="K67" s="362"/>
      <c r="L67" s="363"/>
      <c r="M67" s="22" t="s">
        <v>591</v>
      </c>
      <c r="N67" s="22" t="s">
        <v>592</v>
      </c>
      <c r="O67" s="22" t="s">
        <v>593</v>
      </c>
      <c r="P67" s="22" t="s">
        <v>594</v>
      </c>
      <c r="Q67" s="23"/>
      <c r="V67" s="7"/>
    </row>
    <row r="68" spans="2:22" ht="18" customHeight="1">
      <c r="B68" s="355" t="str">
        <f>HYPERLINK("#LAYOUT_m1!lay중YMDA1B05","YMDA1B05")</f>
        <v>YMDA1B05</v>
      </c>
      <c r="C68" s="355"/>
      <c r="E68" s="7"/>
      <c r="G68" s="362" t="s">
        <v>613</v>
      </c>
      <c r="H68" s="362"/>
      <c r="I68" s="362"/>
      <c r="J68" s="362"/>
      <c r="K68" s="362"/>
      <c r="L68" s="363"/>
      <c r="M68" s="22" t="s">
        <v>591</v>
      </c>
      <c r="N68" s="22" t="s">
        <v>592</v>
      </c>
      <c r="O68" s="22" t="s">
        <v>593</v>
      </c>
      <c r="P68" s="22" t="s">
        <v>594</v>
      </c>
      <c r="Q68" s="23"/>
      <c r="V68" s="7"/>
    </row>
    <row r="69" spans="2:22" ht="18" customHeight="1">
      <c r="B69" s="355" t="str">
        <f>HYPERLINK("#LAYOUT_m1!lay중YMDA1B06","YMDA1B06")</f>
        <v>YMDA1B06</v>
      </c>
      <c r="C69" s="355"/>
      <c r="E69" s="7"/>
      <c r="G69" s="362" t="s">
        <v>614</v>
      </c>
      <c r="H69" s="362"/>
      <c r="I69" s="362"/>
      <c r="J69" s="362"/>
      <c r="K69" s="362"/>
      <c r="L69" s="363"/>
      <c r="M69" s="22" t="s">
        <v>591</v>
      </c>
      <c r="N69" s="22" t="s">
        <v>592</v>
      </c>
      <c r="O69" s="22" t="s">
        <v>593</v>
      </c>
      <c r="P69" s="22" t="s">
        <v>594</v>
      </c>
      <c r="Q69" s="23"/>
      <c r="V69" s="7"/>
    </row>
    <row r="70" spans="2:22" ht="18" customHeight="1">
      <c r="B70" s="355" t="str">
        <f>HYPERLINK("#LAYOUT_m1!lay중YMDA1B07","YMDA1B07")</f>
        <v>YMDA1B07</v>
      </c>
      <c r="C70" s="355"/>
      <c r="E70" s="7"/>
      <c r="G70" s="362" t="s">
        <v>615</v>
      </c>
      <c r="H70" s="362"/>
      <c r="I70" s="362"/>
      <c r="J70" s="362"/>
      <c r="K70" s="362"/>
      <c r="L70" s="363"/>
      <c r="M70" s="22" t="s">
        <v>591</v>
      </c>
      <c r="N70" s="22" t="s">
        <v>592</v>
      </c>
      <c r="O70" s="22" t="s">
        <v>593</v>
      </c>
      <c r="P70" s="22" t="s">
        <v>594</v>
      </c>
      <c r="Q70" s="23"/>
      <c r="V70" s="7"/>
    </row>
    <row r="71" spans="2:22" ht="18" customHeight="1">
      <c r="B71" s="355" t="str">
        <f>HYPERLINK("#LAYOUT_m1!lay중YMDA1B08","YMDA1B08")</f>
        <v>YMDA1B08</v>
      </c>
      <c r="C71" s="355"/>
      <c r="E71" s="7"/>
      <c r="G71" s="362" t="s">
        <v>616</v>
      </c>
      <c r="H71" s="362"/>
      <c r="I71" s="362"/>
      <c r="J71" s="362"/>
      <c r="K71" s="362"/>
      <c r="L71" s="363"/>
      <c r="M71" s="22" t="s">
        <v>591</v>
      </c>
      <c r="N71" s="22" t="s">
        <v>592</v>
      </c>
      <c r="O71" s="22" t="s">
        <v>593</v>
      </c>
      <c r="P71" s="22" t="s">
        <v>594</v>
      </c>
      <c r="Q71" s="23"/>
      <c r="V71" s="7"/>
    </row>
    <row r="72" spans="2:22" ht="18" customHeight="1">
      <c r="B72" s="355" t="str">
        <f>HYPERLINK("#LAYOUT_m1!lay중YMDA1B09","YMDA1B09")</f>
        <v>YMDA1B09</v>
      </c>
      <c r="C72" s="355"/>
      <c r="E72" s="7"/>
      <c r="G72" s="362" t="s">
        <v>617</v>
      </c>
      <c r="H72" s="362"/>
      <c r="I72" s="362"/>
      <c r="J72" s="362"/>
      <c r="K72" s="362"/>
      <c r="L72" s="363"/>
      <c r="M72" s="22" t="s">
        <v>591</v>
      </c>
      <c r="N72" s="22" t="s">
        <v>592</v>
      </c>
      <c r="O72" s="22" t="s">
        <v>593</v>
      </c>
      <c r="P72" s="22" t="s">
        <v>594</v>
      </c>
      <c r="Q72" s="23"/>
      <c r="V72" s="7"/>
    </row>
    <row r="73" spans="2:22" ht="18" customHeight="1">
      <c r="B73" s="355" t="str">
        <f>HYPERLINK("#LAYOUT_m1!lay중YMDA1B10","YMDA1B10")</f>
        <v>YMDA1B10</v>
      </c>
      <c r="C73" s="355"/>
      <c r="E73" s="7"/>
      <c r="G73" s="362" t="s">
        <v>618</v>
      </c>
      <c r="H73" s="362"/>
      <c r="I73" s="362"/>
      <c r="J73" s="362"/>
      <c r="K73" s="362"/>
      <c r="L73" s="363"/>
      <c r="M73" s="22" t="s">
        <v>591</v>
      </c>
      <c r="N73" s="22" t="s">
        <v>592</v>
      </c>
      <c r="O73" s="22" t="s">
        <v>593</v>
      </c>
      <c r="P73" s="22" t="s">
        <v>594</v>
      </c>
      <c r="Q73" s="23"/>
      <c r="V73" s="7"/>
    </row>
    <row r="74" spans="2:22" ht="18" customHeight="1">
      <c r="B74" s="355" t="str">
        <f>HYPERLINK("#LAYOUT_m1!lay중YMDA1B11","YMDA1B11")</f>
        <v>YMDA1B11</v>
      </c>
      <c r="C74" s="355"/>
      <c r="E74" s="7"/>
      <c r="G74" s="362" t="s">
        <v>619</v>
      </c>
      <c r="H74" s="362"/>
      <c r="I74" s="362"/>
      <c r="J74" s="362"/>
      <c r="K74" s="362"/>
      <c r="L74" s="363"/>
      <c r="M74" s="22" t="s">
        <v>591</v>
      </c>
      <c r="N74" s="22" t="s">
        <v>592</v>
      </c>
      <c r="O74" s="22" t="s">
        <v>593</v>
      </c>
      <c r="P74" s="22" t="s">
        <v>594</v>
      </c>
      <c r="Q74" s="23"/>
      <c r="V74" s="7"/>
    </row>
    <row r="75" spans="2:22" ht="18" customHeight="1">
      <c r="B75" s="195" t="str">
        <f>HYPERLINK("#LAYOUT_m1!lay중YMDA1B13","YMDA1B13")</f>
        <v>YMDA1B13</v>
      </c>
      <c r="C75" s="195" t="str">
        <f>HYPERLINK("#LAYOUT_m1!lay중YMDA1B13_T","YMDA1B13_T")</f>
        <v>YMDA1B13_T</v>
      </c>
      <c r="E75" s="7"/>
      <c r="G75" s="362" t="s">
        <v>1589</v>
      </c>
      <c r="H75" s="362"/>
      <c r="I75" s="362"/>
      <c r="J75" s="362"/>
      <c r="K75" s="362"/>
      <c r="L75" s="363"/>
      <c r="M75" s="22" t="s">
        <v>591</v>
      </c>
      <c r="N75" s="22" t="s">
        <v>592</v>
      </c>
      <c r="O75" s="22" t="s">
        <v>593</v>
      </c>
      <c r="P75" s="22" t="s">
        <v>594</v>
      </c>
      <c r="Q75" s="24" t="s">
        <v>620</v>
      </c>
      <c r="V75" s="7"/>
    </row>
    <row r="76" spans="2:22" ht="18" customHeight="1">
      <c r="B76" s="195"/>
      <c r="C76" s="195"/>
      <c r="E76" s="7"/>
      <c r="V76" s="7"/>
    </row>
    <row r="77" spans="2:22" ht="18" customHeight="1">
      <c r="B77" s="195"/>
      <c r="C77" s="195"/>
      <c r="E77" s="7"/>
      <c r="V77" s="7"/>
    </row>
    <row r="78" spans="2:22" ht="18" customHeight="1" thickBot="1">
      <c r="B78" s="195"/>
      <c r="C78" s="195"/>
      <c r="E78" s="7"/>
      <c r="F78" s="6" t="s">
        <v>621</v>
      </c>
      <c r="V78" s="7"/>
    </row>
    <row r="79" spans="2:22" ht="31.5" thickTop="1" thickBot="1">
      <c r="B79" s="195"/>
      <c r="C79" s="195"/>
      <c r="E79" s="7"/>
      <c r="G79" s="368" t="s">
        <v>574</v>
      </c>
      <c r="H79" s="368"/>
      <c r="I79" s="368"/>
      <c r="J79" s="368"/>
      <c r="K79" s="368"/>
      <c r="L79" s="369"/>
      <c r="M79" s="9" t="s">
        <v>622</v>
      </c>
      <c r="N79" s="9" t="s">
        <v>623</v>
      </c>
      <c r="O79" s="9" t="s">
        <v>107</v>
      </c>
      <c r="P79" s="10" t="s">
        <v>108</v>
      </c>
      <c r="V79" s="7"/>
    </row>
    <row r="80" spans="2:22" ht="18" customHeight="1" thickTop="1">
      <c r="B80" s="355" t="str">
        <f>HYPERLINK("#LAYOUT_m1!lay중YMDA1C01","YMDA1C01")</f>
        <v>YMDA1C01</v>
      </c>
      <c r="C80" s="355"/>
      <c r="E80" s="7"/>
      <c r="G80" s="372" t="s">
        <v>624</v>
      </c>
      <c r="H80" s="372"/>
      <c r="I80" s="372"/>
      <c r="J80" s="372"/>
      <c r="K80" s="372"/>
      <c r="L80" s="373"/>
      <c r="M80" s="20" t="s">
        <v>591</v>
      </c>
      <c r="N80" s="20" t="s">
        <v>592</v>
      </c>
      <c r="O80" s="20" t="s">
        <v>593</v>
      </c>
      <c r="P80" s="25" t="s">
        <v>594</v>
      </c>
      <c r="V80" s="7"/>
    </row>
    <row r="81" spans="2:22" ht="18" customHeight="1">
      <c r="B81" s="355" t="str">
        <f>HYPERLINK("#LAYOUT_m1!lay중YMDA1C02","YMDA1C02")</f>
        <v>YMDA1C02</v>
      </c>
      <c r="C81" s="355"/>
      <c r="E81" s="7"/>
      <c r="G81" s="362" t="s">
        <v>625</v>
      </c>
      <c r="H81" s="362"/>
      <c r="I81" s="362"/>
      <c r="J81" s="362"/>
      <c r="K81" s="362"/>
      <c r="L81" s="363"/>
      <c r="M81" s="22" t="s">
        <v>591</v>
      </c>
      <c r="N81" s="22" t="s">
        <v>592</v>
      </c>
      <c r="O81" s="22" t="s">
        <v>593</v>
      </c>
      <c r="P81" s="24" t="s">
        <v>594</v>
      </c>
      <c r="V81" s="7"/>
    </row>
    <row r="82" spans="2:22" ht="18" customHeight="1">
      <c r="B82" s="355" t="str">
        <f>HYPERLINK("#LAYOUT_m1!lay중YMDA1C03","YMDA1C03")</f>
        <v>YMDA1C03</v>
      </c>
      <c r="C82" s="355"/>
      <c r="E82" s="7"/>
      <c r="G82" s="362" t="s">
        <v>626</v>
      </c>
      <c r="H82" s="362"/>
      <c r="I82" s="362"/>
      <c r="J82" s="362"/>
      <c r="K82" s="362"/>
      <c r="L82" s="363"/>
      <c r="M82" s="22" t="s">
        <v>591</v>
      </c>
      <c r="N82" s="22" t="s">
        <v>592</v>
      </c>
      <c r="O82" s="22" t="s">
        <v>593</v>
      </c>
      <c r="P82" s="24" t="s">
        <v>594</v>
      </c>
      <c r="V82" s="7"/>
    </row>
    <row r="83" spans="2:22" ht="18" customHeight="1">
      <c r="B83" s="355" t="str">
        <f>HYPERLINK("#LAYOUT_m1!lay중YMDA1C04","YMDA1C04")</f>
        <v>YMDA1C04</v>
      </c>
      <c r="C83" s="355"/>
      <c r="E83" s="7"/>
      <c r="G83" s="362" t="s">
        <v>627</v>
      </c>
      <c r="H83" s="362"/>
      <c r="I83" s="362"/>
      <c r="J83" s="362"/>
      <c r="K83" s="362"/>
      <c r="L83" s="363"/>
      <c r="M83" s="22" t="s">
        <v>591</v>
      </c>
      <c r="N83" s="22" t="s">
        <v>592</v>
      </c>
      <c r="O83" s="22" t="s">
        <v>593</v>
      </c>
      <c r="P83" s="24" t="s">
        <v>594</v>
      </c>
      <c r="V83" s="7"/>
    </row>
    <row r="84" spans="2:22" ht="18" customHeight="1">
      <c r="B84" s="355" t="str">
        <f>HYPERLINK("#LAYOUT_m1!lay중YMDA1C05","YMDA1C05")</f>
        <v>YMDA1C05</v>
      </c>
      <c r="C84" s="355"/>
      <c r="E84" s="7"/>
      <c r="G84" s="362" t="s">
        <v>628</v>
      </c>
      <c r="H84" s="362"/>
      <c r="I84" s="362"/>
      <c r="J84" s="362"/>
      <c r="K84" s="362"/>
      <c r="L84" s="363"/>
      <c r="M84" s="22" t="s">
        <v>591</v>
      </c>
      <c r="N84" s="22" t="s">
        <v>592</v>
      </c>
      <c r="O84" s="22" t="s">
        <v>593</v>
      </c>
      <c r="P84" s="24" t="s">
        <v>594</v>
      </c>
      <c r="V84" s="7"/>
    </row>
    <row r="85" spans="2:22" ht="18" customHeight="1">
      <c r="B85" s="355" t="str">
        <f>HYPERLINK("#LAYOUT_m1!lay중YMDA1C06","YMDA1C06")</f>
        <v>YMDA1C06</v>
      </c>
      <c r="C85" s="355"/>
      <c r="E85" s="7"/>
      <c r="G85" s="362" t="s">
        <v>629</v>
      </c>
      <c r="H85" s="362"/>
      <c r="I85" s="362"/>
      <c r="J85" s="362"/>
      <c r="K85" s="362"/>
      <c r="L85" s="363"/>
      <c r="M85" s="26" t="s">
        <v>591</v>
      </c>
      <c r="N85" s="26" t="s">
        <v>592</v>
      </c>
      <c r="O85" s="26" t="s">
        <v>593</v>
      </c>
      <c r="P85" s="27" t="s">
        <v>594</v>
      </c>
      <c r="V85" s="7"/>
    </row>
    <row r="86" spans="2:22" ht="18" customHeight="1">
      <c r="B86" s="355" t="str">
        <f>HYPERLINK("#LAYOUT_m1!lay중YMDA1C07","YMDA1C07")</f>
        <v>YMDA1C07</v>
      </c>
      <c r="C86" s="355"/>
      <c r="E86" s="7"/>
      <c r="G86" s="362" t="s">
        <v>630</v>
      </c>
      <c r="H86" s="362"/>
      <c r="I86" s="362"/>
      <c r="J86" s="362"/>
      <c r="K86" s="362"/>
      <c r="L86" s="363"/>
      <c r="M86" s="26" t="s">
        <v>591</v>
      </c>
      <c r="N86" s="26" t="s">
        <v>592</v>
      </c>
      <c r="O86" s="26" t="s">
        <v>593</v>
      </c>
      <c r="P86" s="27" t="s">
        <v>594</v>
      </c>
      <c r="V86" s="7"/>
    </row>
    <row r="87" spans="2:22" ht="18" customHeight="1">
      <c r="B87" s="355" t="str">
        <f>HYPERLINK("#LAYOUT_m1!lay중YMDA1C08","YMDA1C08")</f>
        <v>YMDA1C08</v>
      </c>
      <c r="C87" s="355"/>
      <c r="E87" s="7"/>
      <c r="G87" s="362" t="s">
        <v>631</v>
      </c>
      <c r="H87" s="362"/>
      <c r="I87" s="362"/>
      <c r="J87" s="362"/>
      <c r="K87" s="362"/>
      <c r="L87" s="363"/>
      <c r="M87" s="22" t="s">
        <v>591</v>
      </c>
      <c r="N87" s="22" t="s">
        <v>592</v>
      </c>
      <c r="O87" s="22" t="s">
        <v>593</v>
      </c>
      <c r="P87" s="24" t="s">
        <v>594</v>
      </c>
      <c r="V87" s="7"/>
    </row>
    <row r="88" spans="2:22" ht="18" customHeight="1">
      <c r="B88" s="355" t="str">
        <f>HYPERLINK("#LAYOUT_m1!lay중YMDA1C09","YMDA1C09")</f>
        <v>YMDA1C09</v>
      </c>
      <c r="C88" s="355"/>
      <c r="E88" s="7"/>
      <c r="G88" s="362" t="s">
        <v>632</v>
      </c>
      <c r="H88" s="362"/>
      <c r="I88" s="362"/>
      <c r="J88" s="362"/>
      <c r="K88" s="362"/>
      <c r="L88" s="363"/>
      <c r="M88" s="22" t="s">
        <v>591</v>
      </c>
      <c r="N88" s="22" t="s">
        <v>592</v>
      </c>
      <c r="O88" s="22" t="s">
        <v>593</v>
      </c>
      <c r="P88" s="24" t="s">
        <v>594</v>
      </c>
      <c r="V88" s="7"/>
    </row>
    <row r="89" spans="2:22" ht="18" customHeight="1">
      <c r="B89" s="355" t="str">
        <f>HYPERLINK("#LAYOUT_m1!lay중YMDA1C10","YMDA1C10")</f>
        <v>YMDA1C10</v>
      </c>
      <c r="C89" s="355"/>
      <c r="E89" s="7"/>
      <c r="G89" s="362" t="s">
        <v>633</v>
      </c>
      <c r="H89" s="362"/>
      <c r="I89" s="362"/>
      <c r="J89" s="362"/>
      <c r="K89" s="362"/>
      <c r="L89" s="363"/>
      <c r="M89" s="22" t="s">
        <v>591</v>
      </c>
      <c r="N89" s="22" t="s">
        <v>592</v>
      </c>
      <c r="O89" s="22" t="s">
        <v>593</v>
      </c>
      <c r="P89" s="24" t="s">
        <v>594</v>
      </c>
      <c r="V89" s="7"/>
    </row>
    <row r="90" spans="2:22" ht="18" customHeight="1">
      <c r="B90" s="355" t="str">
        <f>HYPERLINK("#LAYOUT_m1!lay중YMDA1C11","YMDA1C11")</f>
        <v>YMDA1C11</v>
      </c>
      <c r="C90" s="355"/>
      <c r="E90" s="7"/>
      <c r="G90" s="362" t="s">
        <v>634</v>
      </c>
      <c r="H90" s="362"/>
      <c r="I90" s="362"/>
      <c r="J90" s="362"/>
      <c r="K90" s="362"/>
      <c r="L90" s="363"/>
      <c r="M90" s="26" t="s">
        <v>591</v>
      </c>
      <c r="N90" s="26" t="s">
        <v>592</v>
      </c>
      <c r="O90" s="26" t="s">
        <v>593</v>
      </c>
      <c r="P90" s="27" t="s">
        <v>594</v>
      </c>
      <c r="V90" s="7"/>
    </row>
    <row r="91" spans="2:22" ht="18" customHeight="1">
      <c r="B91" s="355" t="str">
        <f>HYPERLINK("#LAYOUT_m1!lay중YMDA1C12","YMDA1C12")</f>
        <v>YMDA1C12</v>
      </c>
      <c r="C91" s="355"/>
      <c r="E91" s="7"/>
      <c r="G91" s="362" t="s">
        <v>635</v>
      </c>
      <c r="H91" s="362"/>
      <c r="I91" s="362"/>
      <c r="J91" s="362"/>
      <c r="K91" s="362"/>
      <c r="L91" s="363"/>
      <c r="M91" s="22" t="s">
        <v>591</v>
      </c>
      <c r="N91" s="22" t="s">
        <v>592</v>
      </c>
      <c r="O91" s="22" t="s">
        <v>593</v>
      </c>
      <c r="P91" s="24" t="s">
        <v>594</v>
      </c>
      <c r="V91" s="7"/>
    </row>
    <row r="92" spans="2:22" ht="18" customHeight="1">
      <c r="B92" s="355" t="str">
        <f>HYPERLINK("#LAYOUT_m1!lay중YMDA1C13","YMDA1C13")</f>
        <v>YMDA1C13</v>
      </c>
      <c r="C92" s="355"/>
      <c r="E92" s="7"/>
      <c r="G92" s="362" t="s">
        <v>636</v>
      </c>
      <c r="H92" s="362"/>
      <c r="I92" s="362"/>
      <c r="J92" s="362"/>
      <c r="K92" s="362"/>
      <c r="L92" s="363"/>
      <c r="M92" s="26" t="s">
        <v>591</v>
      </c>
      <c r="N92" s="26" t="s">
        <v>592</v>
      </c>
      <c r="O92" s="26" t="s">
        <v>593</v>
      </c>
      <c r="P92" s="27" t="s">
        <v>594</v>
      </c>
      <c r="V92" s="7"/>
    </row>
    <row r="93" spans="2:22" ht="18" customHeight="1">
      <c r="B93" s="355" t="str">
        <f>HYPERLINK("#LAYOUT_m1!lay중YMDA1C14","YMDA1C14")</f>
        <v>YMDA1C14</v>
      </c>
      <c r="C93" s="355"/>
      <c r="E93" s="7"/>
      <c r="G93" s="362" t="s">
        <v>637</v>
      </c>
      <c r="H93" s="362"/>
      <c r="I93" s="362"/>
      <c r="J93" s="362"/>
      <c r="K93" s="362"/>
      <c r="L93" s="363"/>
      <c r="M93" s="22" t="s">
        <v>591</v>
      </c>
      <c r="N93" s="22" t="s">
        <v>592</v>
      </c>
      <c r="O93" s="22" t="s">
        <v>593</v>
      </c>
      <c r="P93" s="24" t="s">
        <v>594</v>
      </c>
      <c r="V93" s="7"/>
    </row>
    <row r="94" spans="2:22" ht="18" customHeight="1">
      <c r="B94" s="355" t="str">
        <f>HYPERLINK("#LAYOUT_m1!lay중YMDA1C15","YMDA1C15")</f>
        <v>YMDA1C15</v>
      </c>
      <c r="C94" s="355"/>
      <c r="E94" s="7"/>
      <c r="G94" s="362" t="s">
        <v>638</v>
      </c>
      <c r="H94" s="362"/>
      <c r="I94" s="362"/>
      <c r="J94" s="362"/>
      <c r="K94" s="362"/>
      <c r="L94" s="363"/>
      <c r="M94" s="22" t="s">
        <v>591</v>
      </c>
      <c r="N94" s="22" t="s">
        <v>592</v>
      </c>
      <c r="O94" s="22" t="s">
        <v>593</v>
      </c>
      <c r="P94" s="24" t="s">
        <v>594</v>
      </c>
      <c r="V94" s="7"/>
    </row>
    <row r="95" spans="2:22" ht="18" customHeight="1">
      <c r="B95" s="195"/>
      <c r="C95" s="195"/>
      <c r="E95" s="7"/>
      <c r="G95" s="28"/>
      <c r="H95" s="28"/>
      <c r="I95" s="28"/>
      <c r="J95" s="28"/>
      <c r="K95" s="28"/>
      <c r="L95" s="28"/>
      <c r="M95" s="11"/>
      <c r="N95" s="11"/>
      <c r="O95" s="11"/>
      <c r="P95" s="11"/>
      <c r="V95" s="7"/>
    </row>
    <row r="96" spans="2:22" ht="18" customHeight="1">
      <c r="B96" s="195"/>
      <c r="C96" s="195"/>
      <c r="E96" s="7"/>
      <c r="G96" s="28"/>
      <c r="H96" s="28"/>
      <c r="I96" s="28"/>
      <c r="J96" s="28"/>
      <c r="K96" s="28"/>
      <c r="L96" s="28"/>
      <c r="M96" s="11"/>
      <c r="N96" s="11"/>
      <c r="O96" s="11"/>
      <c r="P96" s="11"/>
      <c r="V96" s="7"/>
    </row>
    <row r="97" spans="2:22" ht="18" customHeight="1">
      <c r="B97" s="195"/>
      <c r="C97" s="195"/>
      <c r="E97" s="7"/>
      <c r="F97" s="6" t="s">
        <v>827</v>
      </c>
      <c r="G97" s="28"/>
      <c r="H97" s="28"/>
      <c r="I97" s="28"/>
      <c r="J97" s="28"/>
      <c r="K97" s="28"/>
      <c r="L97" s="28"/>
      <c r="M97" s="11"/>
      <c r="N97" s="11"/>
      <c r="O97" s="11"/>
      <c r="P97" s="11"/>
      <c r="V97" s="7"/>
    </row>
    <row r="98" spans="2:22" ht="18" customHeight="1" thickBot="1">
      <c r="B98" s="195"/>
      <c r="C98" s="195"/>
      <c r="E98" s="7"/>
      <c r="G98" s="6" t="s">
        <v>828</v>
      </c>
      <c r="H98" s="28"/>
      <c r="I98" s="28"/>
      <c r="J98" s="28"/>
      <c r="K98" s="28"/>
      <c r="L98" s="28"/>
      <c r="M98" s="11"/>
      <c r="N98" s="11"/>
      <c r="O98" s="11"/>
      <c r="P98" s="11"/>
      <c r="V98" s="7"/>
    </row>
    <row r="99" spans="2:22" ht="18" customHeight="1" thickTop="1">
      <c r="B99" s="195"/>
      <c r="C99" s="195"/>
      <c r="E99" s="7"/>
      <c r="G99" s="390" t="s">
        <v>829</v>
      </c>
      <c r="H99" s="390"/>
      <c r="I99" s="390"/>
      <c r="J99" s="390"/>
      <c r="K99" s="390"/>
      <c r="L99" s="391"/>
      <c r="M99" s="413" t="s">
        <v>830</v>
      </c>
      <c r="N99" s="414"/>
      <c r="O99" s="414"/>
      <c r="P99" s="415"/>
      <c r="Q99" s="413" t="s">
        <v>831</v>
      </c>
      <c r="R99" s="414"/>
      <c r="S99" s="414"/>
      <c r="T99" s="414"/>
      <c r="V99" s="7"/>
    </row>
    <row r="100" spans="2:22" ht="30.75" thickBot="1">
      <c r="B100" s="195"/>
      <c r="C100" s="195"/>
      <c r="E100" s="7"/>
      <c r="G100" s="374"/>
      <c r="H100" s="374"/>
      <c r="I100" s="374"/>
      <c r="J100" s="374"/>
      <c r="K100" s="374"/>
      <c r="L100" s="408"/>
      <c r="M100" s="29" t="s">
        <v>309</v>
      </c>
      <c r="N100" s="29" t="s">
        <v>321</v>
      </c>
      <c r="O100" s="29" t="s">
        <v>322</v>
      </c>
      <c r="P100" s="29" t="s">
        <v>323</v>
      </c>
      <c r="Q100" s="29" t="s">
        <v>333</v>
      </c>
      <c r="R100" s="29" t="s">
        <v>832</v>
      </c>
      <c r="S100" s="29" t="s">
        <v>833</v>
      </c>
      <c r="T100" s="30" t="s">
        <v>134</v>
      </c>
      <c r="V100" s="7"/>
    </row>
    <row r="101" spans="2:22" ht="18" customHeight="1" thickTop="1">
      <c r="B101" s="195" t="str">
        <f>HYPERLINK("#LAYOUT_m1!lay중YACT1A01","YACT1A01")</f>
        <v>YACT1A01</v>
      </c>
      <c r="C101" s="195" t="str">
        <f>HYPERLINK("#LAYOUT_m1!lay중YACT1B01","YACT1B01")</f>
        <v>YACT1B01</v>
      </c>
      <c r="E101" s="7"/>
      <c r="G101" s="366" t="s">
        <v>834</v>
      </c>
      <c r="H101" s="366"/>
      <c r="I101" s="366"/>
      <c r="J101" s="366"/>
      <c r="K101" s="366"/>
      <c r="L101" s="367"/>
      <c r="M101" s="31" t="s">
        <v>591</v>
      </c>
      <c r="N101" s="31" t="s">
        <v>592</v>
      </c>
      <c r="O101" s="31" t="s">
        <v>593</v>
      </c>
      <c r="P101" s="31" t="s">
        <v>594</v>
      </c>
      <c r="Q101" s="31" t="s">
        <v>591</v>
      </c>
      <c r="R101" s="31" t="s">
        <v>592</v>
      </c>
      <c r="S101" s="31" t="s">
        <v>593</v>
      </c>
      <c r="T101" s="32" t="s">
        <v>594</v>
      </c>
      <c r="V101" s="7"/>
    </row>
    <row r="102" spans="2:22" ht="18" customHeight="1">
      <c r="B102" s="195" t="str">
        <f>HYPERLINK("#LAYOUT_m1!lay중YACT1A02","YACT1A02")</f>
        <v>YACT1A02</v>
      </c>
      <c r="C102" s="195" t="str">
        <f>HYPERLINK("#LAYOUT_m1!lay중YACT1B02","YACT1B02")</f>
        <v>YACT1B02</v>
      </c>
      <c r="E102" s="7"/>
      <c r="G102" s="362" t="s">
        <v>835</v>
      </c>
      <c r="H102" s="362"/>
      <c r="I102" s="362"/>
      <c r="J102" s="362"/>
      <c r="K102" s="362"/>
      <c r="L102" s="363"/>
      <c r="M102" s="22" t="s">
        <v>591</v>
      </c>
      <c r="N102" s="22" t="s">
        <v>592</v>
      </c>
      <c r="O102" s="22" t="s">
        <v>593</v>
      </c>
      <c r="P102" s="22" t="s">
        <v>594</v>
      </c>
      <c r="Q102" s="22" t="s">
        <v>591</v>
      </c>
      <c r="R102" s="22" t="s">
        <v>592</v>
      </c>
      <c r="S102" s="22" t="s">
        <v>593</v>
      </c>
      <c r="T102" s="24" t="s">
        <v>594</v>
      </c>
      <c r="V102" s="7"/>
    </row>
    <row r="103" spans="2:22" ht="18" customHeight="1">
      <c r="B103" s="195" t="str">
        <f>HYPERLINK("#LAYOUT_m1!lay중YACT1A03","YACT1A03")</f>
        <v>YACT1A03</v>
      </c>
      <c r="C103" s="195" t="str">
        <f>HYPERLINK("#LAYOUT_m1!lay중YACT1B03","YACT1B03")</f>
        <v>YACT1B03</v>
      </c>
      <c r="E103" s="7"/>
      <c r="G103" s="362" t="s">
        <v>836</v>
      </c>
      <c r="H103" s="362"/>
      <c r="I103" s="362"/>
      <c r="J103" s="362"/>
      <c r="K103" s="362"/>
      <c r="L103" s="363"/>
      <c r="M103" s="22" t="s">
        <v>591</v>
      </c>
      <c r="N103" s="22" t="s">
        <v>592</v>
      </c>
      <c r="O103" s="22" t="s">
        <v>593</v>
      </c>
      <c r="P103" s="22" t="s">
        <v>594</v>
      </c>
      <c r="Q103" s="22" t="s">
        <v>591</v>
      </c>
      <c r="R103" s="22" t="s">
        <v>592</v>
      </c>
      <c r="S103" s="22" t="s">
        <v>593</v>
      </c>
      <c r="T103" s="24" t="s">
        <v>594</v>
      </c>
      <c r="V103" s="7"/>
    </row>
    <row r="104" spans="2:22" ht="18" customHeight="1">
      <c r="B104" s="195" t="str">
        <f>HYPERLINK("#LAYOUT_m1!lay중YACT1A04","YACT1A04")</f>
        <v>YACT1A04</v>
      </c>
      <c r="C104" s="195" t="str">
        <f>HYPERLINK("#LAYOUT_m1!lay중YACT1B04","YACT1B04")</f>
        <v>YACT1B04</v>
      </c>
      <c r="E104" s="7"/>
      <c r="G104" s="362" t="s">
        <v>837</v>
      </c>
      <c r="H104" s="362"/>
      <c r="I104" s="362"/>
      <c r="J104" s="362"/>
      <c r="K104" s="362"/>
      <c r="L104" s="363"/>
      <c r="M104" s="22" t="s">
        <v>591</v>
      </c>
      <c r="N104" s="22" t="s">
        <v>592</v>
      </c>
      <c r="O104" s="22" t="s">
        <v>593</v>
      </c>
      <c r="P104" s="22" t="s">
        <v>594</v>
      </c>
      <c r="Q104" s="22" t="s">
        <v>591</v>
      </c>
      <c r="R104" s="22" t="s">
        <v>592</v>
      </c>
      <c r="S104" s="22" t="s">
        <v>593</v>
      </c>
      <c r="T104" s="24" t="s">
        <v>594</v>
      </c>
      <c r="V104" s="7"/>
    </row>
    <row r="105" spans="2:22" ht="18" customHeight="1">
      <c r="B105" s="195" t="str">
        <f>HYPERLINK("#LAYOUT_m1!lay중YACT1A05","YACT1A05")</f>
        <v>YACT1A05</v>
      </c>
      <c r="C105" s="195" t="str">
        <f>HYPERLINK("#LAYOUT_m1!lay중YACT1B05","YACT1B05")</f>
        <v>YACT1B05</v>
      </c>
      <c r="E105" s="7"/>
      <c r="G105" s="362" t="s">
        <v>838</v>
      </c>
      <c r="H105" s="362"/>
      <c r="I105" s="362"/>
      <c r="J105" s="362"/>
      <c r="K105" s="362"/>
      <c r="L105" s="363"/>
      <c r="M105" s="22" t="s">
        <v>591</v>
      </c>
      <c r="N105" s="22" t="s">
        <v>592</v>
      </c>
      <c r="O105" s="22" t="s">
        <v>593</v>
      </c>
      <c r="P105" s="22" t="s">
        <v>594</v>
      </c>
      <c r="Q105" s="22" t="s">
        <v>591</v>
      </c>
      <c r="R105" s="22" t="s">
        <v>592</v>
      </c>
      <c r="S105" s="22" t="s">
        <v>593</v>
      </c>
      <c r="T105" s="24" t="s">
        <v>594</v>
      </c>
      <c r="V105" s="7"/>
    </row>
    <row r="106" spans="2:22" ht="18" customHeight="1">
      <c r="B106" s="195" t="str">
        <f>HYPERLINK("#LAYOUT_m1!lay중YACT1A06","YACT1A06")</f>
        <v>YACT1A06</v>
      </c>
      <c r="C106" s="195" t="str">
        <f>HYPERLINK("#LAYOUT_m1!lay중YACT1B06","YACT1B06")</f>
        <v>YACT1B06</v>
      </c>
      <c r="E106" s="7"/>
      <c r="G106" s="362" t="s">
        <v>839</v>
      </c>
      <c r="H106" s="362"/>
      <c r="I106" s="362"/>
      <c r="J106" s="362"/>
      <c r="K106" s="362"/>
      <c r="L106" s="363"/>
      <c r="M106" s="22" t="s">
        <v>591</v>
      </c>
      <c r="N106" s="22" t="s">
        <v>592</v>
      </c>
      <c r="O106" s="22" t="s">
        <v>593</v>
      </c>
      <c r="P106" s="22" t="s">
        <v>594</v>
      </c>
      <c r="Q106" s="22" t="s">
        <v>591</v>
      </c>
      <c r="R106" s="22" t="s">
        <v>592</v>
      </c>
      <c r="S106" s="22" t="s">
        <v>593</v>
      </c>
      <c r="T106" s="24" t="s">
        <v>594</v>
      </c>
      <c r="V106" s="7"/>
    </row>
    <row r="107" spans="2:22" ht="18" customHeight="1">
      <c r="B107" s="195" t="str">
        <f>HYPERLINK("#LAYOUT_m1!lay중YACT1A07","YACT1A07")</f>
        <v>YACT1A07</v>
      </c>
      <c r="C107" s="195" t="str">
        <f>HYPERLINK("#LAYOUT_m1!lay중YACT1B07","YACT1B07")</f>
        <v>YACT1B07</v>
      </c>
      <c r="E107" s="7"/>
      <c r="G107" s="362" t="s">
        <v>840</v>
      </c>
      <c r="H107" s="362"/>
      <c r="I107" s="362"/>
      <c r="J107" s="362"/>
      <c r="K107" s="362"/>
      <c r="L107" s="363"/>
      <c r="M107" s="22" t="s">
        <v>591</v>
      </c>
      <c r="N107" s="22" t="s">
        <v>592</v>
      </c>
      <c r="O107" s="22" t="s">
        <v>593</v>
      </c>
      <c r="P107" s="22" t="s">
        <v>594</v>
      </c>
      <c r="Q107" s="22" t="s">
        <v>591</v>
      </c>
      <c r="R107" s="22" t="s">
        <v>592</v>
      </c>
      <c r="S107" s="22" t="s">
        <v>593</v>
      </c>
      <c r="T107" s="24" t="s">
        <v>594</v>
      </c>
      <c r="V107" s="7"/>
    </row>
    <row r="108" spans="2:22" ht="18" customHeight="1">
      <c r="B108" s="195" t="str">
        <f>HYPERLINK("#LAYOUT_m1!lay중YACT1A08","YACT1A08")</f>
        <v>YACT1A08</v>
      </c>
      <c r="C108" s="195" t="str">
        <f>HYPERLINK("#LAYOUT_m1!lay중YACT1B08","YACT1B08")</f>
        <v>YACT1B08</v>
      </c>
      <c r="E108" s="7"/>
      <c r="G108" s="362" t="s">
        <v>841</v>
      </c>
      <c r="H108" s="362"/>
      <c r="I108" s="362"/>
      <c r="J108" s="362"/>
      <c r="K108" s="362"/>
      <c r="L108" s="363"/>
      <c r="M108" s="22" t="s">
        <v>591</v>
      </c>
      <c r="N108" s="22" t="s">
        <v>592</v>
      </c>
      <c r="O108" s="22" t="s">
        <v>593</v>
      </c>
      <c r="P108" s="22" t="s">
        <v>594</v>
      </c>
      <c r="Q108" s="22" t="s">
        <v>591</v>
      </c>
      <c r="R108" s="22" t="s">
        <v>592</v>
      </c>
      <c r="S108" s="22" t="s">
        <v>593</v>
      </c>
      <c r="T108" s="24" t="s">
        <v>594</v>
      </c>
      <c r="V108" s="7"/>
    </row>
    <row r="109" spans="2:22" ht="18" customHeight="1">
      <c r="B109" s="195" t="str">
        <f>HYPERLINK("#LAYOUT_m1!lay중YACT1A09","YACT1A09")</f>
        <v>YACT1A09</v>
      </c>
      <c r="C109" s="195" t="str">
        <f>HYPERLINK("#LAYOUT_m1!lay중YACT1B09","YACT1B09")</f>
        <v>YACT1B09</v>
      </c>
      <c r="E109" s="7"/>
      <c r="G109" s="362" t="s">
        <v>842</v>
      </c>
      <c r="H109" s="362"/>
      <c r="I109" s="362"/>
      <c r="J109" s="362"/>
      <c r="K109" s="362"/>
      <c r="L109" s="363"/>
      <c r="M109" s="22" t="s">
        <v>591</v>
      </c>
      <c r="N109" s="22" t="s">
        <v>592</v>
      </c>
      <c r="O109" s="22" t="s">
        <v>593</v>
      </c>
      <c r="P109" s="22" t="s">
        <v>594</v>
      </c>
      <c r="Q109" s="22" t="s">
        <v>591</v>
      </c>
      <c r="R109" s="22" t="s">
        <v>592</v>
      </c>
      <c r="S109" s="22" t="s">
        <v>593</v>
      </c>
      <c r="T109" s="24" t="s">
        <v>594</v>
      </c>
      <c r="V109" s="7"/>
    </row>
    <row r="110" spans="2:22" ht="18" customHeight="1">
      <c r="B110" s="195"/>
      <c r="C110" s="195"/>
      <c r="E110" s="7"/>
      <c r="G110" s="28"/>
      <c r="H110" s="28"/>
      <c r="I110" s="28"/>
      <c r="J110" s="28"/>
      <c r="K110" s="28"/>
      <c r="L110" s="28"/>
      <c r="M110" s="11"/>
      <c r="N110" s="11"/>
      <c r="O110" s="11"/>
      <c r="P110" s="11"/>
      <c r="V110" s="7"/>
    </row>
    <row r="111" spans="2:22" ht="18" customHeight="1">
      <c r="B111" s="195"/>
      <c r="C111" s="195"/>
      <c r="E111" s="7"/>
      <c r="G111" s="28"/>
      <c r="H111" s="28"/>
      <c r="I111" s="28"/>
      <c r="J111" s="28"/>
      <c r="K111" s="28"/>
      <c r="L111" s="28"/>
      <c r="M111" s="11"/>
      <c r="N111" s="11"/>
      <c r="O111" s="11"/>
      <c r="P111" s="11"/>
      <c r="V111" s="7"/>
    </row>
    <row r="112" spans="2:22" ht="18" customHeight="1" thickBot="1">
      <c r="B112" s="195"/>
      <c r="C112" s="195"/>
      <c r="E112" s="7"/>
      <c r="F112" s="6" t="s">
        <v>843</v>
      </c>
      <c r="G112" s="28"/>
      <c r="H112" s="28"/>
      <c r="I112" s="28"/>
      <c r="J112" s="28"/>
      <c r="K112" s="28"/>
      <c r="L112" s="28"/>
      <c r="M112" s="11"/>
      <c r="N112" s="11"/>
      <c r="O112" s="11"/>
      <c r="P112" s="11"/>
      <c r="V112" s="7"/>
    </row>
    <row r="113" spans="2:22" ht="18" customHeight="1" thickTop="1">
      <c r="B113" s="195"/>
      <c r="C113" s="195"/>
      <c r="E113" s="7"/>
      <c r="G113" s="390" t="s">
        <v>643</v>
      </c>
      <c r="H113" s="390"/>
      <c r="I113" s="390"/>
      <c r="J113" s="390"/>
      <c r="K113" s="390"/>
      <c r="L113" s="391"/>
      <c r="M113" s="413" t="s">
        <v>844</v>
      </c>
      <c r="N113" s="414"/>
      <c r="O113" s="414"/>
      <c r="P113" s="415"/>
      <c r="Q113" s="413" t="s">
        <v>845</v>
      </c>
      <c r="R113" s="414"/>
      <c r="S113" s="414"/>
      <c r="T113" s="414"/>
      <c r="V113" s="7"/>
    </row>
    <row r="114" spans="2:22" ht="30.75" thickBot="1">
      <c r="B114" s="195"/>
      <c r="C114" s="195"/>
      <c r="E114" s="7"/>
      <c r="G114" s="374"/>
      <c r="H114" s="374"/>
      <c r="I114" s="374"/>
      <c r="J114" s="374"/>
      <c r="K114" s="374"/>
      <c r="L114" s="408"/>
      <c r="M114" s="29" t="s">
        <v>309</v>
      </c>
      <c r="N114" s="29" t="s">
        <v>321</v>
      </c>
      <c r="O114" s="29" t="s">
        <v>322</v>
      </c>
      <c r="P114" s="29" t="s">
        <v>323</v>
      </c>
      <c r="Q114" s="29" t="s">
        <v>333</v>
      </c>
      <c r="R114" s="29" t="s">
        <v>832</v>
      </c>
      <c r="S114" s="29" t="s">
        <v>833</v>
      </c>
      <c r="T114" s="30" t="s">
        <v>134</v>
      </c>
      <c r="V114" s="7"/>
    </row>
    <row r="115" spans="2:22" ht="18" customHeight="1" thickTop="1">
      <c r="B115" s="195" t="str">
        <f>HYPERLINK("#LAYOUT_m1!lay중YACT2A01","YACT2A01")</f>
        <v>YACT2A01</v>
      </c>
      <c r="C115" s="195" t="str">
        <f>HYPERLINK("#LAYOUT_m1!lay중YACT2B01","YACT2B01")</f>
        <v>YACT2B01</v>
      </c>
      <c r="E115" s="7"/>
      <c r="G115" s="366" t="s">
        <v>846</v>
      </c>
      <c r="H115" s="366"/>
      <c r="I115" s="366"/>
      <c r="J115" s="366"/>
      <c r="K115" s="366"/>
      <c r="L115" s="367"/>
      <c r="M115" s="20" t="s">
        <v>591</v>
      </c>
      <c r="N115" s="20" t="s">
        <v>592</v>
      </c>
      <c r="O115" s="20" t="s">
        <v>593</v>
      </c>
      <c r="P115" s="20" t="s">
        <v>594</v>
      </c>
      <c r="Q115" s="20" t="s">
        <v>591</v>
      </c>
      <c r="R115" s="20" t="s">
        <v>592</v>
      </c>
      <c r="S115" s="20" t="s">
        <v>593</v>
      </c>
      <c r="T115" s="25" t="s">
        <v>594</v>
      </c>
      <c r="V115" s="7"/>
    </row>
    <row r="116" spans="2:22" ht="18" customHeight="1">
      <c r="B116" s="195" t="str">
        <f>HYPERLINK("#LAYOUT_m1!lay중YACT2A02","YACT2A02")</f>
        <v>YACT2A02</v>
      </c>
      <c r="C116" s="195" t="str">
        <f>HYPERLINK("#LAYOUT_m1!lay중YACT2B02","YACT2B02")</f>
        <v>YACT2B02</v>
      </c>
      <c r="E116" s="7"/>
      <c r="G116" s="362" t="s">
        <v>847</v>
      </c>
      <c r="H116" s="362"/>
      <c r="I116" s="362"/>
      <c r="J116" s="362"/>
      <c r="K116" s="362"/>
      <c r="L116" s="363"/>
      <c r="M116" s="22" t="s">
        <v>591</v>
      </c>
      <c r="N116" s="22" t="s">
        <v>592</v>
      </c>
      <c r="O116" s="22" t="s">
        <v>593</v>
      </c>
      <c r="P116" s="22" t="s">
        <v>594</v>
      </c>
      <c r="Q116" s="22" t="s">
        <v>591</v>
      </c>
      <c r="R116" s="22" t="s">
        <v>592</v>
      </c>
      <c r="S116" s="22" t="s">
        <v>593</v>
      </c>
      <c r="T116" s="24" t="s">
        <v>594</v>
      </c>
      <c r="V116" s="7"/>
    </row>
    <row r="117" spans="2:22" ht="18" customHeight="1">
      <c r="B117" s="195"/>
      <c r="C117" s="195"/>
      <c r="E117" s="7"/>
      <c r="H117" s="28"/>
      <c r="I117" s="28"/>
      <c r="J117" s="28"/>
      <c r="K117" s="28"/>
      <c r="L117" s="28"/>
      <c r="M117" s="11"/>
      <c r="N117" s="11"/>
      <c r="O117" s="11"/>
      <c r="P117" s="11"/>
      <c r="V117" s="7"/>
    </row>
    <row r="118" spans="2:22" ht="18" customHeight="1">
      <c r="B118" s="195"/>
      <c r="C118" s="195"/>
      <c r="E118" s="7"/>
      <c r="G118" s="28"/>
      <c r="H118" s="28"/>
      <c r="I118" s="28"/>
      <c r="J118" s="28"/>
      <c r="K118" s="28"/>
      <c r="L118" s="28"/>
      <c r="M118" s="11"/>
      <c r="N118" s="11"/>
      <c r="O118" s="11"/>
      <c r="P118" s="11"/>
      <c r="V118" s="7"/>
    </row>
    <row r="119" spans="2:22" ht="18" customHeight="1">
      <c r="B119" s="355" t="str">
        <f>HYPERLINK("#LAYOUT_m1!lay중YACT3A00","YACT3A00")</f>
        <v>YACT3A00</v>
      </c>
      <c r="C119" s="355"/>
      <c r="E119" s="7"/>
      <c r="F119" s="6" t="s">
        <v>848</v>
      </c>
      <c r="G119" s="28"/>
      <c r="H119" s="28"/>
      <c r="I119" s="28"/>
      <c r="J119" s="28"/>
      <c r="K119" s="28"/>
      <c r="L119" s="28"/>
      <c r="M119" s="11"/>
      <c r="N119" s="11"/>
      <c r="O119" s="11"/>
      <c r="P119" s="11"/>
      <c r="V119" s="7"/>
    </row>
    <row r="120" spans="2:22" ht="18" customHeight="1">
      <c r="B120" s="195"/>
      <c r="C120" s="195"/>
      <c r="E120" s="7"/>
      <c r="G120" s="396" t="s">
        <v>849</v>
      </c>
      <c r="H120" s="396"/>
      <c r="M120" s="11"/>
      <c r="N120" s="11"/>
      <c r="O120" s="11"/>
      <c r="P120" s="11"/>
      <c r="V120" s="7"/>
    </row>
    <row r="121" spans="2:22" ht="18" customHeight="1">
      <c r="B121" s="195"/>
      <c r="C121" s="195"/>
      <c r="E121" s="7"/>
      <c r="G121" s="370" t="s">
        <v>850</v>
      </c>
      <c r="H121" s="370"/>
      <c r="I121" s="28"/>
      <c r="J121" s="28"/>
      <c r="K121" s="28"/>
      <c r="L121" s="28"/>
      <c r="M121" s="11"/>
      <c r="N121" s="11"/>
      <c r="O121" s="11"/>
      <c r="P121" s="11"/>
      <c r="V121" s="7"/>
    </row>
    <row r="122" spans="2:22" ht="18" customHeight="1">
      <c r="B122" s="195"/>
      <c r="C122" s="195"/>
      <c r="E122" s="7"/>
      <c r="G122" s="28"/>
      <c r="H122" s="28"/>
      <c r="I122" s="28"/>
      <c r="J122" s="28"/>
      <c r="K122" s="28"/>
      <c r="L122" s="28"/>
      <c r="M122" s="11"/>
      <c r="N122" s="11"/>
      <c r="O122" s="11"/>
      <c r="P122" s="11"/>
      <c r="V122" s="7"/>
    </row>
    <row r="123" spans="2:22" ht="18" customHeight="1">
      <c r="B123" s="195"/>
      <c r="C123" s="195"/>
      <c r="E123" s="7"/>
      <c r="G123" s="28"/>
      <c r="H123" s="28"/>
      <c r="I123" s="28"/>
      <c r="J123" s="28"/>
      <c r="K123" s="28"/>
      <c r="L123" s="28"/>
      <c r="M123" s="11"/>
      <c r="N123" s="11"/>
      <c r="O123" s="11"/>
      <c r="P123" s="11"/>
      <c r="V123" s="7"/>
    </row>
    <row r="124" spans="2:22" ht="18" customHeight="1" thickBot="1">
      <c r="B124" s="195"/>
      <c r="C124" s="195"/>
      <c r="E124" s="7"/>
      <c r="F124" s="6" t="s">
        <v>851</v>
      </c>
      <c r="G124" s="28"/>
      <c r="H124" s="28"/>
      <c r="I124" s="28"/>
      <c r="J124" s="28"/>
      <c r="K124" s="28"/>
      <c r="L124" s="28"/>
      <c r="M124" s="11"/>
      <c r="N124" s="11"/>
      <c r="O124" s="11"/>
      <c r="P124" s="11"/>
      <c r="V124" s="7"/>
    </row>
    <row r="125" spans="2:22" ht="18" customHeight="1" thickTop="1">
      <c r="B125" s="195"/>
      <c r="C125" s="195"/>
      <c r="E125" s="7"/>
      <c r="G125" s="390" t="s">
        <v>852</v>
      </c>
      <c r="H125" s="390"/>
      <c r="I125" s="390"/>
      <c r="J125" s="390"/>
      <c r="K125" s="390"/>
      <c r="L125" s="391"/>
      <c r="M125" s="416" t="s">
        <v>418</v>
      </c>
      <c r="N125" s="413" t="s">
        <v>341</v>
      </c>
      <c r="O125" s="414"/>
      <c r="P125" s="414"/>
      <c r="Q125" s="414"/>
      <c r="R125" s="414"/>
      <c r="V125" s="7"/>
    </row>
    <row r="126" spans="2:22" ht="30.75" thickBot="1">
      <c r="B126" s="195"/>
      <c r="C126" s="195"/>
      <c r="E126" s="7"/>
      <c r="G126" s="374"/>
      <c r="H126" s="374"/>
      <c r="I126" s="374"/>
      <c r="J126" s="374"/>
      <c r="K126" s="374"/>
      <c r="L126" s="408"/>
      <c r="M126" s="417"/>
      <c r="N126" s="33" t="s">
        <v>345</v>
      </c>
      <c r="O126" s="33" t="s">
        <v>419</v>
      </c>
      <c r="P126" s="33" t="s">
        <v>347</v>
      </c>
      <c r="Q126" s="33" t="s">
        <v>348</v>
      </c>
      <c r="R126" s="34" t="s">
        <v>853</v>
      </c>
      <c r="V126" s="7"/>
    </row>
    <row r="127" spans="2:22" ht="18" customHeight="1" thickTop="1">
      <c r="B127" s="355" t="str">
        <f>HYPERLINK("#LAYOUT_m1!lay중YACT3B01","YACT3B01")</f>
        <v>YACT3B01</v>
      </c>
      <c r="C127" s="355"/>
      <c r="E127" s="7"/>
      <c r="G127" s="366" t="s">
        <v>854</v>
      </c>
      <c r="H127" s="366"/>
      <c r="I127" s="366"/>
      <c r="J127" s="366"/>
      <c r="K127" s="366"/>
      <c r="L127" s="367"/>
      <c r="M127" s="20" t="s">
        <v>591</v>
      </c>
      <c r="N127" s="20" t="s">
        <v>592</v>
      </c>
      <c r="O127" s="20" t="s">
        <v>593</v>
      </c>
      <c r="P127" s="20" t="s">
        <v>594</v>
      </c>
      <c r="Q127" s="20" t="s">
        <v>595</v>
      </c>
      <c r="R127" s="25" t="s">
        <v>596</v>
      </c>
      <c r="V127" s="7"/>
    </row>
    <row r="128" spans="2:22" ht="18" customHeight="1">
      <c r="B128" s="355" t="str">
        <f>HYPERLINK("#LAYOUT_m1!lay중YACT3B02","YACT3B02")</f>
        <v>YACT3B02</v>
      </c>
      <c r="C128" s="355"/>
      <c r="E128" s="7"/>
      <c r="G128" s="362" t="s">
        <v>855</v>
      </c>
      <c r="H128" s="362"/>
      <c r="I128" s="362"/>
      <c r="J128" s="362"/>
      <c r="K128" s="362"/>
      <c r="L128" s="363"/>
      <c r="M128" s="22" t="s">
        <v>591</v>
      </c>
      <c r="N128" s="22" t="s">
        <v>592</v>
      </c>
      <c r="O128" s="22" t="s">
        <v>593</v>
      </c>
      <c r="P128" s="22" t="s">
        <v>594</v>
      </c>
      <c r="Q128" s="22" t="s">
        <v>595</v>
      </c>
      <c r="R128" s="24" t="s">
        <v>596</v>
      </c>
      <c r="V128" s="7"/>
    </row>
    <row r="129" spans="2:22" ht="18" customHeight="1">
      <c r="B129" s="355" t="str">
        <f>HYPERLINK("#LAYOUT_m1!lay중YACT3B03","YACT3B03")</f>
        <v>YACT3B03</v>
      </c>
      <c r="C129" s="355"/>
      <c r="E129" s="7"/>
      <c r="G129" s="362" t="s">
        <v>856</v>
      </c>
      <c r="H129" s="362"/>
      <c r="I129" s="362"/>
      <c r="J129" s="362"/>
      <c r="K129" s="362"/>
      <c r="L129" s="363"/>
      <c r="M129" s="22" t="s">
        <v>591</v>
      </c>
      <c r="N129" s="22" t="s">
        <v>592</v>
      </c>
      <c r="O129" s="22" t="s">
        <v>593</v>
      </c>
      <c r="P129" s="22" t="s">
        <v>594</v>
      </c>
      <c r="Q129" s="22" t="s">
        <v>595</v>
      </c>
      <c r="R129" s="24" t="s">
        <v>596</v>
      </c>
      <c r="V129" s="7"/>
    </row>
    <row r="130" spans="2:22" ht="18" customHeight="1">
      <c r="B130" s="355" t="str">
        <f>HYPERLINK("#LAYOUT_m1!lay중YACT3B04","YACT3B04")</f>
        <v>YACT3B04</v>
      </c>
      <c r="C130" s="355"/>
      <c r="E130" s="7"/>
      <c r="G130" s="362" t="s">
        <v>857</v>
      </c>
      <c r="H130" s="362"/>
      <c r="I130" s="362"/>
      <c r="J130" s="362"/>
      <c r="K130" s="362"/>
      <c r="L130" s="363"/>
      <c r="M130" s="22" t="s">
        <v>591</v>
      </c>
      <c r="N130" s="22" t="s">
        <v>592</v>
      </c>
      <c r="O130" s="22" t="s">
        <v>593</v>
      </c>
      <c r="P130" s="22" t="s">
        <v>594</v>
      </c>
      <c r="Q130" s="22" t="s">
        <v>595</v>
      </c>
      <c r="R130" s="24" t="s">
        <v>596</v>
      </c>
      <c r="V130" s="7"/>
    </row>
    <row r="131" spans="2:22" ht="18" customHeight="1">
      <c r="B131" s="355" t="str">
        <f>HYPERLINK("#LAYOUT_m1!lay중YACT3B05","YACT3B05")</f>
        <v>YACT3B05</v>
      </c>
      <c r="C131" s="355"/>
      <c r="E131" s="7"/>
      <c r="G131" s="362" t="s">
        <v>858</v>
      </c>
      <c r="H131" s="362"/>
      <c r="I131" s="362"/>
      <c r="J131" s="362"/>
      <c r="K131" s="362"/>
      <c r="L131" s="363"/>
      <c r="M131" s="22" t="s">
        <v>591</v>
      </c>
      <c r="N131" s="22" t="s">
        <v>592</v>
      </c>
      <c r="O131" s="22" t="s">
        <v>593</v>
      </c>
      <c r="P131" s="22" t="s">
        <v>594</v>
      </c>
      <c r="Q131" s="22" t="s">
        <v>595</v>
      </c>
      <c r="R131" s="24" t="s">
        <v>596</v>
      </c>
      <c r="V131" s="7"/>
    </row>
    <row r="132" spans="2:22" ht="18" customHeight="1">
      <c r="B132" s="355" t="str">
        <f>HYPERLINK("#LAYOUT_m1!lay중YACT3B06","YACT3B06")</f>
        <v>YACT3B06</v>
      </c>
      <c r="C132" s="355"/>
      <c r="E132" s="7"/>
      <c r="G132" s="362" t="s">
        <v>859</v>
      </c>
      <c r="H132" s="362"/>
      <c r="I132" s="362"/>
      <c r="J132" s="362"/>
      <c r="K132" s="362"/>
      <c r="L132" s="363"/>
      <c r="M132" s="22" t="s">
        <v>591</v>
      </c>
      <c r="N132" s="22" t="s">
        <v>592</v>
      </c>
      <c r="O132" s="22" t="s">
        <v>593</v>
      </c>
      <c r="P132" s="22" t="s">
        <v>594</v>
      </c>
      <c r="Q132" s="22" t="s">
        <v>595</v>
      </c>
      <c r="R132" s="24" t="s">
        <v>596</v>
      </c>
      <c r="V132" s="7"/>
    </row>
    <row r="133" spans="2:22" ht="18" customHeight="1">
      <c r="B133" s="355" t="str">
        <f>HYPERLINK("#LAYOUT_m1!lay중YACT3B07","YACT3B07")</f>
        <v>YACT3B07</v>
      </c>
      <c r="C133" s="355"/>
      <c r="E133" s="7"/>
      <c r="G133" s="362" t="s">
        <v>860</v>
      </c>
      <c r="H133" s="362"/>
      <c r="I133" s="362"/>
      <c r="J133" s="362"/>
      <c r="K133" s="362"/>
      <c r="L133" s="363"/>
      <c r="M133" s="22" t="s">
        <v>591</v>
      </c>
      <c r="N133" s="22" t="s">
        <v>592</v>
      </c>
      <c r="O133" s="22" t="s">
        <v>593</v>
      </c>
      <c r="P133" s="22" t="s">
        <v>594</v>
      </c>
      <c r="Q133" s="22" t="s">
        <v>595</v>
      </c>
      <c r="R133" s="24" t="s">
        <v>596</v>
      </c>
      <c r="V133" s="7"/>
    </row>
    <row r="134" spans="2:22" ht="18" customHeight="1">
      <c r="B134" s="355" t="str">
        <f>HYPERLINK("#LAYOUT_m1!lay중YACT3B08","YACT3B08")</f>
        <v>YACT3B08</v>
      </c>
      <c r="C134" s="355"/>
      <c r="E134" s="7"/>
      <c r="G134" s="362" t="s">
        <v>861</v>
      </c>
      <c r="H134" s="362"/>
      <c r="I134" s="362"/>
      <c r="J134" s="362"/>
      <c r="K134" s="362"/>
      <c r="L134" s="363"/>
      <c r="M134" s="22" t="s">
        <v>591</v>
      </c>
      <c r="N134" s="22" t="s">
        <v>592</v>
      </c>
      <c r="O134" s="22" t="s">
        <v>593</v>
      </c>
      <c r="P134" s="22" t="s">
        <v>594</v>
      </c>
      <c r="Q134" s="22" t="s">
        <v>595</v>
      </c>
      <c r="R134" s="24" t="s">
        <v>596</v>
      </c>
      <c r="V134" s="7"/>
    </row>
    <row r="135" spans="2:22" ht="18" customHeight="1">
      <c r="B135" s="355" t="str">
        <f>HYPERLINK("#LAYOUT_m1!lay중YACT3B09","YACT3B09")</f>
        <v>YACT3B09</v>
      </c>
      <c r="C135" s="355"/>
      <c r="E135" s="7"/>
      <c r="G135" s="362" t="s">
        <v>862</v>
      </c>
      <c r="H135" s="362"/>
      <c r="I135" s="362"/>
      <c r="J135" s="362"/>
      <c r="K135" s="362"/>
      <c r="L135" s="363"/>
      <c r="M135" s="22" t="s">
        <v>591</v>
      </c>
      <c r="N135" s="22" t="s">
        <v>592</v>
      </c>
      <c r="O135" s="22" t="s">
        <v>593</v>
      </c>
      <c r="P135" s="22" t="s">
        <v>594</v>
      </c>
      <c r="Q135" s="22" t="s">
        <v>595</v>
      </c>
      <c r="R135" s="24" t="s">
        <v>596</v>
      </c>
      <c r="V135" s="7"/>
    </row>
    <row r="136" spans="2:22" ht="18" customHeight="1">
      <c r="B136" s="195"/>
      <c r="C136" s="195"/>
      <c r="E136" s="7"/>
      <c r="V136" s="7"/>
    </row>
    <row r="137" spans="2:22" ht="18" customHeight="1">
      <c r="B137" s="195"/>
      <c r="C137" s="195"/>
      <c r="E137" s="7"/>
      <c r="V137" s="7"/>
    </row>
    <row r="138" spans="2:22" ht="18" customHeight="1" thickBot="1">
      <c r="B138" s="355" t="str">
        <f>HYPERLINK("#LAYOUT_m1!lay중YINT1A00","YINT1A00")</f>
        <v>YINT1A00</v>
      </c>
      <c r="C138" s="355"/>
      <c r="E138" s="7"/>
      <c r="F138" s="6" t="s">
        <v>863</v>
      </c>
      <c r="V138" s="7"/>
    </row>
    <row r="139" spans="2:22" ht="18" customHeight="1" thickTop="1">
      <c r="B139" s="195"/>
      <c r="C139" s="195"/>
      <c r="E139" s="7"/>
      <c r="F139" s="35"/>
      <c r="G139" s="36"/>
      <c r="H139" s="37"/>
      <c r="I139" s="37"/>
      <c r="J139" s="37"/>
      <c r="K139" s="37"/>
      <c r="L139" s="37"/>
      <c r="M139" s="37"/>
      <c r="N139" s="38"/>
      <c r="V139" s="7"/>
    </row>
    <row r="140" spans="2:22" ht="18" customHeight="1">
      <c r="B140" s="195"/>
      <c r="C140" s="195"/>
      <c r="E140" s="7"/>
      <c r="F140" s="39"/>
      <c r="G140" s="40"/>
      <c r="H140" s="11" t="s">
        <v>124</v>
      </c>
      <c r="I140" s="11" t="s">
        <v>125</v>
      </c>
      <c r="J140" s="11" t="s">
        <v>126</v>
      </c>
      <c r="K140" s="11" t="s">
        <v>127</v>
      </c>
      <c r="L140" s="11" t="s">
        <v>128</v>
      </c>
      <c r="M140" s="41" t="s">
        <v>129</v>
      </c>
      <c r="N140" s="42"/>
      <c r="V140" s="7"/>
    </row>
    <row r="141" spans="2:22" ht="18" customHeight="1">
      <c r="B141" s="195"/>
      <c r="C141" s="195"/>
      <c r="E141" s="7"/>
      <c r="F141" s="39"/>
      <c r="G141" s="40"/>
      <c r="H141" s="11" t="s">
        <v>591</v>
      </c>
      <c r="I141" s="11" t="s">
        <v>592</v>
      </c>
      <c r="J141" s="11" t="s">
        <v>593</v>
      </c>
      <c r="K141" s="11" t="s">
        <v>594</v>
      </c>
      <c r="L141" s="11" t="s">
        <v>595</v>
      </c>
      <c r="M141" s="41" t="s">
        <v>6</v>
      </c>
      <c r="N141" s="42"/>
      <c r="V141" s="7"/>
    </row>
    <row r="142" spans="2:22" ht="18" customHeight="1">
      <c r="B142" s="195"/>
      <c r="C142" s="195"/>
      <c r="E142" s="7"/>
      <c r="G142" s="40"/>
      <c r="H142" s="43"/>
      <c r="I142" s="43"/>
      <c r="J142" s="43"/>
      <c r="K142" s="43"/>
      <c r="L142" s="43"/>
      <c r="M142" s="44"/>
      <c r="N142" s="42"/>
      <c r="V142" s="7"/>
    </row>
    <row r="143" spans="2:22" ht="18" customHeight="1">
      <c r="B143" s="195"/>
      <c r="C143" s="195"/>
      <c r="E143" s="7"/>
      <c r="G143" s="40"/>
      <c r="H143" s="45"/>
      <c r="I143" s="45"/>
      <c r="J143" s="45"/>
      <c r="K143" s="45"/>
      <c r="L143" s="45"/>
      <c r="M143" s="46"/>
      <c r="N143" s="42"/>
      <c r="V143" s="7"/>
    </row>
    <row r="144" spans="2:22" ht="18" customHeight="1" thickBot="1">
      <c r="B144" s="195"/>
      <c r="C144" s="195"/>
      <c r="E144" s="7"/>
      <c r="G144" s="47"/>
      <c r="H144" s="48"/>
      <c r="I144" s="48"/>
      <c r="J144" s="48"/>
      <c r="K144" s="48"/>
      <c r="L144" s="48"/>
      <c r="M144" s="48"/>
      <c r="N144" s="49"/>
      <c r="V144" s="7"/>
    </row>
    <row r="145" spans="2:22" ht="18" customHeight="1" thickTop="1">
      <c r="B145" s="195"/>
      <c r="C145" s="195"/>
      <c r="E145" s="7"/>
      <c r="G145" s="5"/>
      <c r="H145" s="5"/>
      <c r="I145" s="5"/>
      <c r="J145" s="5"/>
      <c r="K145" s="5"/>
      <c r="L145" s="5"/>
      <c r="M145" s="5"/>
      <c r="N145" s="5"/>
      <c r="V145" s="7"/>
    </row>
    <row r="146" spans="2:22" ht="18" customHeight="1">
      <c r="B146" s="195"/>
      <c r="C146" s="195"/>
      <c r="E146" s="7"/>
      <c r="V146" s="7"/>
    </row>
    <row r="147" spans="2:22" ht="18" customHeight="1" thickBot="1">
      <c r="B147" s="355" t="str">
        <f>HYPERLINK("#LAYOUT_m1!lay중YINT1B00","YINT1B00")</f>
        <v>YINT1B00</v>
      </c>
      <c r="C147" s="355"/>
      <c r="E147" s="7"/>
      <c r="F147" s="6" t="s">
        <v>864</v>
      </c>
      <c r="V147" s="7"/>
    </row>
    <row r="148" spans="2:22" ht="18" customHeight="1" thickTop="1">
      <c r="B148" s="195"/>
      <c r="C148" s="195"/>
      <c r="E148" s="7"/>
      <c r="G148" s="36"/>
      <c r="H148" s="37"/>
      <c r="I148" s="37"/>
      <c r="J148" s="37"/>
      <c r="K148" s="37"/>
      <c r="L148" s="37"/>
      <c r="M148" s="37"/>
      <c r="N148" s="38"/>
      <c r="V148" s="7"/>
    </row>
    <row r="149" spans="2:22" ht="18" customHeight="1">
      <c r="B149" s="195"/>
      <c r="C149" s="195"/>
      <c r="E149" s="7"/>
      <c r="G149" s="40"/>
      <c r="H149" s="11" t="s">
        <v>131</v>
      </c>
      <c r="I149" s="11" t="s">
        <v>132</v>
      </c>
      <c r="J149" s="11" t="s">
        <v>126</v>
      </c>
      <c r="K149" s="11" t="s">
        <v>133</v>
      </c>
      <c r="L149" s="11" t="s">
        <v>640</v>
      </c>
      <c r="M149" s="41" t="s">
        <v>129</v>
      </c>
      <c r="N149" s="42"/>
      <c r="V149" s="7"/>
    </row>
    <row r="150" spans="2:22" ht="18" customHeight="1">
      <c r="B150" s="195"/>
      <c r="C150" s="195"/>
      <c r="E150" s="7"/>
      <c r="G150" s="40"/>
      <c r="H150" s="11" t="s">
        <v>591</v>
      </c>
      <c r="I150" s="11" t="s">
        <v>592</v>
      </c>
      <c r="J150" s="11" t="s">
        <v>593</v>
      </c>
      <c r="K150" s="11" t="s">
        <v>594</v>
      </c>
      <c r="L150" s="11" t="s">
        <v>595</v>
      </c>
      <c r="M150" s="41" t="s">
        <v>6</v>
      </c>
      <c r="N150" s="42"/>
      <c r="V150" s="7"/>
    </row>
    <row r="151" spans="2:22" ht="18" customHeight="1">
      <c r="B151" s="195"/>
      <c r="C151" s="195"/>
      <c r="E151" s="7"/>
      <c r="G151" s="40"/>
      <c r="H151" s="43"/>
      <c r="I151" s="43"/>
      <c r="J151" s="43"/>
      <c r="K151" s="43"/>
      <c r="L151" s="43"/>
      <c r="M151" s="44"/>
      <c r="N151" s="42"/>
      <c r="V151" s="7"/>
    </row>
    <row r="152" spans="2:22" ht="18" customHeight="1">
      <c r="B152" s="195"/>
      <c r="C152" s="195"/>
      <c r="E152" s="7"/>
      <c r="G152" s="40"/>
      <c r="H152" s="45"/>
      <c r="I152" s="45"/>
      <c r="J152" s="45"/>
      <c r="K152" s="45"/>
      <c r="L152" s="45"/>
      <c r="M152" s="46"/>
      <c r="N152" s="42"/>
      <c r="V152" s="7"/>
    </row>
    <row r="153" spans="2:22" ht="18" customHeight="1" thickBot="1">
      <c r="B153" s="195"/>
      <c r="C153" s="195"/>
      <c r="E153" s="7"/>
      <c r="G153" s="47"/>
      <c r="H153" s="48"/>
      <c r="I153" s="48"/>
      <c r="J153" s="48"/>
      <c r="K153" s="48"/>
      <c r="L153" s="48"/>
      <c r="M153" s="48"/>
      <c r="N153" s="49"/>
      <c r="V153" s="7"/>
    </row>
    <row r="154" spans="2:22" ht="18" customHeight="1" thickTop="1">
      <c r="B154" s="195"/>
      <c r="C154" s="195"/>
      <c r="E154" s="7"/>
      <c r="G154" s="5"/>
      <c r="H154" s="5"/>
      <c r="I154" s="5"/>
      <c r="J154" s="5"/>
      <c r="K154" s="5"/>
      <c r="L154" s="5"/>
      <c r="M154" s="5"/>
      <c r="N154" s="5"/>
      <c r="V154" s="7"/>
    </row>
    <row r="155" spans="2:22" ht="18" customHeight="1">
      <c r="B155" s="195"/>
      <c r="C155" s="195"/>
      <c r="E155" s="7"/>
      <c r="V155" s="7"/>
    </row>
    <row r="156" spans="2:22" ht="18" customHeight="1" thickBot="1">
      <c r="B156" s="355" t="str">
        <f>HYPERLINK("#LAYOUT_m1!lay중YEDU1A00","YEDU1A00")</f>
        <v>YEDU1A00</v>
      </c>
      <c r="C156" s="355"/>
      <c r="E156" s="7"/>
      <c r="F156" s="6" t="s">
        <v>865</v>
      </c>
      <c r="V156" s="7"/>
    </row>
    <row r="157" spans="2:22" ht="18" customHeight="1" thickTop="1">
      <c r="B157" s="195"/>
      <c r="C157" s="195"/>
      <c r="E157" s="7"/>
      <c r="G157" s="36"/>
      <c r="H157" s="37"/>
      <c r="I157" s="37"/>
      <c r="J157" s="37"/>
      <c r="K157" s="37"/>
      <c r="L157" s="37"/>
      <c r="M157" s="37"/>
      <c r="N157" s="38"/>
      <c r="V157" s="7"/>
    </row>
    <row r="158" spans="2:22" ht="18" customHeight="1">
      <c r="B158" s="195"/>
      <c r="C158" s="195"/>
      <c r="E158" s="7"/>
      <c r="G158" s="40"/>
      <c r="H158" s="11" t="s">
        <v>131</v>
      </c>
      <c r="I158" s="11" t="s">
        <v>132</v>
      </c>
      <c r="J158" s="11" t="s">
        <v>126</v>
      </c>
      <c r="K158" s="11" t="s">
        <v>133</v>
      </c>
      <c r="L158" s="11" t="s">
        <v>640</v>
      </c>
      <c r="M158" s="41" t="s">
        <v>129</v>
      </c>
      <c r="N158" s="42"/>
      <c r="V158" s="7"/>
    </row>
    <row r="159" spans="2:22" ht="18" customHeight="1">
      <c r="B159" s="195"/>
      <c r="C159" s="195"/>
      <c r="E159" s="7"/>
      <c r="G159" s="40"/>
      <c r="H159" s="11" t="s">
        <v>591</v>
      </c>
      <c r="I159" s="11" t="s">
        <v>592</v>
      </c>
      <c r="J159" s="11" t="s">
        <v>593</v>
      </c>
      <c r="K159" s="11" t="s">
        <v>594</v>
      </c>
      <c r="L159" s="11" t="s">
        <v>595</v>
      </c>
      <c r="M159" s="41" t="s">
        <v>6</v>
      </c>
      <c r="N159" s="42"/>
      <c r="V159" s="7"/>
    </row>
    <row r="160" spans="2:22" ht="18" customHeight="1">
      <c r="B160" s="195"/>
      <c r="C160" s="195"/>
      <c r="E160" s="7"/>
      <c r="G160" s="40"/>
      <c r="H160" s="43"/>
      <c r="I160" s="43"/>
      <c r="J160" s="43"/>
      <c r="K160" s="43"/>
      <c r="L160" s="43"/>
      <c r="M160" s="44"/>
      <c r="N160" s="42"/>
      <c r="V160" s="7"/>
    </row>
    <row r="161" spans="2:22" ht="18" customHeight="1">
      <c r="B161" s="195"/>
      <c r="C161" s="195"/>
      <c r="E161" s="7"/>
      <c r="G161" s="40"/>
      <c r="H161" s="45"/>
      <c r="I161" s="45"/>
      <c r="J161" s="45"/>
      <c r="K161" s="45"/>
      <c r="L161" s="45"/>
      <c r="M161" s="46"/>
      <c r="N161" s="42"/>
      <c r="V161" s="7"/>
    </row>
    <row r="162" spans="2:22" ht="18" customHeight="1" thickBot="1">
      <c r="B162" s="195"/>
      <c r="C162" s="195"/>
      <c r="E162" s="7"/>
      <c r="G162" s="47"/>
      <c r="H162" s="48"/>
      <c r="I162" s="48"/>
      <c r="J162" s="48"/>
      <c r="K162" s="48"/>
      <c r="L162" s="48"/>
      <c r="M162" s="48"/>
      <c r="N162" s="49"/>
      <c r="V162" s="7"/>
    </row>
    <row r="163" spans="2:22" ht="18" customHeight="1" thickTop="1">
      <c r="B163" s="195"/>
      <c r="C163" s="195"/>
      <c r="E163" s="7"/>
      <c r="G163" s="5"/>
      <c r="H163" s="5"/>
      <c r="I163" s="5"/>
      <c r="J163" s="5"/>
      <c r="K163" s="5"/>
      <c r="L163" s="5"/>
      <c r="M163" s="5"/>
      <c r="N163" s="5"/>
      <c r="O163" s="5"/>
      <c r="V163" s="7"/>
    </row>
    <row r="164" spans="2:22" ht="18" customHeight="1">
      <c r="B164" s="195"/>
      <c r="C164" s="195"/>
      <c r="E164" s="7"/>
      <c r="V164" s="7"/>
    </row>
    <row r="165" spans="2:22" ht="18" customHeight="1" thickBot="1">
      <c r="B165" s="195"/>
      <c r="C165" s="195"/>
      <c r="E165" s="7"/>
      <c r="F165" s="6" t="s">
        <v>866</v>
      </c>
      <c r="V165" s="7"/>
    </row>
    <row r="166" spans="2:22" ht="31.5" thickTop="1" thickBot="1">
      <c r="B166" s="195"/>
      <c r="C166" s="195"/>
      <c r="E166" s="7"/>
      <c r="G166" s="368" t="s">
        <v>643</v>
      </c>
      <c r="H166" s="368"/>
      <c r="I166" s="368"/>
      <c r="J166" s="368"/>
      <c r="K166" s="368"/>
      <c r="L166" s="369"/>
      <c r="M166" s="9" t="s">
        <v>622</v>
      </c>
      <c r="N166" s="9" t="s">
        <v>623</v>
      </c>
      <c r="O166" s="9" t="s">
        <v>107</v>
      </c>
      <c r="P166" s="10" t="s">
        <v>108</v>
      </c>
      <c r="V166" s="7"/>
    </row>
    <row r="167" spans="2:22" ht="18" customHeight="1" thickTop="1">
      <c r="B167" s="355" t="str">
        <f>HYPERLINK("#LAYOUT_m1!lay중YINT2A01","YINT2A01")</f>
        <v>YINT2A01</v>
      </c>
      <c r="C167" s="355"/>
      <c r="E167" s="7"/>
      <c r="G167" s="372" t="s">
        <v>644</v>
      </c>
      <c r="H167" s="372"/>
      <c r="I167" s="372"/>
      <c r="J167" s="372"/>
      <c r="K167" s="372"/>
      <c r="L167" s="373"/>
      <c r="M167" s="20" t="s">
        <v>591</v>
      </c>
      <c r="N167" s="20" t="s">
        <v>592</v>
      </c>
      <c r="O167" s="20" t="s">
        <v>593</v>
      </c>
      <c r="P167" s="25" t="s">
        <v>594</v>
      </c>
      <c r="V167" s="7"/>
    </row>
    <row r="168" spans="2:22" ht="18" customHeight="1">
      <c r="B168" s="355" t="str">
        <f>HYPERLINK("#LAYOUT_m1!lay중YINT2A02","YINT2A02")</f>
        <v>YINT2A02</v>
      </c>
      <c r="C168" s="355"/>
      <c r="E168" s="7"/>
      <c r="G168" s="362" t="s">
        <v>645</v>
      </c>
      <c r="H168" s="362"/>
      <c r="I168" s="362"/>
      <c r="J168" s="362"/>
      <c r="K168" s="362"/>
      <c r="L168" s="363"/>
      <c r="M168" s="22" t="s">
        <v>591</v>
      </c>
      <c r="N168" s="22" t="s">
        <v>592</v>
      </c>
      <c r="O168" s="22" t="s">
        <v>593</v>
      </c>
      <c r="P168" s="24" t="s">
        <v>594</v>
      </c>
      <c r="V168" s="7"/>
    </row>
    <row r="169" spans="2:22" ht="18" customHeight="1">
      <c r="B169" s="355" t="str">
        <f>HYPERLINK("#LAYOUT_m1!lay중YINT2A03","YINT2A03")</f>
        <v>YINT2A03</v>
      </c>
      <c r="C169" s="355"/>
      <c r="E169" s="7"/>
      <c r="G169" s="362" t="s">
        <v>646</v>
      </c>
      <c r="H169" s="362"/>
      <c r="I169" s="362"/>
      <c r="J169" s="362"/>
      <c r="K169" s="362"/>
      <c r="L169" s="363"/>
      <c r="M169" s="22" t="s">
        <v>591</v>
      </c>
      <c r="N169" s="22" t="s">
        <v>592</v>
      </c>
      <c r="O169" s="22" t="s">
        <v>593</v>
      </c>
      <c r="P169" s="24" t="s">
        <v>594</v>
      </c>
      <c r="V169" s="7"/>
    </row>
    <row r="170" spans="2:22" ht="18" customHeight="1">
      <c r="B170" s="355" t="str">
        <f>HYPERLINK("#LAYOUT_m1!lay중YINT2A04","YINT2A04")</f>
        <v>YINT2A04</v>
      </c>
      <c r="C170" s="355"/>
      <c r="E170" s="7"/>
      <c r="G170" s="362" t="s">
        <v>647</v>
      </c>
      <c r="H170" s="362"/>
      <c r="I170" s="362"/>
      <c r="J170" s="362"/>
      <c r="K170" s="362"/>
      <c r="L170" s="363"/>
      <c r="M170" s="22" t="s">
        <v>591</v>
      </c>
      <c r="N170" s="22" t="s">
        <v>592</v>
      </c>
      <c r="O170" s="22" t="s">
        <v>593</v>
      </c>
      <c r="P170" s="24" t="s">
        <v>594</v>
      </c>
      <c r="V170" s="7"/>
    </row>
    <row r="171" spans="2:22" ht="18" customHeight="1">
      <c r="B171" s="355" t="str">
        <f>HYPERLINK("#LAYOUT_m1!lay중YINT2A05","YINT2A05")</f>
        <v>YINT2A05</v>
      </c>
      <c r="C171" s="355"/>
      <c r="E171" s="7"/>
      <c r="G171" s="362" t="s">
        <v>648</v>
      </c>
      <c r="H171" s="362"/>
      <c r="I171" s="362"/>
      <c r="J171" s="362"/>
      <c r="K171" s="362"/>
      <c r="L171" s="363"/>
      <c r="M171" s="22" t="s">
        <v>591</v>
      </c>
      <c r="N171" s="22" t="s">
        <v>592</v>
      </c>
      <c r="O171" s="22" t="s">
        <v>593</v>
      </c>
      <c r="P171" s="24" t="s">
        <v>594</v>
      </c>
      <c r="V171" s="7"/>
    </row>
    <row r="172" spans="2:22" ht="18" customHeight="1">
      <c r="B172" s="355" t="str">
        <f>HYPERLINK("#LAYOUT_m1!lay중YINT2A06","YINT2A06")</f>
        <v>YINT2A06</v>
      </c>
      <c r="C172" s="355"/>
      <c r="E172" s="7"/>
      <c r="G172" s="362" t="s">
        <v>649</v>
      </c>
      <c r="H172" s="362"/>
      <c r="I172" s="362"/>
      <c r="J172" s="362"/>
      <c r="K172" s="362"/>
      <c r="L172" s="363"/>
      <c r="M172" s="22" t="s">
        <v>591</v>
      </c>
      <c r="N172" s="22" t="s">
        <v>592</v>
      </c>
      <c r="O172" s="22" t="s">
        <v>593</v>
      </c>
      <c r="P172" s="24" t="s">
        <v>594</v>
      </c>
      <c r="V172" s="7"/>
    </row>
    <row r="173" spans="2:22" ht="18" customHeight="1">
      <c r="B173" s="355" t="str">
        <f>HYPERLINK("#LAYOUT_m1!lay중YINT2A07","YINT2A07")</f>
        <v>YINT2A07</v>
      </c>
      <c r="C173" s="355"/>
      <c r="E173" s="7"/>
      <c r="G173" s="362" t="s">
        <v>650</v>
      </c>
      <c r="H173" s="362"/>
      <c r="I173" s="362"/>
      <c r="J173" s="362"/>
      <c r="K173" s="362"/>
      <c r="L173" s="363"/>
      <c r="M173" s="22" t="s">
        <v>591</v>
      </c>
      <c r="N173" s="22" t="s">
        <v>592</v>
      </c>
      <c r="O173" s="22" t="s">
        <v>593</v>
      </c>
      <c r="P173" s="24" t="s">
        <v>594</v>
      </c>
      <c r="V173" s="7"/>
    </row>
    <row r="174" spans="2:22" ht="18" customHeight="1">
      <c r="B174" s="355" t="str">
        <f>HYPERLINK("#LAYOUT_m1!lay중YINT2A08","YINT2A08")</f>
        <v>YINT2A08</v>
      </c>
      <c r="C174" s="355"/>
      <c r="E174" s="7"/>
      <c r="G174" s="362" t="s">
        <v>651</v>
      </c>
      <c r="H174" s="362"/>
      <c r="I174" s="362"/>
      <c r="J174" s="362"/>
      <c r="K174" s="362"/>
      <c r="L174" s="363"/>
      <c r="M174" s="22" t="s">
        <v>591</v>
      </c>
      <c r="N174" s="22" t="s">
        <v>592</v>
      </c>
      <c r="O174" s="22" t="s">
        <v>593</v>
      </c>
      <c r="P174" s="24" t="s">
        <v>594</v>
      </c>
      <c r="V174" s="7"/>
    </row>
    <row r="175" spans="2:22" ht="18" customHeight="1">
      <c r="B175" s="355" t="str">
        <f>HYPERLINK("#LAYOUT_m1!lay중YINT2A09","YINT2A09")</f>
        <v>YINT2A09</v>
      </c>
      <c r="C175" s="355"/>
      <c r="E175" s="7"/>
      <c r="G175" s="362" t="s">
        <v>652</v>
      </c>
      <c r="H175" s="362"/>
      <c r="I175" s="362"/>
      <c r="J175" s="362"/>
      <c r="K175" s="362"/>
      <c r="L175" s="363"/>
      <c r="M175" s="22" t="s">
        <v>591</v>
      </c>
      <c r="N175" s="22" t="s">
        <v>592</v>
      </c>
      <c r="O175" s="22" t="s">
        <v>593</v>
      </c>
      <c r="P175" s="24" t="s">
        <v>594</v>
      </c>
      <c r="V175" s="7"/>
    </row>
    <row r="176" spans="2:22" ht="18" customHeight="1">
      <c r="B176" s="355" t="str">
        <f>HYPERLINK("#LAYOUT_m1!lay중YINT2A10","YINT2A10")</f>
        <v>YINT2A10</v>
      </c>
      <c r="C176" s="355"/>
      <c r="E176" s="7"/>
      <c r="G176" s="362" t="s">
        <v>653</v>
      </c>
      <c r="H176" s="362"/>
      <c r="I176" s="362"/>
      <c r="J176" s="362"/>
      <c r="K176" s="362"/>
      <c r="L176" s="363"/>
      <c r="M176" s="22" t="s">
        <v>591</v>
      </c>
      <c r="N176" s="22" t="s">
        <v>592</v>
      </c>
      <c r="O176" s="22" t="s">
        <v>593</v>
      </c>
      <c r="P176" s="24" t="s">
        <v>594</v>
      </c>
      <c r="V176" s="7"/>
    </row>
    <row r="177" spans="2:22" ht="18" customHeight="1">
      <c r="B177" s="355" t="str">
        <f>HYPERLINK("#LAYOUT_m1!lay중YINT2A11","YINT2A11")</f>
        <v>YINT2A11</v>
      </c>
      <c r="C177" s="355"/>
      <c r="E177" s="7"/>
      <c r="G177" s="362" t="s">
        <v>654</v>
      </c>
      <c r="H177" s="362"/>
      <c r="I177" s="362"/>
      <c r="J177" s="362"/>
      <c r="K177" s="362"/>
      <c r="L177" s="363"/>
      <c r="M177" s="22" t="s">
        <v>591</v>
      </c>
      <c r="N177" s="22" t="s">
        <v>592</v>
      </c>
      <c r="O177" s="22" t="s">
        <v>593</v>
      </c>
      <c r="P177" s="24" t="s">
        <v>594</v>
      </c>
      <c r="V177" s="7"/>
    </row>
    <row r="178" spans="2:22" ht="18" customHeight="1">
      <c r="B178" s="355" t="str">
        <f>HYPERLINK("#LAYOUT_m1!lay중YINT2A12","YINT2A12")</f>
        <v>YINT2A12</v>
      </c>
      <c r="C178" s="355"/>
      <c r="E178" s="7"/>
      <c r="G178" s="362" t="s">
        <v>655</v>
      </c>
      <c r="H178" s="362"/>
      <c r="I178" s="362"/>
      <c r="J178" s="362"/>
      <c r="K178" s="362"/>
      <c r="L178" s="363"/>
      <c r="M178" s="22" t="s">
        <v>591</v>
      </c>
      <c r="N178" s="22" t="s">
        <v>592</v>
      </c>
      <c r="O178" s="22" t="s">
        <v>593</v>
      </c>
      <c r="P178" s="24" t="s">
        <v>594</v>
      </c>
      <c r="V178" s="7"/>
    </row>
    <row r="179" spans="2:22" ht="18" customHeight="1">
      <c r="B179" s="355" t="str">
        <f>HYPERLINK("#LAYOUT_m1!lay중YINT2A13","YINT2A13")</f>
        <v>YINT2A13</v>
      </c>
      <c r="C179" s="355"/>
      <c r="E179" s="7"/>
      <c r="G179" s="362" t="s">
        <v>656</v>
      </c>
      <c r="H179" s="362"/>
      <c r="I179" s="362"/>
      <c r="J179" s="362"/>
      <c r="K179" s="362"/>
      <c r="L179" s="363"/>
      <c r="M179" s="22" t="s">
        <v>591</v>
      </c>
      <c r="N179" s="22" t="s">
        <v>592</v>
      </c>
      <c r="O179" s="22" t="s">
        <v>593</v>
      </c>
      <c r="P179" s="24" t="s">
        <v>594</v>
      </c>
      <c r="V179" s="7"/>
    </row>
    <row r="180" spans="2:22" ht="18" customHeight="1">
      <c r="B180" s="355" t="str">
        <f>HYPERLINK("#LAYOUT_m1!lay중YINT2A14","YINT2A14")</f>
        <v>YINT2A14</v>
      </c>
      <c r="C180" s="355"/>
      <c r="E180" s="7"/>
      <c r="G180" s="362" t="s">
        <v>657</v>
      </c>
      <c r="H180" s="362"/>
      <c r="I180" s="362"/>
      <c r="J180" s="362"/>
      <c r="K180" s="362"/>
      <c r="L180" s="363"/>
      <c r="M180" s="22" t="s">
        <v>591</v>
      </c>
      <c r="N180" s="22" t="s">
        <v>592</v>
      </c>
      <c r="O180" s="22" t="s">
        <v>593</v>
      </c>
      <c r="P180" s="24" t="s">
        <v>594</v>
      </c>
      <c r="V180" s="7"/>
    </row>
    <row r="181" spans="2:22" ht="18" customHeight="1">
      <c r="B181" s="355" t="str">
        <f>HYPERLINK("#LAYOUT_m1!lay중YINT2A15","YINT2A15")</f>
        <v>YINT2A15</v>
      </c>
      <c r="C181" s="355"/>
      <c r="E181" s="7"/>
      <c r="G181" s="362" t="s">
        <v>658</v>
      </c>
      <c r="H181" s="362"/>
      <c r="I181" s="362"/>
      <c r="J181" s="362"/>
      <c r="K181" s="362"/>
      <c r="L181" s="363"/>
      <c r="M181" s="22" t="s">
        <v>591</v>
      </c>
      <c r="N181" s="22" t="s">
        <v>592</v>
      </c>
      <c r="O181" s="22" t="s">
        <v>593</v>
      </c>
      <c r="P181" s="24" t="s">
        <v>594</v>
      </c>
      <c r="V181" s="7"/>
    </row>
    <row r="182" spans="2:22" ht="18" customHeight="1">
      <c r="B182" s="355" t="str">
        <f>HYPERLINK("#LAYOUT_m1!lay중YINT2A16","YINT2A16")</f>
        <v>YINT2A16</v>
      </c>
      <c r="C182" s="355"/>
      <c r="E182" s="7"/>
      <c r="G182" s="362" t="s">
        <v>659</v>
      </c>
      <c r="H182" s="362"/>
      <c r="I182" s="362"/>
      <c r="J182" s="362"/>
      <c r="K182" s="362"/>
      <c r="L182" s="363"/>
      <c r="M182" s="22" t="s">
        <v>591</v>
      </c>
      <c r="N182" s="22" t="s">
        <v>592</v>
      </c>
      <c r="O182" s="22" t="s">
        <v>593</v>
      </c>
      <c r="P182" s="24" t="s">
        <v>594</v>
      </c>
      <c r="V182" s="7"/>
    </row>
    <row r="183" spans="2:22" ht="18" customHeight="1">
      <c r="B183" s="195"/>
      <c r="C183" s="195"/>
      <c r="E183" s="7"/>
      <c r="G183" s="28"/>
      <c r="H183" s="28"/>
      <c r="I183" s="28"/>
      <c r="J183" s="28"/>
      <c r="K183" s="28"/>
      <c r="L183" s="28"/>
      <c r="M183" s="11"/>
      <c r="N183" s="11"/>
      <c r="O183" s="11"/>
      <c r="P183" s="11"/>
      <c r="V183" s="7"/>
    </row>
    <row r="184" spans="2:22" ht="18" customHeight="1">
      <c r="B184" s="195"/>
      <c r="C184" s="195"/>
      <c r="E184" s="7"/>
      <c r="G184" s="28"/>
      <c r="H184" s="28"/>
      <c r="I184" s="28"/>
      <c r="J184" s="28"/>
      <c r="K184" s="28"/>
      <c r="L184" s="28"/>
      <c r="M184" s="11"/>
      <c r="N184" s="11"/>
      <c r="O184" s="11"/>
      <c r="P184" s="11"/>
      <c r="V184" s="7"/>
    </row>
    <row r="185" spans="2:22" ht="18" customHeight="1" thickBot="1">
      <c r="B185" s="195"/>
      <c r="C185" s="195"/>
      <c r="E185" s="7"/>
      <c r="F185" s="6" t="s">
        <v>683</v>
      </c>
      <c r="G185" s="28"/>
      <c r="H185" s="28"/>
      <c r="I185" s="28"/>
      <c r="J185" s="28"/>
      <c r="K185" s="28"/>
      <c r="L185" s="28"/>
      <c r="M185" s="11"/>
      <c r="N185" s="11"/>
      <c r="O185" s="11"/>
      <c r="P185" s="11"/>
      <c r="V185" s="7"/>
    </row>
    <row r="186" spans="2:22" ht="31.5" thickTop="1" thickBot="1">
      <c r="B186" s="195"/>
      <c r="C186" s="195"/>
      <c r="E186" s="7"/>
      <c r="G186" s="368" t="s">
        <v>643</v>
      </c>
      <c r="H186" s="368"/>
      <c r="I186" s="368"/>
      <c r="J186" s="368"/>
      <c r="K186" s="368"/>
      <c r="L186" s="369"/>
      <c r="M186" s="9" t="s">
        <v>622</v>
      </c>
      <c r="N186" s="9" t="s">
        <v>623</v>
      </c>
      <c r="O186" s="9" t="s">
        <v>107</v>
      </c>
      <c r="P186" s="10" t="s">
        <v>108</v>
      </c>
      <c r="V186" s="7"/>
    </row>
    <row r="187" spans="2:22" ht="18" customHeight="1" thickTop="1">
      <c r="B187" s="355" t="str">
        <f>HYPERLINK("#LAYOUT_m1!lay중YINT2B01","YINT2B01")</f>
        <v>YINT2B01</v>
      </c>
      <c r="C187" s="355"/>
      <c r="E187" s="7"/>
      <c r="G187" s="362" t="s">
        <v>867</v>
      </c>
      <c r="H187" s="362"/>
      <c r="I187" s="362"/>
      <c r="J187" s="362"/>
      <c r="K187" s="362"/>
      <c r="L187" s="363"/>
      <c r="M187" s="20" t="s">
        <v>591</v>
      </c>
      <c r="N187" s="20" t="s">
        <v>592</v>
      </c>
      <c r="O187" s="20" t="s">
        <v>593</v>
      </c>
      <c r="P187" s="25" t="s">
        <v>594</v>
      </c>
      <c r="V187" s="7"/>
    </row>
    <row r="188" spans="2:22" ht="18" customHeight="1">
      <c r="B188" s="355" t="str">
        <f>HYPERLINK("#LAYOUT_m1!lay중YINT2B02","YINT2B02")</f>
        <v>YINT2B02</v>
      </c>
      <c r="C188" s="355"/>
      <c r="E188" s="7"/>
      <c r="G188" s="362" t="s">
        <v>868</v>
      </c>
      <c r="H188" s="362"/>
      <c r="I188" s="362"/>
      <c r="J188" s="362"/>
      <c r="K188" s="362"/>
      <c r="L188" s="363"/>
      <c r="M188" s="22" t="s">
        <v>591</v>
      </c>
      <c r="N188" s="22" t="s">
        <v>592</v>
      </c>
      <c r="O188" s="22" t="s">
        <v>593</v>
      </c>
      <c r="P188" s="24" t="s">
        <v>594</v>
      </c>
      <c r="V188" s="7"/>
    </row>
    <row r="189" spans="2:22" ht="18" customHeight="1">
      <c r="B189" s="355" t="str">
        <f>HYPERLINK("#LAYOUT_m1!lay중YINT2B03","YINT2B03")</f>
        <v>YINT2B03</v>
      </c>
      <c r="C189" s="355"/>
      <c r="E189" s="7"/>
      <c r="G189" s="362" t="s">
        <v>869</v>
      </c>
      <c r="H189" s="362"/>
      <c r="I189" s="362"/>
      <c r="J189" s="362"/>
      <c r="K189" s="362"/>
      <c r="L189" s="363"/>
      <c r="M189" s="22" t="s">
        <v>591</v>
      </c>
      <c r="N189" s="22" t="s">
        <v>592</v>
      </c>
      <c r="O189" s="22" t="s">
        <v>593</v>
      </c>
      <c r="P189" s="24" t="s">
        <v>594</v>
      </c>
      <c r="V189" s="7"/>
    </row>
    <row r="190" spans="2:22" ht="18" customHeight="1">
      <c r="B190" s="355" t="str">
        <f>HYPERLINK("#LAYOUT_m1!lay중YINT2B04","YINT2B04")</f>
        <v>YINT2B04</v>
      </c>
      <c r="C190" s="355"/>
      <c r="E190" s="7"/>
      <c r="G190" s="362" t="s">
        <v>870</v>
      </c>
      <c r="H190" s="362"/>
      <c r="I190" s="362"/>
      <c r="J190" s="362"/>
      <c r="K190" s="362"/>
      <c r="L190" s="363"/>
      <c r="M190" s="22" t="s">
        <v>591</v>
      </c>
      <c r="N190" s="22" t="s">
        <v>592</v>
      </c>
      <c r="O190" s="22" t="s">
        <v>593</v>
      </c>
      <c r="P190" s="24" t="s">
        <v>594</v>
      </c>
      <c r="V190" s="7"/>
    </row>
    <row r="191" spans="2:22" ht="18" customHeight="1">
      <c r="B191" s="355" t="str">
        <f>HYPERLINK("#LAYOUT_m1!lay중YINT2B05","YINT2B05")</f>
        <v>YINT2B05</v>
      </c>
      <c r="C191" s="355"/>
      <c r="E191" s="7"/>
      <c r="G191" s="362" t="s">
        <v>871</v>
      </c>
      <c r="H191" s="362"/>
      <c r="I191" s="362"/>
      <c r="J191" s="362"/>
      <c r="K191" s="362"/>
      <c r="L191" s="363"/>
      <c r="M191" s="22" t="s">
        <v>591</v>
      </c>
      <c r="N191" s="22" t="s">
        <v>592</v>
      </c>
      <c r="O191" s="22" t="s">
        <v>593</v>
      </c>
      <c r="P191" s="24" t="s">
        <v>594</v>
      </c>
      <c r="V191" s="7"/>
    </row>
    <row r="192" spans="2:22" ht="18" customHeight="1">
      <c r="B192" s="355" t="str">
        <f>HYPERLINK("#LAYOUT_m1!lay중YINT2B06","YINT2B06")</f>
        <v>YINT2B06</v>
      </c>
      <c r="C192" s="355"/>
      <c r="E192" s="7"/>
      <c r="G192" s="362" t="s">
        <v>872</v>
      </c>
      <c r="H192" s="362"/>
      <c r="I192" s="362"/>
      <c r="J192" s="362"/>
      <c r="K192" s="362"/>
      <c r="L192" s="363"/>
      <c r="M192" s="22" t="s">
        <v>591</v>
      </c>
      <c r="N192" s="22" t="s">
        <v>592</v>
      </c>
      <c r="O192" s="22" t="s">
        <v>593</v>
      </c>
      <c r="P192" s="24" t="s">
        <v>594</v>
      </c>
      <c r="V192" s="7"/>
    </row>
    <row r="193" spans="2:22" ht="18" customHeight="1">
      <c r="B193" s="355" t="str">
        <f>HYPERLINK("#LAYOUT_m1!lay중YINT2B07","YINT2B07")</f>
        <v>YINT2B07</v>
      </c>
      <c r="C193" s="355"/>
      <c r="E193" s="7"/>
      <c r="G193" s="362" t="s">
        <v>873</v>
      </c>
      <c r="H193" s="362"/>
      <c r="I193" s="362"/>
      <c r="J193" s="362"/>
      <c r="K193" s="362"/>
      <c r="L193" s="363"/>
      <c r="M193" s="22" t="s">
        <v>591</v>
      </c>
      <c r="N193" s="22" t="s">
        <v>592</v>
      </c>
      <c r="O193" s="22" t="s">
        <v>593</v>
      </c>
      <c r="P193" s="24" t="s">
        <v>594</v>
      </c>
      <c r="V193" s="7"/>
    </row>
    <row r="194" spans="2:22" ht="18" customHeight="1">
      <c r="B194" s="355" t="str">
        <f>HYPERLINK("#LAYOUT_m1!lay중YINT2B08","YINT2B08")</f>
        <v>YINT2B08</v>
      </c>
      <c r="C194" s="355"/>
      <c r="E194" s="7"/>
      <c r="G194" s="362" t="s">
        <v>874</v>
      </c>
      <c r="H194" s="362"/>
      <c r="I194" s="362"/>
      <c r="J194" s="362"/>
      <c r="K194" s="362"/>
      <c r="L194" s="363"/>
      <c r="M194" s="22" t="s">
        <v>591</v>
      </c>
      <c r="N194" s="22" t="s">
        <v>592</v>
      </c>
      <c r="O194" s="22" t="s">
        <v>593</v>
      </c>
      <c r="P194" s="24" t="s">
        <v>594</v>
      </c>
      <c r="V194" s="7"/>
    </row>
    <row r="195" spans="2:22" ht="18" customHeight="1">
      <c r="B195" s="355" t="str">
        <f>HYPERLINK("#LAYOUT_m1!lay중YINT2B09","YINT2B09")</f>
        <v>YINT2B09</v>
      </c>
      <c r="C195" s="355"/>
      <c r="E195" s="7"/>
      <c r="G195" s="362" t="s">
        <v>875</v>
      </c>
      <c r="H195" s="362"/>
      <c r="I195" s="362"/>
      <c r="J195" s="362"/>
      <c r="K195" s="362"/>
      <c r="L195" s="363"/>
      <c r="M195" s="22" t="s">
        <v>591</v>
      </c>
      <c r="N195" s="22" t="s">
        <v>592</v>
      </c>
      <c r="O195" s="22" t="s">
        <v>593</v>
      </c>
      <c r="P195" s="24" t="s">
        <v>594</v>
      </c>
      <c r="V195" s="7"/>
    </row>
    <row r="196" spans="2:22" ht="18" customHeight="1">
      <c r="B196" s="355" t="str">
        <f>HYPERLINK("#LAYOUT_m1!lay중YINT2B10","YINT2B10")</f>
        <v>YINT2B10</v>
      </c>
      <c r="C196" s="355"/>
      <c r="E196" s="7"/>
      <c r="G196" s="362" t="s">
        <v>876</v>
      </c>
      <c r="H196" s="362"/>
      <c r="I196" s="362"/>
      <c r="J196" s="362"/>
      <c r="K196" s="362"/>
      <c r="L196" s="363"/>
      <c r="M196" s="22" t="s">
        <v>591</v>
      </c>
      <c r="N196" s="22" t="s">
        <v>592</v>
      </c>
      <c r="O196" s="22" t="s">
        <v>593</v>
      </c>
      <c r="P196" s="24" t="s">
        <v>594</v>
      </c>
      <c r="V196" s="7"/>
    </row>
    <row r="197" spans="2:22" ht="18" customHeight="1">
      <c r="B197" s="355" t="str">
        <f>HYPERLINK("#LAYOUT_m1!lay중YINT2B11","YINT2B11")</f>
        <v>YINT2B11</v>
      </c>
      <c r="C197" s="355"/>
      <c r="E197" s="7"/>
      <c r="G197" s="362" t="s">
        <v>877</v>
      </c>
      <c r="H197" s="362"/>
      <c r="I197" s="362"/>
      <c r="J197" s="362"/>
      <c r="K197" s="362"/>
      <c r="L197" s="363"/>
      <c r="M197" s="22" t="s">
        <v>591</v>
      </c>
      <c r="N197" s="22" t="s">
        <v>592</v>
      </c>
      <c r="O197" s="22" t="s">
        <v>593</v>
      </c>
      <c r="P197" s="24" t="s">
        <v>594</v>
      </c>
      <c r="V197" s="7"/>
    </row>
    <row r="198" spans="2:22" ht="18" customHeight="1">
      <c r="B198" s="355" t="str">
        <f>HYPERLINK("#LAYOUT_m1!lay중YINT2B12","YINT2B12")</f>
        <v>YINT2B12</v>
      </c>
      <c r="C198" s="355"/>
      <c r="E198" s="7"/>
      <c r="G198" s="362" t="s">
        <v>878</v>
      </c>
      <c r="H198" s="362"/>
      <c r="I198" s="362"/>
      <c r="J198" s="362"/>
      <c r="K198" s="362"/>
      <c r="L198" s="363"/>
      <c r="M198" s="22" t="s">
        <v>591</v>
      </c>
      <c r="N198" s="22" t="s">
        <v>592</v>
      </c>
      <c r="O198" s="22" t="s">
        <v>593</v>
      </c>
      <c r="P198" s="24" t="s">
        <v>594</v>
      </c>
      <c r="V198" s="7"/>
    </row>
    <row r="199" spans="2:22" ht="18" customHeight="1">
      <c r="B199" s="355" t="str">
        <f>HYPERLINK("#LAYOUT_m1!lay중YINT2B13","YINT2B13")</f>
        <v>YINT2B13</v>
      </c>
      <c r="C199" s="355"/>
      <c r="E199" s="7"/>
      <c r="G199" s="362" t="s">
        <v>879</v>
      </c>
      <c r="H199" s="362"/>
      <c r="I199" s="362"/>
      <c r="J199" s="362"/>
      <c r="K199" s="362"/>
      <c r="L199" s="363"/>
      <c r="M199" s="22" t="s">
        <v>591</v>
      </c>
      <c r="N199" s="22" t="s">
        <v>592</v>
      </c>
      <c r="O199" s="22" t="s">
        <v>593</v>
      </c>
      <c r="P199" s="24" t="s">
        <v>594</v>
      </c>
      <c r="V199" s="7"/>
    </row>
    <row r="200" spans="2:22" ht="18" customHeight="1">
      <c r="B200" s="355" t="str">
        <f>HYPERLINK("#LAYOUT_m1!lay중YINT2B14","YINT2B14")</f>
        <v>YINT2B14</v>
      </c>
      <c r="C200" s="355"/>
      <c r="E200" s="7"/>
      <c r="G200" s="362" t="s">
        <v>880</v>
      </c>
      <c r="H200" s="362"/>
      <c r="I200" s="362"/>
      <c r="J200" s="362"/>
      <c r="K200" s="362"/>
      <c r="L200" s="363"/>
      <c r="M200" s="22" t="s">
        <v>591</v>
      </c>
      <c r="N200" s="22" t="s">
        <v>592</v>
      </c>
      <c r="O200" s="22" t="s">
        <v>593</v>
      </c>
      <c r="P200" s="24" t="s">
        <v>594</v>
      </c>
      <c r="V200" s="7"/>
    </row>
    <row r="201" spans="2:22" ht="18" customHeight="1">
      <c r="B201" s="355" t="str">
        <f>HYPERLINK("#LAYOUT_m1!lay중YINT2B15","YINT2B15")</f>
        <v>YINT2B15</v>
      </c>
      <c r="C201" s="355"/>
      <c r="E201" s="7"/>
      <c r="G201" s="362" t="s">
        <v>881</v>
      </c>
      <c r="H201" s="362"/>
      <c r="I201" s="362"/>
      <c r="J201" s="362"/>
      <c r="K201" s="362"/>
      <c r="L201" s="363"/>
      <c r="M201" s="22" t="s">
        <v>591</v>
      </c>
      <c r="N201" s="22" t="s">
        <v>592</v>
      </c>
      <c r="O201" s="22" t="s">
        <v>593</v>
      </c>
      <c r="P201" s="24" t="s">
        <v>594</v>
      </c>
      <c r="V201" s="7"/>
    </row>
    <row r="202" spans="2:22" ht="18" customHeight="1">
      <c r="B202" s="355" t="str">
        <f>HYPERLINK("#LAYOUT_m1!lay중YINT2B16","YINT2B16")</f>
        <v>YINT2B16</v>
      </c>
      <c r="C202" s="355"/>
      <c r="E202" s="7"/>
      <c r="G202" s="362" t="s">
        <v>882</v>
      </c>
      <c r="H202" s="362"/>
      <c r="I202" s="362"/>
      <c r="J202" s="362"/>
      <c r="K202" s="362"/>
      <c r="L202" s="363"/>
      <c r="M202" s="22" t="s">
        <v>591</v>
      </c>
      <c r="N202" s="22" t="s">
        <v>592</v>
      </c>
      <c r="O202" s="22" t="s">
        <v>593</v>
      </c>
      <c r="P202" s="24" t="s">
        <v>594</v>
      </c>
      <c r="V202" s="7"/>
    </row>
    <row r="203" spans="2:22" ht="18" customHeight="1">
      <c r="B203" s="195"/>
      <c r="C203" s="195"/>
      <c r="E203" s="7"/>
      <c r="G203" s="28"/>
      <c r="H203" s="28"/>
      <c r="I203" s="28"/>
      <c r="J203" s="28"/>
      <c r="K203" s="28"/>
      <c r="L203" s="28"/>
      <c r="M203" s="11"/>
      <c r="N203" s="11"/>
      <c r="O203" s="11"/>
      <c r="P203" s="11"/>
      <c r="V203" s="7"/>
    </row>
    <row r="204" spans="2:22" ht="18" customHeight="1">
      <c r="B204" s="195"/>
      <c r="C204" s="195"/>
      <c r="E204" s="7"/>
      <c r="G204" s="28"/>
      <c r="H204" s="28"/>
      <c r="I204" s="28"/>
      <c r="J204" s="28"/>
      <c r="K204" s="28"/>
      <c r="L204" s="28"/>
      <c r="M204" s="11"/>
      <c r="N204" s="11"/>
      <c r="O204" s="11"/>
      <c r="P204" s="11"/>
      <c r="V204" s="7"/>
    </row>
    <row r="205" spans="2:22" ht="18" customHeight="1">
      <c r="B205" s="355" t="str">
        <f>HYPERLINK("#LAYOUT_m1!lay중YFUR1A00","YFUR1A00")</f>
        <v>YFUR1A00</v>
      </c>
      <c r="C205" s="355"/>
      <c r="E205" s="7"/>
      <c r="F205" s="6" t="s">
        <v>883</v>
      </c>
      <c r="G205" s="28"/>
      <c r="H205" s="28"/>
      <c r="I205" s="28"/>
      <c r="J205" s="28"/>
      <c r="K205" s="28"/>
      <c r="L205" s="28"/>
      <c r="M205" s="11"/>
      <c r="N205" s="11"/>
      <c r="O205" s="11"/>
      <c r="P205" s="11"/>
      <c r="V205" s="7"/>
    </row>
    <row r="206" spans="2:22" ht="18" customHeight="1">
      <c r="B206" s="195"/>
      <c r="C206" s="195"/>
      <c r="E206" s="7"/>
      <c r="G206" s="370" t="s">
        <v>884</v>
      </c>
      <c r="H206" s="370"/>
      <c r="I206" s="370" t="s">
        <v>885</v>
      </c>
      <c r="J206" s="370"/>
      <c r="K206" s="28"/>
      <c r="L206" s="28"/>
      <c r="M206" s="11"/>
      <c r="N206" s="11"/>
      <c r="O206" s="11"/>
      <c r="P206" s="11"/>
      <c r="V206" s="7"/>
    </row>
    <row r="207" spans="2:22" ht="18" customHeight="1">
      <c r="B207" s="195"/>
      <c r="C207" s="195"/>
      <c r="E207" s="7"/>
      <c r="G207" s="370" t="s">
        <v>886</v>
      </c>
      <c r="H207" s="370"/>
      <c r="I207" s="370" t="s">
        <v>887</v>
      </c>
      <c r="J207" s="370"/>
      <c r="K207" s="28"/>
      <c r="L207" s="28"/>
      <c r="M207" s="11"/>
      <c r="N207" s="11"/>
      <c r="O207" s="11"/>
      <c r="P207" s="11"/>
      <c r="V207" s="7"/>
    </row>
    <row r="208" spans="2:22" ht="18" customHeight="1">
      <c r="B208" s="195"/>
      <c r="C208" s="195"/>
      <c r="E208" s="7"/>
      <c r="G208" s="370" t="s">
        <v>888</v>
      </c>
      <c r="H208" s="370"/>
      <c r="I208" s="28"/>
      <c r="J208" s="28"/>
      <c r="K208" s="28"/>
      <c r="L208" s="28"/>
      <c r="M208" s="11"/>
      <c r="N208" s="11"/>
      <c r="O208" s="11"/>
      <c r="P208" s="11"/>
      <c r="V208" s="7"/>
    </row>
    <row r="209" spans="2:22" ht="18" customHeight="1">
      <c r="B209" s="195"/>
      <c r="C209" s="195"/>
      <c r="E209" s="7"/>
      <c r="G209" s="28"/>
      <c r="H209" s="28"/>
      <c r="I209" s="28"/>
      <c r="J209" s="28"/>
      <c r="K209" s="28"/>
      <c r="L209" s="28"/>
      <c r="M209" s="11"/>
      <c r="N209" s="11"/>
      <c r="O209" s="11"/>
      <c r="P209" s="11"/>
      <c r="V209" s="7"/>
    </row>
    <row r="210" spans="2:22" ht="18" customHeight="1">
      <c r="B210" s="195"/>
      <c r="C210" s="195"/>
      <c r="E210" s="7"/>
      <c r="G210" s="28"/>
      <c r="H210" s="28"/>
      <c r="I210" s="28"/>
      <c r="J210" s="28"/>
      <c r="K210" s="28"/>
      <c r="L210" s="28"/>
      <c r="M210" s="11"/>
      <c r="N210" s="11"/>
      <c r="O210" s="11"/>
      <c r="P210" s="11"/>
      <c r="V210" s="7"/>
    </row>
    <row r="211" spans="2:22" ht="18" customHeight="1">
      <c r="B211" s="355" t="str">
        <f>HYPERLINK("#LAYOUT_m1!lay중YFUR1B00","YFUR1B00")</f>
        <v>YFUR1B00</v>
      </c>
      <c r="C211" s="355"/>
      <c r="E211" s="7"/>
      <c r="F211" s="6" t="s">
        <v>889</v>
      </c>
      <c r="G211" s="28"/>
      <c r="H211" s="28"/>
      <c r="I211" s="28"/>
      <c r="J211" s="28"/>
      <c r="K211" s="28"/>
      <c r="L211" s="28"/>
      <c r="M211" s="11"/>
      <c r="N211" s="11"/>
      <c r="O211" s="11"/>
      <c r="P211" s="11"/>
      <c r="V211" s="7"/>
    </row>
    <row r="212" spans="2:22" ht="18" customHeight="1">
      <c r="B212" s="195"/>
      <c r="C212" s="195"/>
      <c r="E212" s="7"/>
      <c r="G212" s="370" t="s">
        <v>890</v>
      </c>
      <c r="H212" s="370"/>
      <c r="I212" s="370"/>
      <c r="J212" s="28"/>
      <c r="K212" s="28"/>
      <c r="L212" s="28"/>
      <c r="M212" s="11"/>
      <c r="N212" s="11"/>
      <c r="O212" s="11"/>
      <c r="P212" s="11"/>
      <c r="V212" s="7"/>
    </row>
    <row r="213" spans="2:22" ht="18" customHeight="1">
      <c r="B213" s="195"/>
      <c r="C213" s="195"/>
      <c r="E213" s="7"/>
      <c r="G213" s="370" t="s">
        <v>891</v>
      </c>
      <c r="H213" s="370"/>
      <c r="I213" s="370"/>
      <c r="J213" s="28"/>
      <c r="K213" s="28"/>
      <c r="L213" s="28"/>
      <c r="M213" s="11"/>
      <c r="N213" s="11"/>
      <c r="O213" s="11"/>
      <c r="P213" s="11"/>
      <c r="V213" s="7"/>
    </row>
    <row r="214" spans="2:22" ht="18" customHeight="1">
      <c r="B214" s="195"/>
      <c r="C214" s="195"/>
      <c r="E214" s="7"/>
      <c r="G214" s="370" t="s">
        <v>892</v>
      </c>
      <c r="H214" s="370"/>
      <c r="I214" s="370"/>
      <c r="J214" s="28"/>
      <c r="K214" s="28"/>
      <c r="L214" s="28"/>
      <c r="M214" s="11"/>
      <c r="N214" s="11"/>
      <c r="O214" s="11"/>
      <c r="P214" s="11"/>
      <c r="V214" s="7"/>
    </row>
    <row r="215" spans="2:22" ht="18" customHeight="1">
      <c r="B215" s="195"/>
      <c r="C215" s="195"/>
      <c r="E215" s="7"/>
      <c r="G215" s="28"/>
      <c r="H215" s="28"/>
      <c r="I215" s="28"/>
      <c r="J215" s="28"/>
      <c r="K215" s="28"/>
      <c r="L215" s="28"/>
      <c r="M215" s="11"/>
      <c r="N215" s="11"/>
      <c r="O215" s="11"/>
      <c r="P215" s="11"/>
      <c r="V215" s="7"/>
    </row>
    <row r="216" spans="2:22" ht="18" customHeight="1">
      <c r="B216" s="195"/>
      <c r="C216" s="195"/>
      <c r="E216" s="7"/>
      <c r="G216" s="28"/>
      <c r="H216" s="28"/>
      <c r="I216" s="28"/>
      <c r="J216" s="28"/>
      <c r="K216" s="28"/>
      <c r="L216" s="28"/>
      <c r="M216" s="11"/>
      <c r="N216" s="11"/>
      <c r="O216" s="11"/>
      <c r="P216" s="11"/>
      <c r="V216" s="7"/>
    </row>
    <row r="217" spans="2:22" ht="18" customHeight="1" thickBot="1">
      <c r="B217" s="195"/>
      <c r="C217" s="195"/>
      <c r="E217" s="7"/>
      <c r="F217" s="6" t="s">
        <v>893</v>
      </c>
      <c r="V217" s="7"/>
    </row>
    <row r="218" spans="2:22" ht="31.5" thickTop="1" thickBot="1">
      <c r="B218" s="195"/>
      <c r="C218" s="195"/>
      <c r="E218" s="7"/>
      <c r="G218" s="397" t="s">
        <v>643</v>
      </c>
      <c r="H218" s="397"/>
      <c r="I218" s="397"/>
      <c r="J218" s="397"/>
      <c r="K218" s="397"/>
      <c r="L218" s="398"/>
      <c r="M218" s="50" t="s">
        <v>155</v>
      </c>
      <c r="N218" s="50" t="s">
        <v>156</v>
      </c>
      <c r="O218" s="50" t="s">
        <v>157</v>
      </c>
      <c r="P218" s="50" t="s">
        <v>158</v>
      </c>
      <c r="Q218" s="51" t="s">
        <v>90</v>
      </c>
      <c r="V218" s="7"/>
    </row>
    <row r="219" spans="2:22" ht="18" customHeight="1" thickTop="1">
      <c r="B219" s="355" t="str">
        <f>HYPERLINK("#LAYOUT_m1!lay중YFUR2A01","YFUR2A01")</f>
        <v>YFUR2A01</v>
      </c>
      <c r="C219" s="355"/>
      <c r="E219" s="7"/>
      <c r="G219" s="366" t="s">
        <v>661</v>
      </c>
      <c r="H219" s="366"/>
      <c r="I219" s="366"/>
      <c r="J219" s="366"/>
      <c r="K219" s="366"/>
      <c r="L219" s="367"/>
      <c r="M219" s="31" t="s">
        <v>591</v>
      </c>
      <c r="N219" s="31" t="s">
        <v>592</v>
      </c>
      <c r="O219" s="31" t="s">
        <v>593</v>
      </c>
      <c r="P219" s="31" t="s">
        <v>594</v>
      </c>
      <c r="Q219" s="32" t="s">
        <v>662</v>
      </c>
      <c r="V219" s="7"/>
    </row>
    <row r="220" spans="2:22" ht="18" customHeight="1">
      <c r="B220" s="355" t="str">
        <f>HYPERLINK("#LAYOUT_m1!lay중YFUR2A02","YFUR2A02")</f>
        <v>YFUR2A02</v>
      </c>
      <c r="C220" s="355"/>
      <c r="E220" s="7"/>
      <c r="G220" s="362" t="s">
        <v>663</v>
      </c>
      <c r="H220" s="362"/>
      <c r="I220" s="362"/>
      <c r="J220" s="362"/>
      <c r="K220" s="362"/>
      <c r="L220" s="363"/>
      <c r="M220" s="22" t="s">
        <v>591</v>
      </c>
      <c r="N220" s="22" t="s">
        <v>592</v>
      </c>
      <c r="O220" s="22" t="s">
        <v>593</v>
      </c>
      <c r="P220" s="22" t="s">
        <v>594</v>
      </c>
      <c r="Q220" s="24" t="s">
        <v>662</v>
      </c>
      <c r="V220" s="7"/>
    </row>
    <row r="221" spans="2:22" ht="18" customHeight="1">
      <c r="B221" s="355" t="str">
        <f>HYPERLINK("#LAYOUT_m1!lay중YFUR2A03","YFUR2A03")</f>
        <v>YFUR2A03</v>
      </c>
      <c r="C221" s="355"/>
      <c r="E221" s="7"/>
      <c r="G221" s="362" t="s">
        <v>1590</v>
      </c>
      <c r="H221" s="362"/>
      <c r="I221" s="362"/>
      <c r="J221" s="362"/>
      <c r="K221" s="362"/>
      <c r="L221" s="363"/>
      <c r="M221" s="22" t="s">
        <v>591</v>
      </c>
      <c r="N221" s="22" t="s">
        <v>592</v>
      </c>
      <c r="O221" s="22" t="s">
        <v>593</v>
      </c>
      <c r="P221" s="22" t="s">
        <v>594</v>
      </c>
      <c r="Q221" s="24" t="s">
        <v>662</v>
      </c>
      <c r="V221" s="7"/>
    </row>
    <row r="222" spans="2:22" ht="18" customHeight="1">
      <c r="B222" s="355" t="str">
        <f>HYPERLINK("#LAYOUT_m1!lay중YFUR2A04","YFUR2A04")</f>
        <v>YFUR2A04</v>
      </c>
      <c r="C222" s="355"/>
      <c r="E222" s="7"/>
      <c r="G222" s="362" t="s">
        <v>1591</v>
      </c>
      <c r="H222" s="362"/>
      <c r="I222" s="362"/>
      <c r="J222" s="362"/>
      <c r="K222" s="362"/>
      <c r="L222" s="363"/>
      <c r="M222" s="22" t="s">
        <v>591</v>
      </c>
      <c r="N222" s="22" t="s">
        <v>592</v>
      </c>
      <c r="O222" s="22" t="s">
        <v>593</v>
      </c>
      <c r="P222" s="22" t="s">
        <v>594</v>
      </c>
      <c r="Q222" s="24" t="s">
        <v>662</v>
      </c>
      <c r="V222" s="7"/>
    </row>
    <row r="223" spans="2:22" ht="18" customHeight="1">
      <c r="B223" s="355" t="str">
        <f>HYPERLINK("#LAYOUT_m1!lay중YFUR2A05","YFUR2A05")</f>
        <v>YFUR2A05</v>
      </c>
      <c r="C223" s="355"/>
      <c r="E223" s="7"/>
      <c r="G223" s="362" t="s">
        <v>664</v>
      </c>
      <c r="H223" s="362"/>
      <c r="I223" s="362"/>
      <c r="J223" s="362"/>
      <c r="K223" s="362"/>
      <c r="L223" s="363"/>
      <c r="M223" s="22" t="s">
        <v>591</v>
      </c>
      <c r="N223" s="22" t="s">
        <v>592</v>
      </c>
      <c r="O223" s="22" t="s">
        <v>593</v>
      </c>
      <c r="P223" s="22" t="s">
        <v>594</v>
      </c>
      <c r="Q223" s="24" t="s">
        <v>662</v>
      </c>
      <c r="V223" s="7"/>
    </row>
    <row r="224" spans="2:22" ht="18" customHeight="1">
      <c r="B224" s="355" t="str">
        <f>HYPERLINK("#LAYOUT_m1!lay중YFUR2A06","YFUR2A06")</f>
        <v>YFUR2A06</v>
      </c>
      <c r="C224" s="355"/>
      <c r="E224" s="7"/>
      <c r="G224" s="362" t="s">
        <v>665</v>
      </c>
      <c r="H224" s="362"/>
      <c r="I224" s="362"/>
      <c r="J224" s="362"/>
      <c r="K224" s="362"/>
      <c r="L224" s="363"/>
      <c r="M224" s="22" t="s">
        <v>591</v>
      </c>
      <c r="N224" s="22" t="s">
        <v>592</v>
      </c>
      <c r="O224" s="22" t="s">
        <v>593</v>
      </c>
      <c r="P224" s="22" t="s">
        <v>594</v>
      </c>
      <c r="Q224" s="24" t="s">
        <v>662</v>
      </c>
      <c r="V224" s="7"/>
    </row>
    <row r="225" spans="2:22" ht="18" customHeight="1">
      <c r="B225" s="355" t="str">
        <f>HYPERLINK("#LAYOUT_m1!lay중YFUR2A07","YFUR2A07")</f>
        <v>YFUR2A07</v>
      </c>
      <c r="C225" s="355"/>
      <c r="E225" s="7"/>
      <c r="G225" s="362" t="s">
        <v>666</v>
      </c>
      <c r="H225" s="362"/>
      <c r="I225" s="362"/>
      <c r="J225" s="362"/>
      <c r="K225" s="362"/>
      <c r="L225" s="363"/>
      <c r="M225" s="22" t="s">
        <v>591</v>
      </c>
      <c r="N225" s="22" t="s">
        <v>592</v>
      </c>
      <c r="O225" s="22" t="s">
        <v>593</v>
      </c>
      <c r="P225" s="22" t="s">
        <v>594</v>
      </c>
      <c r="Q225" s="24" t="s">
        <v>662</v>
      </c>
      <c r="V225" s="7"/>
    </row>
    <row r="226" spans="2:22" ht="18" customHeight="1">
      <c r="B226" s="195" t="str">
        <f>HYPERLINK("#LAYOUT_m1!lay중YFUR2A08","YFUR2A08")</f>
        <v>YFUR2A08</v>
      </c>
      <c r="C226" s="195" t="str">
        <f>HYPERLINK("#LAYOUT_m1!lay중YFUR2A08_T","YFUR2A08_T")</f>
        <v>YFUR2A08_T</v>
      </c>
      <c r="E226" s="7"/>
      <c r="G226" s="362" t="s">
        <v>1592</v>
      </c>
      <c r="H226" s="362"/>
      <c r="I226" s="362"/>
      <c r="J226" s="362"/>
      <c r="K226" s="362"/>
      <c r="L226" s="363"/>
      <c r="M226" s="22" t="s">
        <v>591</v>
      </c>
      <c r="N226" s="22" t="s">
        <v>592</v>
      </c>
      <c r="O226" s="22" t="s">
        <v>593</v>
      </c>
      <c r="P226" s="22" t="s">
        <v>594</v>
      </c>
      <c r="Q226" s="24" t="s">
        <v>662</v>
      </c>
      <c r="V226" s="7"/>
    </row>
    <row r="227" spans="2:22" ht="18" customHeight="1">
      <c r="B227" s="195"/>
      <c r="C227" s="195"/>
      <c r="E227" s="7"/>
      <c r="V227" s="7"/>
    </row>
    <row r="228" spans="2:22" ht="18" customHeight="1">
      <c r="B228" s="195"/>
      <c r="C228" s="195"/>
      <c r="E228" s="7"/>
      <c r="V228" s="7"/>
    </row>
    <row r="229" spans="2:22" ht="18" customHeight="1" thickBot="1">
      <c r="B229" s="195"/>
      <c r="C229" s="195"/>
      <c r="E229" s="7"/>
      <c r="F229" s="6" t="s">
        <v>894</v>
      </c>
      <c r="V229" s="7"/>
    </row>
    <row r="230" spans="2:22" ht="31.5" thickTop="1" thickBot="1">
      <c r="B230" s="195"/>
      <c r="C230" s="195"/>
      <c r="E230" s="7"/>
      <c r="G230" s="397" t="s">
        <v>643</v>
      </c>
      <c r="H230" s="397"/>
      <c r="I230" s="397"/>
      <c r="J230" s="397"/>
      <c r="K230" s="397"/>
      <c r="L230" s="398"/>
      <c r="M230" s="9" t="s">
        <v>622</v>
      </c>
      <c r="N230" s="9" t="s">
        <v>623</v>
      </c>
      <c r="O230" s="9" t="s">
        <v>107</v>
      </c>
      <c r="P230" s="10" t="s">
        <v>108</v>
      </c>
      <c r="V230" s="7"/>
    </row>
    <row r="231" spans="2:22" ht="18" customHeight="1" thickTop="1">
      <c r="B231" s="355" t="str">
        <f>HYPERLINK("#LAYOUT_m1!lay중YPSY1A01","YPSY1A01")</f>
        <v>YPSY1A01</v>
      </c>
      <c r="C231" s="355"/>
      <c r="E231" s="7"/>
      <c r="G231" s="366" t="s">
        <v>668</v>
      </c>
      <c r="H231" s="366"/>
      <c r="I231" s="366"/>
      <c r="J231" s="366"/>
      <c r="K231" s="366"/>
      <c r="L231" s="367"/>
      <c r="M231" s="20" t="s">
        <v>591</v>
      </c>
      <c r="N231" s="20" t="s">
        <v>592</v>
      </c>
      <c r="O231" s="20" t="s">
        <v>593</v>
      </c>
      <c r="P231" s="25" t="s">
        <v>594</v>
      </c>
      <c r="V231" s="7"/>
    </row>
    <row r="232" spans="2:22" ht="18" customHeight="1">
      <c r="B232" s="355" t="str">
        <f>HYPERLINK("#LAYOUT_m1!lay중YPSY1A02","YPSY1A02")</f>
        <v>YPSY1A02</v>
      </c>
      <c r="C232" s="355"/>
      <c r="E232" s="7"/>
      <c r="G232" s="362" t="s">
        <v>669</v>
      </c>
      <c r="H232" s="362"/>
      <c r="I232" s="362"/>
      <c r="J232" s="362"/>
      <c r="K232" s="362"/>
      <c r="L232" s="363"/>
      <c r="M232" s="22" t="s">
        <v>591</v>
      </c>
      <c r="N232" s="22" t="s">
        <v>592</v>
      </c>
      <c r="O232" s="22" t="s">
        <v>593</v>
      </c>
      <c r="P232" s="24" t="s">
        <v>594</v>
      </c>
      <c r="V232" s="7"/>
    </row>
    <row r="233" spans="2:22" ht="18" customHeight="1">
      <c r="B233" s="355" t="str">
        <f>HYPERLINK("#LAYOUT_m1!lay중YPSY1A03","YPSY1A03")</f>
        <v>YPSY1A03</v>
      </c>
      <c r="C233" s="355"/>
      <c r="E233" s="7"/>
      <c r="G233" s="362" t="s">
        <v>670</v>
      </c>
      <c r="H233" s="362"/>
      <c r="I233" s="362"/>
      <c r="J233" s="362"/>
      <c r="K233" s="362"/>
      <c r="L233" s="363"/>
      <c r="M233" s="22" t="s">
        <v>591</v>
      </c>
      <c r="N233" s="22" t="s">
        <v>592</v>
      </c>
      <c r="O233" s="22" t="s">
        <v>593</v>
      </c>
      <c r="P233" s="24" t="s">
        <v>594</v>
      </c>
      <c r="V233" s="7"/>
    </row>
    <row r="234" spans="2:22" ht="18" customHeight="1">
      <c r="B234" s="355" t="str">
        <f>HYPERLINK("#LAYOUT_m1!lay중YPSY1A04","YPSY1A04")</f>
        <v>YPSY1A04</v>
      </c>
      <c r="C234" s="355"/>
      <c r="E234" s="7"/>
      <c r="G234" s="362" t="s">
        <v>671</v>
      </c>
      <c r="H234" s="362"/>
      <c r="I234" s="362"/>
      <c r="J234" s="362"/>
      <c r="K234" s="362"/>
      <c r="L234" s="363"/>
      <c r="M234" s="22" t="s">
        <v>591</v>
      </c>
      <c r="N234" s="22" t="s">
        <v>592</v>
      </c>
      <c r="O234" s="22" t="s">
        <v>593</v>
      </c>
      <c r="P234" s="24" t="s">
        <v>594</v>
      </c>
      <c r="V234" s="7"/>
    </row>
    <row r="235" spans="2:22" ht="18" customHeight="1">
      <c r="B235" s="355" t="str">
        <f>HYPERLINK("#LAYOUT_m1!lay중YPSY1A05","YPSY1A05")</f>
        <v>YPSY1A05</v>
      </c>
      <c r="C235" s="355"/>
      <c r="E235" s="7"/>
      <c r="G235" s="362" t="s">
        <v>672</v>
      </c>
      <c r="H235" s="362"/>
      <c r="I235" s="362"/>
      <c r="J235" s="362"/>
      <c r="K235" s="362"/>
      <c r="L235" s="363"/>
      <c r="M235" s="22" t="s">
        <v>591</v>
      </c>
      <c r="N235" s="22" t="s">
        <v>592</v>
      </c>
      <c r="O235" s="22" t="s">
        <v>593</v>
      </c>
      <c r="P235" s="24" t="s">
        <v>594</v>
      </c>
      <c r="V235" s="7"/>
    </row>
    <row r="236" spans="2:22" ht="18" customHeight="1">
      <c r="B236" s="195"/>
      <c r="C236" s="195"/>
      <c r="E236" s="7"/>
      <c r="V236" s="7"/>
    </row>
    <row r="237" spans="2:22" ht="18" customHeight="1">
      <c r="B237" s="195"/>
      <c r="C237" s="195"/>
      <c r="E237" s="7"/>
      <c r="V237" s="7"/>
    </row>
    <row r="238" spans="2:22" ht="18" customHeight="1" thickBot="1">
      <c r="B238" s="195"/>
      <c r="C238" s="195"/>
      <c r="E238" s="7"/>
      <c r="F238" s="6" t="s">
        <v>895</v>
      </c>
      <c r="V238" s="7"/>
    </row>
    <row r="239" spans="2:22" ht="31.5" thickTop="1" thickBot="1">
      <c r="B239" s="195"/>
      <c r="C239" s="195"/>
      <c r="E239" s="7"/>
      <c r="G239" s="397" t="s">
        <v>574</v>
      </c>
      <c r="H239" s="397"/>
      <c r="I239" s="397"/>
      <c r="J239" s="397"/>
      <c r="K239" s="397"/>
      <c r="L239" s="398"/>
      <c r="M239" s="9" t="s">
        <v>674</v>
      </c>
      <c r="N239" s="9" t="s">
        <v>675</v>
      </c>
      <c r="O239" s="9" t="s">
        <v>676</v>
      </c>
      <c r="P239" s="10" t="s">
        <v>677</v>
      </c>
      <c r="V239" s="7"/>
    </row>
    <row r="240" spans="2:22" ht="18" customHeight="1" thickTop="1">
      <c r="B240" s="355" t="str">
        <f>HYPERLINK("#LAYOUT_m1!lay중YPSY2A01","YPSY2A01")</f>
        <v>YPSY2A01</v>
      </c>
      <c r="C240" s="355"/>
      <c r="E240" s="7"/>
      <c r="G240" s="366" t="s">
        <v>678</v>
      </c>
      <c r="H240" s="366"/>
      <c r="I240" s="366"/>
      <c r="J240" s="366"/>
      <c r="K240" s="366"/>
      <c r="L240" s="367"/>
      <c r="M240" s="20" t="s">
        <v>591</v>
      </c>
      <c r="N240" s="20" t="s">
        <v>592</v>
      </c>
      <c r="O240" s="20" t="s">
        <v>593</v>
      </c>
      <c r="P240" s="25" t="s">
        <v>594</v>
      </c>
      <c r="V240" s="7"/>
    </row>
    <row r="241" spans="2:22" ht="18" customHeight="1">
      <c r="B241" s="355" t="str">
        <f>HYPERLINK("#LAYOUT_m1!lay중YPSY2A02","YPSY2A02")</f>
        <v>YPSY2A02</v>
      </c>
      <c r="C241" s="355"/>
      <c r="E241" s="7"/>
      <c r="G241" s="366" t="s">
        <v>679</v>
      </c>
      <c r="H241" s="366"/>
      <c r="I241" s="366"/>
      <c r="J241" s="366"/>
      <c r="K241" s="366"/>
      <c r="L241" s="367"/>
      <c r="M241" s="31" t="s">
        <v>591</v>
      </c>
      <c r="N241" s="31" t="s">
        <v>592</v>
      </c>
      <c r="O241" s="31" t="s">
        <v>593</v>
      </c>
      <c r="P241" s="32" t="s">
        <v>594</v>
      </c>
      <c r="V241" s="7"/>
    </row>
    <row r="242" spans="2:22" ht="18" customHeight="1">
      <c r="B242" s="195"/>
      <c r="C242" s="195"/>
      <c r="E242" s="7"/>
      <c r="V242" s="7"/>
    </row>
    <row r="243" spans="2:22" ht="18" customHeight="1">
      <c r="B243" s="195"/>
      <c r="C243" s="195"/>
      <c r="E243" s="7"/>
      <c r="V243" s="7"/>
    </row>
    <row r="244" spans="2:22" ht="18" customHeight="1" thickBot="1">
      <c r="B244" s="195"/>
      <c r="C244" s="195"/>
      <c r="E244" s="7"/>
      <c r="F244" s="6" t="s">
        <v>896</v>
      </c>
      <c r="V244" s="7"/>
    </row>
    <row r="245" spans="2:22" ht="31.5" thickTop="1" thickBot="1">
      <c r="B245" s="195"/>
      <c r="C245" s="195"/>
      <c r="E245" s="7"/>
      <c r="G245" s="397" t="s">
        <v>643</v>
      </c>
      <c r="H245" s="397"/>
      <c r="I245" s="397"/>
      <c r="J245" s="397"/>
      <c r="K245" s="397"/>
      <c r="L245" s="398"/>
      <c r="M245" s="9" t="s">
        <v>622</v>
      </c>
      <c r="N245" s="9" t="s">
        <v>623</v>
      </c>
      <c r="O245" s="9" t="s">
        <v>107</v>
      </c>
      <c r="P245" s="10" t="s">
        <v>108</v>
      </c>
      <c r="V245" s="7"/>
    </row>
    <row r="246" spans="2:22" ht="31.5" customHeight="1" thickTop="1">
      <c r="B246" s="355" t="str">
        <f>HYPERLINK("#LAYOUT_m1!lay중YPSY2A03","YPSY2A03")</f>
        <v>YPSY2A03</v>
      </c>
      <c r="C246" s="355"/>
      <c r="E246" s="7"/>
      <c r="G246" s="366" t="s">
        <v>681</v>
      </c>
      <c r="H246" s="366"/>
      <c r="I246" s="366"/>
      <c r="J246" s="366"/>
      <c r="K246" s="366"/>
      <c r="L246" s="367"/>
      <c r="M246" s="20" t="s">
        <v>591</v>
      </c>
      <c r="N246" s="20" t="s">
        <v>592</v>
      </c>
      <c r="O246" s="20" t="s">
        <v>593</v>
      </c>
      <c r="P246" s="25" t="s">
        <v>594</v>
      </c>
      <c r="V246" s="7"/>
    </row>
    <row r="247" spans="2:22" ht="31.5" customHeight="1">
      <c r="B247" s="355" t="str">
        <f>HYPERLINK("#LAYOUT_m1!lay중YPSY2A04","YPSY2A04")</f>
        <v>YPSY2A04</v>
      </c>
      <c r="C247" s="355"/>
      <c r="E247" s="7"/>
      <c r="G247" s="366" t="s">
        <v>682</v>
      </c>
      <c r="H247" s="366"/>
      <c r="I247" s="366"/>
      <c r="J247" s="366"/>
      <c r="K247" s="366"/>
      <c r="L247" s="367"/>
      <c r="M247" s="31" t="s">
        <v>591</v>
      </c>
      <c r="N247" s="31" t="s">
        <v>592</v>
      </c>
      <c r="O247" s="31" t="s">
        <v>593</v>
      </c>
      <c r="P247" s="32" t="s">
        <v>594</v>
      </c>
      <c r="V247" s="7"/>
    </row>
    <row r="248" spans="2:22" ht="18" customHeight="1">
      <c r="B248" s="195"/>
      <c r="C248" s="195"/>
      <c r="E248" s="7"/>
      <c r="V248" s="7"/>
    </row>
    <row r="249" spans="2:22" ht="18" customHeight="1">
      <c r="B249" s="195"/>
      <c r="C249" s="195"/>
      <c r="E249" s="7"/>
      <c r="V249" s="7"/>
    </row>
    <row r="250" spans="2:22" ht="18" customHeight="1" thickBot="1">
      <c r="B250" s="195"/>
      <c r="C250" s="195"/>
      <c r="E250" s="7"/>
      <c r="F250" s="6" t="s">
        <v>784</v>
      </c>
      <c r="V250" s="7"/>
    </row>
    <row r="251" spans="2:22" ht="31.5" thickTop="1" thickBot="1">
      <c r="B251" s="195"/>
      <c r="C251" s="195"/>
      <c r="E251" s="7"/>
      <c r="G251" s="397" t="s">
        <v>643</v>
      </c>
      <c r="H251" s="397"/>
      <c r="I251" s="397"/>
      <c r="J251" s="397"/>
      <c r="K251" s="397"/>
      <c r="L251" s="398"/>
      <c r="M251" s="9" t="s">
        <v>622</v>
      </c>
      <c r="N251" s="9" t="s">
        <v>623</v>
      </c>
      <c r="O251" s="9" t="s">
        <v>107</v>
      </c>
      <c r="P251" s="10" t="s">
        <v>108</v>
      </c>
      <c r="V251" s="7"/>
    </row>
    <row r="252" spans="2:22" ht="18" customHeight="1" thickTop="1">
      <c r="B252" s="355" t="str">
        <f>HYPERLINK("#LAYOUT_m1!lay중YPSY3A01","YPSY3A01")</f>
        <v>YPSY3A01</v>
      </c>
      <c r="C252" s="355"/>
      <c r="E252" s="7"/>
      <c r="G252" s="366" t="s">
        <v>684</v>
      </c>
      <c r="H252" s="366"/>
      <c r="I252" s="366"/>
      <c r="J252" s="366"/>
      <c r="K252" s="366"/>
      <c r="L252" s="367"/>
      <c r="M252" s="20" t="s">
        <v>591</v>
      </c>
      <c r="N252" s="20" t="s">
        <v>592</v>
      </c>
      <c r="O252" s="20" t="s">
        <v>593</v>
      </c>
      <c r="P252" s="25" t="s">
        <v>594</v>
      </c>
      <c r="V252" s="7"/>
    </row>
    <row r="253" spans="2:22" ht="18" customHeight="1">
      <c r="B253" s="355" t="str">
        <f>HYPERLINK("#LAYOUT_m1!lay중YPSY3A02","YPSY3A02")</f>
        <v>YPSY3A02</v>
      </c>
      <c r="C253" s="355"/>
      <c r="E253" s="7"/>
      <c r="G253" s="366" t="s">
        <v>685</v>
      </c>
      <c r="H253" s="366"/>
      <c r="I253" s="366"/>
      <c r="J253" s="366"/>
      <c r="K253" s="366"/>
      <c r="L253" s="367"/>
      <c r="M253" s="22" t="s">
        <v>591</v>
      </c>
      <c r="N253" s="22" t="s">
        <v>592</v>
      </c>
      <c r="O253" s="22" t="s">
        <v>593</v>
      </c>
      <c r="P253" s="24" t="s">
        <v>594</v>
      </c>
      <c r="V253" s="7"/>
    </row>
    <row r="254" spans="2:22" ht="18" customHeight="1">
      <c r="B254" s="355" t="str">
        <f>HYPERLINK("#LAYOUT_m1!lay중YPSY3A03","YPSY3A03")</f>
        <v>YPSY3A03</v>
      </c>
      <c r="C254" s="355"/>
      <c r="E254" s="7"/>
      <c r="G254" s="366" t="s">
        <v>686</v>
      </c>
      <c r="H254" s="366"/>
      <c r="I254" s="366"/>
      <c r="J254" s="366"/>
      <c r="K254" s="366"/>
      <c r="L254" s="367"/>
      <c r="M254" s="22" t="s">
        <v>591</v>
      </c>
      <c r="N254" s="22" t="s">
        <v>592</v>
      </c>
      <c r="O254" s="22" t="s">
        <v>593</v>
      </c>
      <c r="P254" s="24" t="s">
        <v>594</v>
      </c>
      <c r="V254" s="7"/>
    </row>
    <row r="255" spans="2:22" ht="18" customHeight="1">
      <c r="B255" s="355" t="str">
        <f>HYPERLINK("#LAYOUT_m1!lay중YPSY3A04","YPSY3A04")</f>
        <v>YPSY3A04</v>
      </c>
      <c r="C255" s="355"/>
      <c r="E255" s="7"/>
      <c r="G255" s="366" t="s">
        <v>687</v>
      </c>
      <c r="H255" s="366"/>
      <c r="I255" s="366"/>
      <c r="J255" s="366"/>
      <c r="K255" s="366"/>
      <c r="L255" s="367"/>
      <c r="M255" s="22" t="s">
        <v>591</v>
      </c>
      <c r="N255" s="22" t="s">
        <v>592</v>
      </c>
      <c r="O255" s="22" t="s">
        <v>593</v>
      </c>
      <c r="P255" s="24" t="s">
        <v>594</v>
      </c>
      <c r="V255" s="7"/>
    </row>
    <row r="256" spans="2:22" ht="18" customHeight="1">
      <c r="B256" s="355" t="str">
        <f>HYPERLINK("#LAYOUT_m1!lay중YPSY3A05","YPSY3A05")</f>
        <v>YPSY3A05</v>
      </c>
      <c r="C256" s="355"/>
      <c r="E256" s="7"/>
      <c r="G256" s="366" t="s">
        <v>688</v>
      </c>
      <c r="H256" s="366"/>
      <c r="I256" s="366"/>
      <c r="J256" s="366"/>
      <c r="K256" s="366"/>
      <c r="L256" s="367"/>
      <c r="M256" s="22" t="s">
        <v>591</v>
      </c>
      <c r="N256" s="22" t="s">
        <v>592</v>
      </c>
      <c r="O256" s="22" t="s">
        <v>593</v>
      </c>
      <c r="P256" s="24" t="s">
        <v>594</v>
      </c>
      <c r="V256" s="7"/>
    </row>
    <row r="257" spans="2:22" ht="18" customHeight="1">
      <c r="B257" s="355" t="str">
        <f>HYPERLINK("#LAYOUT_m1!lay중YPSY3A06","YPSY3A06")</f>
        <v>YPSY3A06</v>
      </c>
      <c r="C257" s="355"/>
      <c r="E257" s="7"/>
      <c r="G257" s="366" t="s">
        <v>689</v>
      </c>
      <c r="H257" s="366"/>
      <c r="I257" s="366"/>
      <c r="J257" s="366"/>
      <c r="K257" s="366"/>
      <c r="L257" s="367"/>
      <c r="M257" s="22" t="s">
        <v>591</v>
      </c>
      <c r="N257" s="22" t="s">
        <v>592</v>
      </c>
      <c r="O257" s="22" t="s">
        <v>593</v>
      </c>
      <c r="P257" s="24" t="s">
        <v>594</v>
      </c>
      <c r="V257" s="7"/>
    </row>
    <row r="258" spans="2:22" ht="18" customHeight="1">
      <c r="B258" s="355" t="str">
        <f>HYPERLINK("#LAYOUT_m1!lay중YPSY3A07","YPSY3A07")</f>
        <v>YPSY3A07</v>
      </c>
      <c r="C258" s="355"/>
      <c r="E258" s="7"/>
      <c r="G258" s="366" t="s">
        <v>690</v>
      </c>
      <c r="H258" s="366"/>
      <c r="I258" s="366"/>
      <c r="J258" s="366"/>
      <c r="K258" s="366"/>
      <c r="L258" s="367"/>
      <c r="M258" s="22" t="s">
        <v>591</v>
      </c>
      <c r="N258" s="22" t="s">
        <v>592</v>
      </c>
      <c r="O258" s="22" t="s">
        <v>593</v>
      </c>
      <c r="P258" s="24" t="s">
        <v>594</v>
      </c>
      <c r="V258" s="7"/>
    </row>
    <row r="259" spans="2:22" ht="18" customHeight="1">
      <c r="B259" s="355" t="str">
        <f>HYPERLINK("#LAYOUT_m1!lay중YPSY3A08","YPSY3A08")</f>
        <v>YPSY3A08</v>
      </c>
      <c r="C259" s="355"/>
      <c r="E259" s="7"/>
      <c r="G259" s="366" t="s">
        <v>691</v>
      </c>
      <c r="H259" s="366"/>
      <c r="I259" s="366"/>
      <c r="J259" s="366"/>
      <c r="K259" s="366"/>
      <c r="L259" s="367"/>
      <c r="M259" s="22" t="s">
        <v>591</v>
      </c>
      <c r="N259" s="22" t="s">
        <v>592</v>
      </c>
      <c r="O259" s="22" t="s">
        <v>593</v>
      </c>
      <c r="P259" s="24" t="s">
        <v>594</v>
      </c>
      <c r="V259" s="7"/>
    </row>
    <row r="260" spans="2:22" ht="18" customHeight="1">
      <c r="B260" s="355" t="str">
        <f>HYPERLINK("#LAYOUT_m1!lay중YPSY3A09","YPSY3A09")</f>
        <v>YPSY3A09</v>
      </c>
      <c r="C260" s="355"/>
      <c r="E260" s="7"/>
      <c r="G260" s="366" t="s">
        <v>692</v>
      </c>
      <c r="H260" s="366"/>
      <c r="I260" s="366"/>
      <c r="J260" s="366"/>
      <c r="K260" s="366"/>
      <c r="L260" s="367"/>
      <c r="M260" s="22" t="s">
        <v>591</v>
      </c>
      <c r="N260" s="22" t="s">
        <v>592</v>
      </c>
      <c r="O260" s="22" t="s">
        <v>593</v>
      </c>
      <c r="P260" s="24" t="s">
        <v>594</v>
      </c>
      <c r="V260" s="7"/>
    </row>
    <row r="261" spans="2:22" ht="18" customHeight="1">
      <c r="B261" s="355" t="str">
        <f>HYPERLINK("#LAYOUT_m1!lay중YPSY3A10","YPSY3A10")</f>
        <v>YPSY3A10</v>
      </c>
      <c r="C261" s="355"/>
      <c r="E261" s="7"/>
      <c r="G261" s="366" t="s">
        <v>693</v>
      </c>
      <c r="H261" s="366"/>
      <c r="I261" s="366"/>
      <c r="J261" s="366"/>
      <c r="K261" s="366"/>
      <c r="L261" s="367"/>
      <c r="M261" s="22" t="s">
        <v>591</v>
      </c>
      <c r="N261" s="22" t="s">
        <v>592</v>
      </c>
      <c r="O261" s="22" t="s">
        <v>593</v>
      </c>
      <c r="P261" s="24" t="s">
        <v>594</v>
      </c>
      <c r="V261" s="7"/>
    </row>
    <row r="262" spans="2:22" ht="18" customHeight="1">
      <c r="B262" s="195"/>
      <c r="C262" s="195"/>
      <c r="E262" s="7"/>
      <c r="V262" s="7"/>
    </row>
    <row r="263" spans="2:22" ht="18" customHeight="1">
      <c r="B263" s="195"/>
      <c r="C263" s="195"/>
      <c r="E263" s="7"/>
      <c r="V263" s="7"/>
    </row>
    <row r="264" spans="2:22" ht="18" customHeight="1" thickBot="1">
      <c r="B264" s="195"/>
      <c r="C264" s="195"/>
      <c r="E264" s="7"/>
      <c r="F264" s="6" t="s">
        <v>798</v>
      </c>
      <c r="V264" s="7"/>
    </row>
    <row r="265" spans="2:22" ht="31.5" thickTop="1" thickBot="1">
      <c r="B265" s="195"/>
      <c r="C265" s="195"/>
      <c r="E265" s="7"/>
      <c r="G265" s="397" t="s">
        <v>643</v>
      </c>
      <c r="H265" s="397"/>
      <c r="I265" s="397"/>
      <c r="J265" s="397"/>
      <c r="K265" s="397"/>
      <c r="L265" s="398"/>
      <c r="M265" s="9" t="s">
        <v>622</v>
      </c>
      <c r="N265" s="9" t="s">
        <v>623</v>
      </c>
      <c r="O265" s="9" t="s">
        <v>107</v>
      </c>
      <c r="P265" s="10" t="s">
        <v>108</v>
      </c>
      <c r="V265" s="7"/>
    </row>
    <row r="266" spans="2:22" ht="18" customHeight="1" thickTop="1">
      <c r="B266" s="355" t="str">
        <f>HYPERLINK("#LAYOUT_m1!lay중YPSY4A01","YPSY4A01")</f>
        <v>YPSY4A01</v>
      </c>
      <c r="C266" s="355"/>
      <c r="E266" s="7"/>
      <c r="G266" s="366" t="s">
        <v>695</v>
      </c>
      <c r="H266" s="366"/>
      <c r="I266" s="366"/>
      <c r="J266" s="366"/>
      <c r="K266" s="366"/>
      <c r="L266" s="367"/>
      <c r="M266" s="20" t="s">
        <v>591</v>
      </c>
      <c r="N266" s="20" t="s">
        <v>592</v>
      </c>
      <c r="O266" s="20" t="s">
        <v>593</v>
      </c>
      <c r="P266" s="25" t="s">
        <v>594</v>
      </c>
      <c r="V266" s="7"/>
    </row>
    <row r="267" spans="2:22" ht="18" customHeight="1">
      <c r="B267" s="355" t="str">
        <f>HYPERLINK("#LAYOUT_m1!lay중YPSY4A02","YPSY4A02")</f>
        <v>YPSY4A02</v>
      </c>
      <c r="C267" s="355"/>
      <c r="E267" s="7"/>
      <c r="G267" s="366" t="s">
        <v>696</v>
      </c>
      <c r="H267" s="366"/>
      <c r="I267" s="366"/>
      <c r="J267" s="366"/>
      <c r="K267" s="366"/>
      <c r="L267" s="367"/>
      <c r="M267" s="22" t="s">
        <v>591</v>
      </c>
      <c r="N267" s="22" t="s">
        <v>592</v>
      </c>
      <c r="O267" s="22" t="s">
        <v>593</v>
      </c>
      <c r="P267" s="24" t="s">
        <v>594</v>
      </c>
      <c r="V267" s="7"/>
    </row>
    <row r="268" spans="2:22" ht="18" customHeight="1">
      <c r="B268" s="355" t="str">
        <f>HYPERLINK("#LAYOUT_m1!lay중YPSY4A03","YPSY4A03")</f>
        <v>YPSY4A03</v>
      </c>
      <c r="C268" s="355"/>
      <c r="E268" s="7"/>
      <c r="G268" s="366" t="s">
        <v>697</v>
      </c>
      <c r="H268" s="366"/>
      <c r="I268" s="366"/>
      <c r="J268" s="366"/>
      <c r="K268" s="366"/>
      <c r="L268" s="367"/>
      <c r="M268" s="22" t="s">
        <v>591</v>
      </c>
      <c r="N268" s="22" t="s">
        <v>592</v>
      </c>
      <c r="O268" s="22" t="s">
        <v>593</v>
      </c>
      <c r="P268" s="24" t="s">
        <v>594</v>
      </c>
      <c r="V268" s="7"/>
    </row>
    <row r="269" spans="2:22" ht="18" customHeight="1">
      <c r="B269" s="355" t="str">
        <f>HYPERLINK("#LAYOUT_m1!lay중YPSY4A04","YPSY4A04")</f>
        <v>YPSY4A04</v>
      </c>
      <c r="C269" s="355"/>
      <c r="E269" s="7"/>
      <c r="G269" s="366" t="s">
        <v>698</v>
      </c>
      <c r="H269" s="366"/>
      <c r="I269" s="366"/>
      <c r="J269" s="366"/>
      <c r="K269" s="366"/>
      <c r="L269" s="367"/>
      <c r="M269" s="22" t="s">
        <v>591</v>
      </c>
      <c r="N269" s="22" t="s">
        <v>592</v>
      </c>
      <c r="O269" s="22" t="s">
        <v>593</v>
      </c>
      <c r="P269" s="24" t="s">
        <v>594</v>
      </c>
      <c r="V269" s="7"/>
    </row>
    <row r="270" spans="2:22" ht="18" customHeight="1">
      <c r="B270" s="355" t="str">
        <f>HYPERLINK("#LAYOUT_m1!lay중YPSY4A05","YPSY4A05")</f>
        <v>YPSY4A05</v>
      </c>
      <c r="C270" s="355"/>
      <c r="E270" s="7"/>
      <c r="G270" s="366" t="s">
        <v>699</v>
      </c>
      <c r="H270" s="366"/>
      <c r="I270" s="366"/>
      <c r="J270" s="366"/>
      <c r="K270" s="366"/>
      <c r="L270" s="367"/>
      <c r="M270" s="22" t="s">
        <v>591</v>
      </c>
      <c r="N270" s="22" t="s">
        <v>592</v>
      </c>
      <c r="O270" s="22" t="s">
        <v>593</v>
      </c>
      <c r="P270" s="24" t="s">
        <v>594</v>
      </c>
      <c r="V270" s="7"/>
    </row>
    <row r="271" spans="2:22" ht="18" customHeight="1">
      <c r="B271" s="355" t="str">
        <f>HYPERLINK("#LAYOUT_m1!lay중YPSY4A06","YPSY4A06")</f>
        <v>YPSY4A06</v>
      </c>
      <c r="C271" s="355"/>
      <c r="E271" s="7"/>
      <c r="G271" s="366" t="s">
        <v>700</v>
      </c>
      <c r="H271" s="366"/>
      <c r="I271" s="366"/>
      <c r="J271" s="366"/>
      <c r="K271" s="366"/>
      <c r="L271" s="367"/>
      <c r="M271" s="22" t="s">
        <v>591</v>
      </c>
      <c r="N271" s="22" t="s">
        <v>592</v>
      </c>
      <c r="O271" s="22" t="s">
        <v>593</v>
      </c>
      <c r="P271" s="24" t="s">
        <v>594</v>
      </c>
      <c r="V271" s="7"/>
    </row>
    <row r="272" spans="2:22" ht="18" customHeight="1">
      <c r="B272" s="355" t="str">
        <f>HYPERLINK("#LAYOUT_m1!lay중YPSY4A07","YPSY4A07")</f>
        <v>YPSY4A07</v>
      </c>
      <c r="C272" s="355"/>
      <c r="E272" s="7"/>
      <c r="G272" s="366" t="s">
        <v>701</v>
      </c>
      <c r="H272" s="366"/>
      <c r="I272" s="366"/>
      <c r="J272" s="366"/>
      <c r="K272" s="366"/>
      <c r="L272" s="367"/>
      <c r="M272" s="22" t="s">
        <v>591</v>
      </c>
      <c r="N272" s="22" t="s">
        <v>592</v>
      </c>
      <c r="O272" s="22" t="s">
        <v>593</v>
      </c>
      <c r="P272" s="24" t="s">
        <v>594</v>
      </c>
      <c r="V272" s="7"/>
    </row>
    <row r="273" spans="2:22" ht="18" customHeight="1">
      <c r="B273" s="355" t="str">
        <f>HYPERLINK("#LAYOUT_m1!lay중YPSY4B01","YPSY4B01")</f>
        <v>YPSY4B01</v>
      </c>
      <c r="C273" s="355"/>
      <c r="E273" s="7"/>
      <c r="G273" s="366" t="s">
        <v>702</v>
      </c>
      <c r="H273" s="366"/>
      <c r="I273" s="366"/>
      <c r="J273" s="366"/>
      <c r="K273" s="366"/>
      <c r="L273" s="367"/>
      <c r="M273" s="22" t="s">
        <v>591</v>
      </c>
      <c r="N273" s="22" t="s">
        <v>592</v>
      </c>
      <c r="O273" s="22" t="s">
        <v>593</v>
      </c>
      <c r="P273" s="24" t="s">
        <v>594</v>
      </c>
      <c r="V273" s="7"/>
    </row>
    <row r="274" spans="2:22" ht="18" customHeight="1">
      <c r="B274" s="355" t="str">
        <f>HYPERLINK("#LAYOUT_m1!lay중YPSY4B02","YPSY4B02")</f>
        <v>YPSY4B02</v>
      </c>
      <c r="C274" s="355"/>
      <c r="E274" s="7"/>
      <c r="G274" s="366" t="s">
        <v>703</v>
      </c>
      <c r="H274" s="366"/>
      <c r="I274" s="366"/>
      <c r="J274" s="366"/>
      <c r="K274" s="366"/>
      <c r="L274" s="367"/>
      <c r="M274" s="22" t="s">
        <v>591</v>
      </c>
      <c r="N274" s="22" t="s">
        <v>592</v>
      </c>
      <c r="O274" s="22" t="s">
        <v>593</v>
      </c>
      <c r="P274" s="24" t="s">
        <v>594</v>
      </c>
      <c r="V274" s="7"/>
    </row>
    <row r="275" spans="2:22" ht="18" customHeight="1">
      <c r="B275" s="355" t="str">
        <f>HYPERLINK("#LAYOUT_m1!lay중YPSY4B03","YPSY4B03")</f>
        <v>YPSY4B03</v>
      </c>
      <c r="C275" s="355"/>
      <c r="E275" s="7"/>
      <c r="G275" s="366" t="s">
        <v>704</v>
      </c>
      <c r="H275" s="366"/>
      <c r="I275" s="366"/>
      <c r="J275" s="366"/>
      <c r="K275" s="366"/>
      <c r="L275" s="367"/>
      <c r="M275" s="22" t="s">
        <v>591</v>
      </c>
      <c r="N275" s="22" t="s">
        <v>592</v>
      </c>
      <c r="O275" s="22" t="s">
        <v>593</v>
      </c>
      <c r="P275" s="24" t="s">
        <v>594</v>
      </c>
      <c r="V275" s="7"/>
    </row>
    <row r="276" spans="2:22" ht="18" customHeight="1">
      <c r="B276" s="355" t="str">
        <f>HYPERLINK("#LAYOUT_m1!lay중YPSY4B04","YPSY4B04")</f>
        <v>YPSY4B04</v>
      </c>
      <c r="C276" s="355"/>
      <c r="E276" s="7"/>
      <c r="G276" s="366" t="s">
        <v>705</v>
      </c>
      <c r="H276" s="366"/>
      <c r="I276" s="366"/>
      <c r="J276" s="366"/>
      <c r="K276" s="366"/>
      <c r="L276" s="367"/>
      <c r="M276" s="22" t="s">
        <v>591</v>
      </c>
      <c r="N276" s="22" t="s">
        <v>592</v>
      </c>
      <c r="O276" s="22" t="s">
        <v>593</v>
      </c>
      <c r="P276" s="24" t="s">
        <v>594</v>
      </c>
      <c r="V276" s="7"/>
    </row>
    <row r="277" spans="2:22" ht="18" customHeight="1">
      <c r="B277" s="355" t="str">
        <f>HYPERLINK("#LAYOUT_m1!lay중YPSY4B05","YPSY4B05")</f>
        <v>YPSY4B05</v>
      </c>
      <c r="C277" s="355"/>
      <c r="E277" s="7"/>
      <c r="G277" s="366" t="s">
        <v>706</v>
      </c>
      <c r="H277" s="366"/>
      <c r="I277" s="366"/>
      <c r="J277" s="366"/>
      <c r="K277" s="366"/>
      <c r="L277" s="367"/>
      <c r="M277" s="22" t="s">
        <v>591</v>
      </c>
      <c r="N277" s="22" t="s">
        <v>592</v>
      </c>
      <c r="O277" s="22" t="s">
        <v>593</v>
      </c>
      <c r="P277" s="24" t="s">
        <v>594</v>
      </c>
      <c r="V277" s="7"/>
    </row>
    <row r="278" spans="2:22" ht="18" customHeight="1">
      <c r="B278" s="355" t="str">
        <f>HYPERLINK("#LAYOUT_m1!lay중YPSY4B06","YPSY4B06")</f>
        <v>YPSY4B06</v>
      </c>
      <c r="C278" s="355"/>
      <c r="E278" s="7"/>
      <c r="G278" s="366" t="s">
        <v>707</v>
      </c>
      <c r="H278" s="366"/>
      <c r="I278" s="366"/>
      <c r="J278" s="366"/>
      <c r="K278" s="366"/>
      <c r="L278" s="367"/>
      <c r="M278" s="22" t="s">
        <v>591</v>
      </c>
      <c r="N278" s="22" t="s">
        <v>592</v>
      </c>
      <c r="O278" s="22" t="s">
        <v>593</v>
      </c>
      <c r="P278" s="24" t="s">
        <v>594</v>
      </c>
      <c r="V278" s="7"/>
    </row>
    <row r="279" spans="2:22" ht="18" customHeight="1">
      <c r="B279" s="355" t="str">
        <f>HYPERLINK("#LAYOUT_m1!lay중YPSY4C01","YPSY4C01")</f>
        <v>YPSY4C01</v>
      </c>
      <c r="C279" s="355"/>
      <c r="E279" s="7"/>
      <c r="G279" s="366" t="s">
        <v>708</v>
      </c>
      <c r="H279" s="366"/>
      <c r="I279" s="366"/>
      <c r="J279" s="366"/>
      <c r="K279" s="366"/>
      <c r="L279" s="367"/>
      <c r="M279" s="22" t="s">
        <v>591</v>
      </c>
      <c r="N279" s="22" t="s">
        <v>592</v>
      </c>
      <c r="O279" s="22" t="s">
        <v>593</v>
      </c>
      <c r="P279" s="24" t="s">
        <v>594</v>
      </c>
      <c r="V279" s="7"/>
    </row>
    <row r="280" spans="2:22" ht="18" customHeight="1">
      <c r="B280" s="355" t="str">
        <f>HYPERLINK("#LAYOUT_m1!lay중YPSY4C02","YPSY4C02")</f>
        <v>YPSY4C02</v>
      </c>
      <c r="C280" s="355"/>
      <c r="E280" s="7"/>
      <c r="G280" s="366" t="s">
        <v>709</v>
      </c>
      <c r="H280" s="366"/>
      <c r="I280" s="366"/>
      <c r="J280" s="366"/>
      <c r="K280" s="366"/>
      <c r="L280" s="367"/>
      <c r="M280" s="22" t="s">
        <v>591</v>
      </c>
      <c r="N280" s="22" t="s">
        <v>592</v>
      </c>
      <c r="O280" s="22" t="s">
        <v>593</v>
      </c>
      <c r="P280" s="24" t="s">
        <v>594</v>
      </c>
      <c r="V280" s="7"/>
    </row>
    <row r="281" spans="2:22" ht="18" customHeight="1">
      <c r="B281" s="355" t="str">
        <f>HYPERLINK("#LAYOUT_m1!lay중YPSY4C03","YPSY4C03")</f>
        <v>YPSY4C03</v>
      </c>
      <c r="C281" s="355"/>
      <c r="E281" s="7"/>
      <c r="G281" s="366" t="s">
        <v>710</v>
      </c>
      <c r="H281" s="366"/>
      <c r="I281" s="366"/>
      <c r="J281" s="366"/>
      <c r="K281" s="366"/>
      <c r="L281" s="367"/>
      <c r="M281" s="22" t="s">
        <v>591</v>
      </c>
      <c r="N281" s="22" t="s">
        <v>592</v>
      </c>
      <c r="O281" s="22" t="s">
        <v>593</v>
      </c>
      <c r="P281" s="24" t="s">
        <v>594</v>
      </c>
      <c r="V281" s="7"/>
    </row>
    <row r="282" spans="2:22" ht="18" customHeight="1">
      <c r="B282" s="355" t="str">
        <f>HYPERLINK("#LAYOUT_m1!lay중YPSY4C04","YPSY4C04")</f>
        <v>YPSY4C04</v>
      </c>
      <c r="C282" s="355"/>
      <c r="E282" s="7"/>
      <c r="G282" s="366" t="s">
        <v>711</v>
      </c>
      <c r="H282" s="366"/>
      <c r="I282" s="366"/>
      <c r="J282" s="366"/>
      <c r="K282" s="366"/>
      <c r="L282" s="367"/>
      <c r="M282" s="22" t="s">
        <v>591</v>
      </c>
      <c r="N282" s="22" t="s">
        <v>592</v>
      </c>
      <c r="O282" s="22" t="s">
        <v>593</v>
      </c>
      <c r="P282" s="24" t="s">
        <v>594</v>
      </c>
      <c r="V282" s="7"/>
    </row>
    <row r="283" spans="2:22" ht="18" customHeight="1">
      <c r="B283" s="355" t="str">
        <f>HYPERLINK("#LAYOUT_m1!lay중YPSY4C05","YPSY4C05")</f>
        <v>YPSY4C05</v>
      </c>
      <c r="C283" s="355"/>
      <c r="E283" s="7"/>
      <c r="G283" s="366" t="s">
        <v>712</v>
      </c>
      <c r="H283" s="366"/>
      <c r="I283" s="366"/>
      <c r="J283" s="366"/>
      <c r="K283" s="366"/>
      <c r="L283" s="367"/>
      <c r="M283" s="22" t="s">
        <v>591</v>
      </c>
      <c r="N283" s="22" t="s">
        <v>592</v>
      </c>
      <c r="O283" s="22" t="s">
        <v>593</v>
      </c>
      <c r="P283" s="24" t="s">
        <v>594</v>
      </c>
      <c r="V283" s="7"/>
    </row>
    <row r="284" spans="2:22" ht="18" customHeight="1">
      <c r="B284" s="355" t="str">
        <f>HYPERLINK("#LAYOUT_m1!lay중YPSY4C06","YPSY4C06")</f>
        <v>YPSY4C06</v>
      </c>
      <c r="C284" s="355"/>
      <c r="E284" s="7"/>
      <c r="G284" s="366" t="s">
        <v>713</v>
      </c>
      <c r="H284" s="366"/>
      <c r="I284" s="366"/>
      <c r="J284" s="366"/>
      <c r="K284" s="366"/>
      <c r="L284" s="367"/>
      <c r="M284" s="22" t="s">
        <v>591</v>
      </c>
      <c r="N284" s="22" t="s">
        <v>592</v>
      </c>
      <c r="O284" s="22" t="s">
        <v>593</v>
      </c>
      <c r="P284" s="24" t="s">
        <v>594</v>
      </c>
      <c r="V284" s="7"/>
    </row>
    <row r="285" spans="2:22" ht="18" customHeight="1">
      <c r="B285" s="355" t="str">
        <f>HYPERLINK("#LAYOUT_m1!lay중YPSY4C07","YPSY4C07")</f>
        <v>YPSY4C07</v>
      </c>
      <c r="C285" s="355"/>
      <c r="E285" s="7"/>
      <c r="G285" s="366" t="s">
        <v>714</v>
      </c>
      <c r="H285" s="366"/>
      <c r="I285" s="366"/>
      <c r="J285" s="366"/>
      <c r="K285" s="366"/>
      <c r="L285" s="367"/>
      <c r="M285" s="22" t="s">
        <v>591</v>
      </c>
      <c r="N285" s="22" t="s">
        <v>592</v>
      </c>
      <c r="O285" s="22" t="s">
        <v>593</v>
      </c>
      <c r="P285" s="24" t="s">
        <v>594</v>
      </c>
      <c r="V285" s="7"/>
    </row>
    <row r="286" spans="2:22" ht="18" customHeight="1">
      <c r="B286" s="355" t="str">
        <f>HYPERLINK("#LAYOUT_m1!lay중YPSY4C08","YPSY4C08")</f>
        <v>YPSY4C08</v>
      </c>
      <c r="C286" s="355"/>
      <c r="E286" s="7"/>
      <c r="G286" s="366" t="s">
        <v>715</v>
      </c>
      <c r="H286" s="366"/>
      <c r="I286" s="366"/>
      <c r="J286" s="366"/>
      <c r="K286" s="366"/>
      <c r="L286" s="367"/>
      <c r="M286" s="22" t="s">
        <v>591</v>
      </c>
      <c r="N286" s="22" t="s">
        <v>592</v>
      </c>
      <c r="O286" s="22" t="s">
        <v>593</v>
      </c>
      <c r="P286" s="24" t="s">
        <v>594</v>
      </c>
      <c r="V286" s="7"/>
    </row>
    <row r="287" spans="2:22" ht="18" customHeight="1">
      <c r="B287" s="355" t="str">
        <f>HYPERLINK("#LAYOUT_m1!lay중YPSY4D01","YPSY4D01")</f>
        <v>YPSY4D01</v>
      </c>
      <c r="C287" s="355"/>
      <c r="E287" s="7"/>
      <c r="G287" s="366" t="s">
        <v>716</v>
      </c>
      <c r="H287" s="366"/>
      <c r="I287" s="366"/>
      <c r="J287" s="366"/>
      <c r="K287" s="366"/>
      <c r="L287" s="367"/>
      <c r="M287" s="22" t="s">
        <v>591</v>
      </c>
      <c r="N287" s="22" t="s">
        <v>592</v>
      </c>
      <c r="O287" s="22" t="s">
        <v>593</v>
      </c>
      <c r="P287" s="24" t="s">
        <v>594</v>
      </c>
      <c r="V287" s="7"/>
    </row>
    <row r="288" spans="2:22" ht="18" customHeight="1">
      <c r="B288" s="355" t="str">
        <f>HYPERLINK("#LAYOUT_m1!lay중YPSY4D02","YPSY4D02")</f>
        <v>YPSY4D02</v>
      </c>
      <c r="C288" s="355"/>
      <c r="E288" s="7"/>
      <c r="G288" s="366" t="s">
        <v>717</v>
      </c>
      <c r="H288" s="366"/>
      <c r="I288" s="366"/>
      <c r="J288" s="366"/>
      <c r="K288" s="366"/>
      <c r="L288" s="367"/>
      <c r="M288" s="22" t="s">
        <v>591</v>
      </c>
      <c r="N288" s="22" t="s">
        <v>592</v>
      </c>
      <c r="O288" s="22" t="s">
        <v>593</v>
      </c>
      <c r="P288" s="24" t="s">
        <v>594</v>
      </c>
      <c r="V288" s="7"/>
    </row>
    <row r="289" spans="2:22" ht="18" customHeight="1">
      <c r="B289" s="355" t="str">
        <f>HYPERLINK("#LAYOUT_m1!lay중YPSY4D03","YPSY4D03")</f>
        <v>YPSY4D03</v>
      </c>
      <c r="C289" s="355"/>
      <c r="E289" s="7"/>
      <c r="G289" s="366" t="s">
        <v>718</v>
      </c>
      <c r="H289" s="366"/>
      <c r="I289" s="366"/>
      <c r="J289" s="366"/>
      <c r="K289" s="366"/>
      <c r="L289" s="367"/>
      <c r="M289" s="22" t="s">
        <v>591</v>
      </c>
      <c r="N289" s="22" t="s">
        <v>592</v>
      </c>
      <c r="O289" s="22" t="s">
        <v>593</v>
      </c>
      <c r="P289" s="24" t="s">
        <v>594</v>
      </c>
      <c r="V289" s="7"/>
    </row>
    <row r="290" spans="2:22" ht="18" customHeight="1">
      <c r="B290" s="355" t="str">
        <f>HYPERLINK("#LAYOUT_m1!lay중YPSY4D04","YPSY4D04")</f>
        <v>YPSY4D04</v>
      </c>
      <c r="C290" s="355"/>
      <c r="E290" s="7"/>
      <c r="G290" s="366" t="s">
        <v>719</v>
      </c>
      <c r="H290" s="366"/>
      <c r="I290" s="366"/>
      <c r="J290" s="366"/>
      <c r="K290" s="366"/>
      <c r="L290" s="367"/>
      <c r="M290" s="22" t="s">
        <v>591</v>
      </c>
      <c r="N290" s="22" t="s">
        <v>592</v>
      </c>
      <c r="O290" s="22" t="s">
        <v>593</v>
      </c>
      <c r="P290" s="24" t="s">
        <v>594</v>
      </c>
      <c r="V290" s="7"/>
    </row>
    <row r="291" spans="2:22" ht="18" customHeight="1">
      <c r="B291" s="355" t="str">
        <f>HYPERLINK("#LAYOUT_m1!lay중YPSY4D05","YPSY4D05")</f>
        <v>YPSY4D05</v>
      </c>
      <c r="C291" s="355"/>
      <c r="E291" s="7"/>
      <c r="G291" s="366" t="s">
        <v>720</v>
      </c>
      <c r="H291" s="366"/>
      <c r="I291" s="366"/>
      <c r="J291" s="366"/>
      <c r="K291" s="366"/>
      <c r="L291" s="367"/>
      <c r="M291" s="22" t="s">
        <v>591</v>
      </c>
      <c r="N291" s="22" t="s">
        <v>592</v>
      </c>
      <c r="O291" s="22" t="s">
        <v>593</v>
      </c>
      <c r="P291" s="24" t="s">
        <v>594</v>
      </c>
      <c r="V291" s="7"/>
    </row>
    <row r="292" spans="2:22" ht="18" customHeight="1">
      <c r="B292" s="355" t="str">
        <f>HYPERLINK("#LAYOUT_m1!lay중YPSY4E01","YPSY4E01")</f>
        <v>YPSY4E01</v>
      </c>
      <c r="C292" s="355"/>
      <c r="E292" s="7"/>
      <c r="G292" s="366" t="s">
        <v>721</v>
      </c>
      <c r="H292" s="366"/>
      <c r="I292" s="366"/>
      <c r="J292" s="366"/>
      <c r="K292" s="366"/>
      <c r="L292" s="367"/>
      <c r="M292" s="22" t="s">
        <v>591</v>
      </c>
      <c r="N292" s="22" t="s">
        <v>592</v>
      </c>
      <c r="O292" s="22" t="s">
        <v>593</v>
      </c>
      <c r="P292" s="24" t="s">
        <v>594</v>
      </c>
      <c r="V292" s="7"/>
    </row>
    <row r="293" spans="2:22" ht="18" customHeight="1">
      <c r="B293" s="355" t="str">
        <f>HYPERLINK("#LAYOUT_m1!lay중YPSY4E02","YPSY4E02")</f>
        <v>YPSY4E02</v>
      </c>
      <c r="C293" s="355"/>
      <c r="E293" s="7"/>
      <c r="G293" s="366" t="s">
        <v>722</v>
      </c>
      <c r="H293" s="366"/>
      <c r="I293" s="366"/>
      <c r="J293" s="366"/>
      <c r="K293" s="366"/>
      <c r="L293" s="367"/>
      <c r="M293" s="22" t="s">
        <v>591</v>
      </c>
      <c r="N293" s="22" t="s">
        <v>592</v>
      </c>
      <c r="O293" s="22" t="s">
        <v>593</v>
      </c>
      <c r="P293" s="24" t="s">
        <v>594</v>
      </c>
      <c r="V293" s="7"/>
    </row>
    <row r="294" spans="2:22" ht="18" customHeight="1">
      <c r="B294" s="355" t="str">
        <f>HYPERLINK("#LAYOUT_m1!lay중YPSY4E03","YPSY4E03")</f>
        <v>YPSY4E03</v>
      </c>
      <c r="C294" s="355"/>
      <c r="E294" s="7"/>
      <c r="G294" s="366" t="s">
        <v>723</v>
      </c>
      <c r="H294" s="366"/>
      <c r="I294" s="366"/>
      <c r="J294" s="366"/>
      <c r="K294" s="366"/>
      <c r="L294" s="367"/>
      <c r="M294" s="22" t="s">
        <v>591</v>
      </c>
      <c r="N294" s="22" t="s">
        <v>592</v>
      </c>
      <c r="O294" s="22" t="s">
        <v>593</v>
      </c>
      <c r="P294" s="24" t="s">
        <v>594</v>
      </c>
      <c r="V294" s="7"/>
    </row>
    <row r="295" spans="2:22" ht="18" customHeight="1">
      <c r="B295" s="355" t="str">
        <f>HYPERLINK("#LAYOUT_m1!lay중YPSY4E04","YPSY4E04")</f>
        <v>YPSY4E04</v>
      </c>
      <c r="C295" s="355"/>
      <c r="E295" s="7"/>
      <c r="G295" s="366" t="s">
        <v>724</v>
      </c>
      <c r="H295" s="366"/>
      <c r="I295" s="366"/>
      <c r="J295" s="366"/>
      <c r="K295" s="366"/>
      <c r="L295" s="367"/>
      <c r="M295" s="22" t="s">
        <v>591</v>
      </c>
      <c r="N295" s="22" t="s">
        <v>592</v>
      </c>
      <c r="O295" s="22" t="s">
        <v>593</v>
      </c>
      <c r="P295" s="24" t="s">
        <v>594</v>
      </c>
      <c r="V295" s="7"/>
    </row>
    <row r="296" spans="2:22" ht="18" customHeight="1">
      <c r="B296" s="355" t="str">
        <f>HYPERLINK("#LAYOUT_m1!lay중YPSY4E05","YPSY4E05")</f>
        <v>YPSY4E05</v>
      </c>
      <c r="C296" s="355"/>
      <c r="E296" s="7"/>
      <c r="G296" s="366" t="s">
        <v>725</v>
      </c>
      <c r="H296" s="366"/>
      <c r="I296" s="366"/>
      <c r="J296" s="366"/>
      <c r="K296" s="366"/>
      <c r="L296" s="367"/>
      <c r="M296" s="22" t="s">
        <v>591</v>
      </c>
      <c r="N296" s="22" t="s">
        <v>592</v>
      </c>
      <c r="O296" s="22" t="s">
        <v>593</v>
      </c>
      <c r="P296" s="24" t="s">
        <v>594</v>
      </c>
      <c r="V296" s="7"/>
    </row>
    <row r="297" spans="2:22" ht="18" customHeight="1">
      <c r="B297" s="355" t="str">
        <f>HYPERLINK("#LAYOUT_m1!lay중YPSY4E06","YPSY4E06")</f>
        <v>YPSY4E06</v>
      </c>
      <c r="C297" s="355"/>
      <c r="E297" s="7"/>
      <c r="G297" s="366" t="s">
        <v>726</v>
      </c>
      <c r="H297" s="366"/>
      <c r="I297" s="366"/>
      <c r="J297" s="366"/>
      <c r="K297" s="366"/>
      <c r="L297" s="367"/>
      <c r="M297" s="22" t="s">
        <v>591</v>
      </c>
      <c r="N297" s="22" t="s">
        <v>592</v>
      </c>
      <c r="O297" s="22" t="s">
        <v>593</v>
      </c>
      <c r="P297" s="24" t="s">
        <v>594</v>
      </c>
      <c r="V297" s="7"/>
    </row>
    <row r="298" spans="2:22" ht="18" customHeight="1">
      <c r="B298" s="355" t="str">
        <f>HYPERLINK("#LAYOUT_m1!lay중YPSY4E07","YPSY4E07")</f>
        <v>YPSY4E07</v>
      </c>
      <c r="C298" s="355"/>
      <c r="E298" s="7"/>
      <c r="G298" s="366" t="s">
        <v>727</v>
      </c>
      <c r="H298" s="366"/>
      <c r="I298" s="366"/>
      <c r="J298" s="366"/>
      <c r="K298" s="366"/>
      <c r="L298" s="367"/>
      <c r="M298" s="22" t="s">
        <v>591</v>
      </c>
      <c r="N298" s="22" t="s">
        <v>592</v>
      </c>
      <c r="O298" s="22" t="s">
        <v>593</v>
      </c>
      <c r="P298" s="24" t="s">
        <v>594</v>
      </c>
      <c r="V298" s="7"/>
    </row>
    <row r="299" spans="2:22" ht="18" customHeight="1">
      <c r="B299" s="355" t="str">
        <f>HYPERLINK("#LAYOUT_m1!lay중YPSY4E08","YPSY4E08")</f>
        <v>YPSY4E08</v>
      </c>
      <c r="C299" s="355"/>
      <c r="E299" s="7"/>
      <c r="G299" s="366" t="s">
        <v>728</v>
      </c>
      <c r="H299" s="366"/>
      <c r="I299" s="366"/>
      <c r="J299" s="366"/>
      <c r="K299" s="366"/>
      <c r="L299" s="367"/>
      <c r="M299" s="22" t="s">
        <v>591</v>
      </c>
      <c r="N299" s="22" t="s">
        <v>592</v>
      </c>
      <c r="O299" s="22" t="s">
        <v>593</v>
      </c>
      <c r="P299" s="24" t="s">
        <v>594</v>
      </c>
      <c r="V299" s="7"/>
    </row>
    <row r="300" spans="2:22" ht="18" customHeight="1">
      <c r="B300" s="355" t="str">
        <f>HYPERLINK("#LAYOUT_m1!lay중YPSY4E09","YPSY4E09")</f>
        <v>YPSY4E09</v>
      </c>
      <c r="C300" s="355"/>
      <c r="E300" s="7"/>
      <c r="G300" s="366" t="s">
        <v>729</v>
      </c>
      <c r="H300" s="366"/>
      <c r="I300" s="366"/>
      <c r="J300" s="366"/>
      <c r="K300" s="366"/>
      <c r="L300" s="367"/>
      <c r="M300" s="22" t="s">
        <v>591</v>
      </c>
      <c r="N300" s="22" t="s">
        <v>592</v>
      </c>
      <c r="O300" s="22" t="s">
        <v>593</v>
      </c>
      <c r="P300" s="24" t="s">
        <v>594</v>
      </c>
      <c r="V300" s="7"/>
    </row>
    <row r="301" spans="2:22" ht="18" customHeight="1">
      <c r="B301" s="355" t="str">
        <f>HYPERLINK("#LAYOUT_m1!lay중YPSY4E10","YPSY4E10")</f>
        <v>YPSY4E10</v>
      </c>
      <c r="C301" s="355"/>
      <c r="E301" s="7"/>
      <c r="G301" s="366" t="s">
        <v>730</v>
      </c>
      <c r="H301" s="366"/>
      <c r="I301" s="366"/>
      <c r="J301" s="366"/>
      <c r="K301" s="366"/>
      <c r="L301" s="367"/>
      <c r="M301" s="22" t="s">
        <v>591</v>
      </c>
      <c r="N301" s="22" t="s">
        <v>592</v>
      </c>
      <c r="O301" s="22" t="s">
        <v>593</v>
      </c>
      <c r="P301" s="24" t="s">
        <v>594</v>
      </c>
      <c r="V301" s="7"/>
    </row>
    <row r="302" spans="2:22" ht="18" customHeight="1">
      <c r="B302" s="195"/>
      <c r="C302" s="195"/>
      <c r="E302" s="7"/>
      <c r="V302" s="7"/>
    </row>
    <row r="303" spans="2:22" ht="18" customHeight="1">
      <c r="B303" s="195"/>
      <c r="C303" s="195"/>
      <c r="E303" s="7"/>
      <c r="V303" s="7"/>
    </row>
    <row r="304" spans="2:22" ht="18" customHeight="1" thickBot="1">
      <c r="B304" s="195"/>
      <c r="C304" s="195"/>
      <c r="E304" s="7"/>
      <c r="F304" s="6" t="s">
        <v>897</v>
      </c>
      <c r="V304" s="7"/>
    </row>
    <row r="305" spans="2:22" ht="31.5" thickTop="1" thickBot="1">
      <c r="B305" s="195"/>
      <c r="C305" s="195"/>
      <c r="E305" s="7"/>
      <c r="G305" s="397" t="s">
        <v>643</v>
      </c>
      <c r="H305" s="397"/>
      <c r="I305" s="397"/>
      <c r="J305" s="397"/>
      <c r="K305" s="397"/>
      <c r="L305" s="398"/>
      <c r="M305" s="9" t="s">
        <v>622</v>
      </c>
      <c r="N305" s="9" t="s">
        <v>623</v>
      </c>
      <c r="O305" s="9" t="s">
        <v>107</v>
      </c>
      <c r="P305" s="10" t="s">
        <v>108</v>
      </c>
      <c r="V305" s="7"/>
    </row>
    <row r="306" spans="2:22" ht="18" customHeight="1" thickTop="1">
      <c r="B306" s="355" t="str">
        <f>HYPERLINK("#LAYOUT_m1!lay중YPSY5A01","YPSY5A01")</f>
        <v>YPSY5A01</v>
      </c>
      <c r="C306" s="355"/>
      <c r="E306" s="7"/>
      <c r="G306" s="366" t="s">
        <v>732</v>
      </c>
      <c r="H306" s="366"/>
      <c r="I306" s="366"/>
      <c r="J306" s="366"/>
      <c r="K306" s="366"/>
      <c r="L306" s="367"/>
      <c r="M306" s="20" t="s">
        <v>591</v>
      </c>
      <c r="N306" s="20" t="s">
        <v>592</v>
      </c>
      <c r="O306" s="20" t="s">
        <v>593</v>
      </c>
      <c r="P306" s="25" t="s">
        <v>594</v>
      </c>
      <c r="V306" s="7"/>
    </row>
    <row r="307" spans="2:22" ht="18" customHeight="1">
      <c r="B307" s="355" t="str">
        <f>HYPERLINK("#LAYOUT_m1!lay중YPSY5A02","YPSY5A02")</f>
        <v>YPSY5A02</v>
      </c>
      <c r="C307" s="355"/>
      <c r="E307" s="7"/>
      <c r="G307" s="366" t="s">
        <v>733</v>
      </c>
      <c r="H307" s="366"/>
      <c r="I307" s="366"/>
      <c r="J307" s="366"/>
      <c r="K307" s="366"/>
      <c r="L307" s="367"/>
      <c r="M307" s="22" t="s">
        <v>591</v>
      </c>
      <c r="N307" s="22" t="s">
        <v>592</v>
      </c>
      <c r="O307" s="22" t="s">
        <v>593</v>
      </c>
      <c r="P307" s="24" t="s">
        <v>594</v>
      </c>
      <c r="V307" s="7"/>
    </row>
    <row r="308" spans="2:22" ht="18" customHeight="1">
      <c r="B308" s="355" t="str">
        <f>HYPERLINK("#LAYOUT_m1!lay중YPSY5A03","YPSY5A03")</f>
        <v>YPSY5A03</v>
      </c>
      <c r="C308" s="355"/>
      <c r="E308" s="7"/>
      <c r="G308" s="366" t="s">
        <v>734</v>
      </c>
      <c r="H308" s="366"/>
      <c r="I308" s="366"/>
      <c r="J308" s="366"/>
      <c r="K308" s="366"/>
      <c r="L308" s="367"/>
      <c r="M308" s="22" t="s">
        <v>591</v>
      </c>
      <c r="N308" s="22" t="s">
        <v>592</v>
      </c>
      <c r="O308" s="22" t="s">
        <v>593</v>
      </c>
      <c r="P308" s="24" t="s">
        <v>594</v>
      </c>
      <c r="V308" s="7"/>
    </row>
    <row r="309" spans="2:22" ht="18" customHeight="1">
      <c r="B309" s="355" t="str">
        <f>HYPERLINK("#LAYOUT_m1!lay중YPSY5A04","YPSY5A04")</f>
        <v>YPSY5A04</v>
      </c>
      <c r="C309" s="355"/>
      <c r="E309" s="7"/>
      <c r="G309" s="366" t="s">
        <v>735</v>
      </c>
      <c r="H309" s="366"/>
      <c r="I309" s="366"/>
      <c r="J309" s="366"/>
      <c r="K309" s="366"/>
      <c r="L309" s="367"/>
      <c r="M309" s="22" t="s">
        <v>591</v>
      </c>
      <c r="N309" s="22" t="s">
        <v>592</v>
      </c>
      <c r="O309" s="22" t="s">
        <v>593</v>
      </c>
      <c r="P309" s="24" t="s">
        <v>594</v>
      </c>
      <c r="V309" s="7"/>
    </row>
    <row r="310" spans="2:22" ht="18" customHeight="1">
      <c r="B310" s="355" t="str">
        <f>HYPERLINK("#LAYOUT_m1!lay중YPSY5A05","YPSY5A05")</f>
        <v>YPSY5A05</v>
      </c>
      <c r="C310" s="355"/>
      <c r="E310" s="7"/>
      <c r="G310" s="366" t="s">
        <v>736</v>
      </c>
      <c r="H310" s="366"/>
      <c r="I310" s="366"/>
      <c r="J310" s="366"/>
      <c r="K310" s="366"/>
      <c r="L310" s="367"/>
      <c r="M310" s="22" t="s">
        <v>591</v>
      </c>
      <c r="N310" s="22" t="s">
        <v>592</v>
      </c>
      <c r="O310" s="22" t="s">
        <v>593</v>
      </c>
      <c r="P310" s="24" t="s">
        <v>594</v>
      </c>
      <c r="V310" s="7"/>
    </row>
    <row r="311" spans="2:22" ht="18" customHeight="1">
      <c r="B311" s="355" t="str">
        <f>HYPERLINK("#LAYOUT_m1!lay중YPSY5A06","YPSY5A06")</f>
        <v>YPSY5A06</v>
      </c>
      <c r="C311" s="355"/>
      <c r="E311" s="7"/>
      <c r="G311" s="366" t="s">
        <v>737</v>
      </c>
      <c r="H311" s="366"/>
      <c r="I311" s="366"/>
      <c r="J311" s="366"/>
      <c r="K311" s="366"/>
      <c r="L311" s="367"/>
      <c r="M311" s="22" t="s">
        <v>591</v>
      </c>
      <c r="N311" s="22" t="s">
        <v>592</v>
      </c>
      <c r="O311" s="22" t="s">
        <v>593</v>
      </c>
      <c r="P311" s="24" t="s">
        <v>594</v>
      </c>
      <c r="V311" s="7"/>
    </row>
    <row r="312" spans="2:22" ht="18" customHeight="1">
      <c r="B312" s="355" t="str">
        <f>HYPERLINK("#LAYOUT_m1!lay중YPSY5A07","YPSY5A07")</f>
        <v>YPSY5A07</v>
      </c>
      <c r="C312" s="355"/>
      <c r="E312" s="7"/>
      <c r="G312" s="366" t="s">
        <v>738</v>
      </c>
      <c r="H312" s="366"/>
      <c r="I312" s="366"/>
      <c r="J312" s="366"/>
      <c r="K312" s="366"/>
      <c r="L312" s="367"/>
      <c r="M312" s="22" t="s">
        <v>591</v>
      </c>
      <c r="N312" s="22" t="s">
        <v>592</v>
      </c>
      <c r="O312" s="22" t="s">
        <v>593</v>
      </c>
      <c r="P312" s="24" t="s">
        <v>594</v>
      </c>
      <c r="V312" s="7"/>
    </row>
    <row r="313" spans="2:22" ht="18" customHeight="1">
      <c r="B313" s="355" t="str">
        <f>HYPERLINK("#LAYOUT_m1!lay중YPSY5A08","YPSY5A08")</f>
        <v>YPSY5A08</v>
      </c>
      <c r="C313" s="355"/>
      <c r="E313" s="7"/>
      <c r="G313" s="366" t="s">
        <v>739</v>
      </c>
      <c r="H313" s="366"/>
      <c r="I313" s="366"/>
      <c r="J313" s="366"/>
      <c r="K313" s="366"/>
      <c r="L313" s="367"/>
      <c r="M313" s="22" t="s">
        <v>591</v>
      </c>
      <c r="N313" s="22" t="s">
        <v>592</v>
      </c>
      <c r="O313" s="22" t="s">
        <v>593</v>
      </c>
      <c r="P313" s="24" t="s">
        <v>594</v>
      </c>
      <c r="V313" s="7"/>
    </row>
    <row r="314" spans="2:22" ht="18" customHeight="1">
      <c r="B314" s="355" t="str">
        <f>HYPERLINK("#LAYOUT_m1!lay중YPSY5A09","YPSY5A09")</f>
        <v>YPSY5A09</v>
      </c>
      <c r="C314" s="355"/>
      <c r="E314" s="7"/>
      <c r="G314" s="366" t="s">
        <v>740</v>
      </c>
      <c r="H314" s="366"/>
      <c r="I314" s="366"/>
      <c r="J314" s="366"/>
      <c r="K314" s="366"/>
      <c r="L314" s="367"/>
      <c r="M314" s="22" t="s">
        <v>591</v>
      </c>
      <c r="N314" s="22" t="s">
        <v>592</v>
      </c>
      <c r="O314" s="22" t="s">
        <v>593</v>
      </c>
      <c r="P314" s="24" t="s">
        <v>594</v>
      </c>
      <c r="V314" s="7"/>
    </row>
    <row r="315" spans="2:22" ht="18" customHeight="1">
      <c r="B315" s="355" t="str">
        <f>HYPERLINK("#LAYOUT_m1!lay중YPSY5A10","YPSY5A10")</f>
        <v>YPSY5A10</v>
      </c>
      <c r="C315" s="355"/>
      <c r="E315" s="7"/>
      <c r="G315" s="366" t="s">
        <v>741</v>
      </c>
      <c r="H315" s="366"/>
      <c r="I315" s="366"/>
      <c r="J315" s="366"/>
      <c r="K315" s="366"/>
      <c r="L315" s="367"/>
      <c r="M315" s="22" t="s">
        <v>591</v>
      </c>
      <c r="N315" s="22" t="s">
        <v>592</v>
      </c>
      <c r="O315" s="22" t="s">
        <v>593</v>
      </c>
      <c r="P315" s="24" t="s">
        <v>594</v>
      </c>
      <c r="V315" s="7"/>
    </row>
    <row r="316" spans="2:22" ht="18" customHeight="1">
      <c r="B316" s="355" t="str">
        <f>HYPERLINK("#LAYOUT_m1!lay중YPSY5A11","YPSY5A11")</f>
        <v>YPSY5A11</v>
      </c>
      <c r="C316" s="355"/>
      <c r="E316" s="7"/>
      <c r="G316" s="366" t="s">
        <v>742</v>
      </c>
      <c r="H316" s="366"/>
      <c r="I316" s="366"/>
      <c r="J316" s="366"/>
      <c r="K316" s="366"/>
      <c r="L316" s="367"/>
      <c r="M316" s="22" t="s">
        <v>591</v>
      </c>
      <c r="N316" s="22" t="s">
        <v>592</v>
      </c>
      <c r="O316" s="22" t="s">
        <v>593</v>
      </c>
      <c r="P316" s="24" t="s">
        <v>594</v>
      </c>
      <c r="V316" s="7"/>
    </row>
    <row r="317" spans="2:22" ht="18" customHeight="1">
      <c r="B317" s="355" t="str">
        <f>HYPERLINK("#LAYOUT_m1!lay중YPSY5A12","YPSY5A12")</f>
        <v>YPSY5A12</v>
      </c>
      <c r="C317" s="355"/>
      <c r="E317" s="7"/>
      <c r="G317" s="366" t="s">
        <v>743</v>
      </c>
      <c r="H317" s="366"/>
      <c r="I317" s="366"/>
      <c r="J317" s="366"/>
      <c r="K317" s="366"/>
      <c r="L317" s="367"/>
      <c r="M317" s="22" t="s">
        <v>591</v>
      </c>
      <c r="N317" s="22" t="s">
        <v>592</v>
      </c>
      <c r="O317" s="22" t="s">
        <v>593</v>
      </c>
      <c r="P317" s="24" t="s">
        <v>594</v>
      </c>
      <c r="V317" s="7"/>
    </row>
    <row r="318" spans="2:22" ht="18" customHeight="1">
      <c r="B318" s="355" t="str">
        <f>HYPERLINK("#LAYOUT_m1!lay중YPSY5A13","YPSY5A13")</f>
        <v>YPSY5A13</v>
      </c>
      <c r="C318" s="355"/>
      <c r="E318" s="7"/>
      <c r="G318" s="366" t="s">
        <v>744</v>
      </c>
      <c r="H318" s="366"/>
      <c r="I318" s="366"/>
      <c r="J318" s="366"/>
      <c r="K318" s="366"/>
      <c r="L318" s="367"/>
      <c r="M318" s="22" t="s">
        <v>591</v>
      </c>
      <c r="N318" s="22" t="s">
        <v>592</v>
      </c>
      <c r="O318" s="22" t="s">
        <v>593</v>
      </c>
      <c r="P318" s="24" t="s">
        <v>594</v>
      </c>
      <c r="V318" s="7"/>
    </row>
    <row r="319" spans="2:22" ht="18" customHeight="1">
      <c r="B319" s="355" t="str">
        <f>HYPERLINK("#LAYOUT_m1!lay중YPSY5A14","YPSY5A14")</f>
        <v>YPSY5A14</v>
      </c>
      <c r="C319" s="355"/>
      <c r="E319" s="7"/>
      <c r="G319" s="366" t="s">
        <v>745</v>
      </c>
      <c r="H319" s="366"/>
      <c r="I319" s="366"/>
      <c r="J319" s="366"/>
      <c r="K319" s="366"/>
      <c r="L319" s="367"/>
      <c r="M319" s="22" t="s">
        <v>591</v>
      </c>
      <c r="N319" s="22" t="s">
        <v>592</v>
      </c>
      <c r="O319" s="22" t="s">
        <v>593</v>
      </c>
      <c r="P319" s="24" t="s">
        <v>594</v>
      </c>
      <c r="V319" s="7"/>
    </row>
    <row r="320" spans="2:22" ht="18" customHeight="1">
      <c r="B320" s="195"/>
      <c r="C320" s="195"/>
      <c r="E320" s="7"/>
      <c r="G320" s="28"/>
      <c r="H320" s="28"/>
      <c r="I320" s="28"/>
      <c r="J320" s="28"/>
      <c r="K320" s="28"/>
      <c r="L320" s="28"/>
      <c r="M320" s="11"/>
      <c r="N320" s="11"/>
      <c r="O320" s="11"/>
      <c r="P320" s="11"/>
      <c r="V320" s="7"/>
    </row>
    <row r="321" spans="2:22" ht="18" customHeight="1">
      <c r="B321" s="195"/>
      <c r="C321" s="195"/>
      <c r="E321" s="7"/>
      <c r="G321" s="28"/>
      <c r="H321" s="28"/>
      <c r="I321" s="28"/>
      <c r="J321" s="28"/>
      <c r="K321" s="28"/>
      <c r="L321" s="28"/>
      <c r="M321" s="11"/>
      <c r="N321" s="11"/>
      <c r="O321" s="11"/>
      <c r="P321" s="11"/>
      <c r="V321" s="7"/>
    </row>
    <row r="322" spans="2:22" ht="18" customHeight="1" thickBot="1">
      <c r="B322" s="195"/>
      <c r="C322" s="195"/>
      <c r="E322" s="7"/>
      <c r="F322" s="6" t="s">
        <v>898</v>
      </c>
      <c r="G322" s="28"/>
      <c r="H322" s="28"/>
      <c r="I322" s="28"/>
      <c r="J322" s="28"/>
      <c r="K322" s="28"/>
      <c r="L322" s="28"/>
      <c r="M322" s="11"/>
      <c r="N322" s="11"/>
      <c r="O322" s="11"/>
      <c r="P322" s="11"/>
      <c r="V322" s="7"/>
    </row>
    <row r="323" spans="2:22" ht="18" customHeight="1" thickTop="1" thickBot="1">
      <c r="B323" s="195"/>
      <c r="C323" s="195"/>
      <c r="E323" s="7"/>
      <c r="G323" s="368" t="s">
        <v>899</v>
      </c>
      <c r="H323" s="368"/>
      <c r="I323" s="409"/>
      <c r="J323" s="52" t="s">
        <v>900</v>
      </c>
      <c r="K323" s="418" t="s">
        <v>899</v>
      </c>
      <c r="L323" s="368"/>
      <c r="M323" s="409"/>
      <c r="N323" s="53" t="s">
        <v>900</v>
      </c>
      <c r="V323" s="7"/>
    </row>
    <row r="324" spans="2:22" ht="18" customHeight="1" thickTop="1">
      <c r="B324" s="195" t="str">
        <f>HYPERLINK("#LAYOUT_m1!lay중YPSY6A01","YPSY6A01")</f>
        <v>YPSY6A01</v>
      </c>
      <c r="C324" s="195" t="str">
        <f>HYPERLINK("#LAYOUT_m1!lay중YPSY6A02","YPSY6A02")</f>
        <v>YPSY6A02</v>
      </c>
      <c r="E324" s="7"/>
      <c r="G324" s="420" t="s">
        <v>384</v>
      </c>
      <c r="H324" s="420"/>
      <c r="I324" s="421"/>
      <c r="J324" s="54"/>
      <c r="K324" s="419" t="s">
        <v>387</v>
      </c>
      <c r="L324" s="420"/>
      <c r="M324" s="421"/>
      <c r="N324" s="55"/>
      <c r="V324" s="7"/>
    </row>
    <row r="325" spans="2:22" ht="18" customHeight="1">
      <c r="B325" s="195" t="str">
        <f>HYPERLINK("#LAYOUT_m1!lay중YPSY6A03","YPSY6A03")</f>
        <v>YPSY6A03</v>
      </c>
      <c r="C325" s="195" t="str">
        <f>HYPERLINK("#LAYOUT_m1!lay중YPSY6A04","YPSY6A04")</f>
        <v>YPSY6A04</v>
      </c>
      <c r="E325" s="7"/>
      <c r="G325" s="411" t="s">
        <v>388</v>
      </c>
      <c r="H325" s="411"/>
      <c r="I325" s="412"/>
      <c r="J325" s="56"/>
      <c r="K325" s="410" t="s">
        <v>389</v>
      </c>
      <c r="L325" s="411"/>
      <c r="M325" s="412"/>
      <c r="N325" s="57"/>
      <c r="V325" s="7"/>
    </row>
    <row r="326" spans="2:22" ht="18" customHeight="1">
      <c r="B326" s="195" t="str">
        <f>HYPERLINK("#LAYOUT_m1!lay중YPSY6A05","YPSY6A05")</f>
        <v>YPSY6A05</v>
      </c>
      <c r="C326" s="195" t="str">
        <f>HYPERLINK("#LAYOUT_m1!lay중YPSY6A06","YPSY6A06")</f>
        <v>YPSY6A06</v>
      </c>
      <c r="E326" s="7"/>
      <c r="G326" s="411" t="s">
        <v>390</v>
      </c>
      <c r="H326" s="411"/>
      <c r="I326" s="412"/>
      <c r="J326" s="56"/>
      <c r="K326" s="410" t="s">
        <v>391</v>
      </c>
      <c r="L326" s="411"/>
      <c r="M326" s="412"/>
      <c r="N326" s="57"/>
      <c r="V326" s="7"/>
    </row>
    <row r="327" spans="2:22" ht="18" customHeight="1">
      <c r="B327" s="195" t="str">
        <f>HYPERLINK("#LAYOUT_m1!lay중YPSY6A07","YPSY6A07")</f>
        <v>YPSY6A07</v>
      </c>
      <c r="C327" s="195" t="str">
        <f>HYPERLINK("#LAYOUT_m1!lay중YPSY6A08","YPSY6A08")</f>
        <v>YPSY6A08</v>
      </c>
      <c r="E327" s="7"/>
      <c r="G327" s="411" t="s">
        <v>392</v>
      </c>
      <c r="H327" s="411"/>
      <c r="I327" s="412"/>
      <c r="J327" s="56"/>
      <c r="K327" s="410" t="s">
        <v>393</v>
      </c>
      <c r="L327" s="411"/>
      <c r="M327" s="412"/>
      <c r="N327" s="57"/>
      <c r="V327" s="7"/>
    </row>
    <row r="328" spans="2:22" ht="18" customHeight="1">
      <c r="B328" s="195" t="str">
        <f>HYPERLINK("#LAYOUT_m1!lay중YPSY6A09","YPSY6A09")</f>
        <v>YPSY6A09</v>
      </c>
      <c r="C328" s="195" t="str">
        <f>HYPERLINK("#LAYOUT_m1!lay중YPSY6A10","YPSY6A10")</f>
        <v>YPSY6A10</v>
      </c>
      <c r="E328" s="7"/>
      <c r="G328" s="411" t="s">
        <v>394</v>
      </c>
      <c r="H328" s="411"/>
      <c r="I328" s="412"/>
      <c r="J328" s="56"/>
      <c r="K328" s="410" t="s">
        <v>395</v>
      </c>
      <c r="L328" s="411"/>
      <c r="M328" s="412"/>
      <c r="N328" s="57"/>
      <c r="V328" s="7"/>
    </row>
    <row r="329" spans="2:22" ht="18" customHeight="1">
      <c r="B329" s="195" t="str">
        <f>HYPERLINK("#LAYOUT_m1!lay중YPSY6A11","YPSY6A11")</f>
        <v>YPSY6A11</v>
      </c>
      <c r="C329" s="195" t="str">
        <f>HYPERLINK("#LAYOUT_m1!lay중YPSY6A12","YPSY6A12")</f>
        <v>YPSY6A12</v>
      </c>
      <c r="E329" s="7"/>
      <c r="G329" s="411" t="s">
        <v>396</v>
      </c>
      <c r="H329" s="411"/>
      <c r="I329" s="412"/>
      <c r="J329" s="56"/>
      <c r="K329" s="410" t="s">
        <v>397</v>
      </c>
      <c r="L329" s="411"/>
      <c r="M329" s="412"/>
      <c r="N329" s="57"/>
      <c r="V329" s="7"/>
    </row>
    <row r="330" spans="2:22" ht="18" customHeight="1">
      <c r="B330" s="195" t="str">
        <f>HYPERLINK("#LAYOUT_m1!lay중YPSY6A13","YPSY6A13")</f>
        <v>YPSY6A13</v>
      </c>
      <c r="C330" s="195" t="str">
        <f>HYPERLINK("#LAYOUT_m1!lay중YPSY6A14","YPSY6A14")</f>
        <v>YPSY6A14</v>
      </c>
      <c r="E330" s="7"/>
      <c r="G330" s="411" t="s">
        <v>398</v>
      </c>
      <c r="H330" s="411"/>
      <c r="I330" s="412"/>
      <c r="J330" s="56"/>
      <c r="K330" s="410" t="s">
        <v>399</v>
      </c>
      <c r="L330" s="411"/>
      <c r="M330" s="412"/>
      <c r="N330" s="57"/>
      <c r="V330" s="7"/>
    </row>
    <row r="331" spans="2:22" ht="18" customHeight="1">
      <c r="B331" s="195" t="str">
        <f>HYPERLINK("#LAYOUT_m1!lay중YPSY6A15","YPSY6A15")</f>
        <v>YPSY6A15</v>
      </c>
      <c r="C331" s="195" t="str">
        <f>HYPERLINK("#LAYOUT_m1!lay중YPSY6A16","YPSY6A16")</f>
        <v>YPSY6A16</v>
      </c>
      <c r="E331" s="7"/>
      <c r="G331" s="411" t="s">
        <v>400</v>
      </c>
      <c r="H331" s="411"/>
      <c r="I331" s="412"/>
      <c r="J331" s="56"/>
      <c r="K331" s="410" t="s">
        <v>401</v>
      </c>
      <c r="L331" s="411"/>
      <c r="M331" s="412"/>
      <c r="N331" s="57"/>
      <c r="V331" s="7"/>
    </row>
    <row r="332" spans="2:22" ht="18" customHeight="1">
      <c r="B332" s="195" t="str">
        <f>HYPERLINK("#LAYOUT_m1!lay중YPSY6A17","YPSY6A17")</f>
        <v>YPSY6A17</v>
      </c>
      <c r="C332" s="195" t="str">
        <f>HYPERLINK("#LAYOUT_m1!lay중YPSY6A18","YPSY6A18")</f>
        <v>YPSY6A18</v>
      </c>
      <c r="E332" s="7"/>
      <c r="G332" s="411" t="s">
        <v>402</v>
      </c>
      <c r="H332" s="411"/>
      <c r="I332" s="412"/>
      <c r="J332" s="56"/>
      <c r="K332" s="410" t="s">
        <v>403</v>
      </c>
      <c r="L332" s="411"/>
      <c r="M332" s="412"/>
      <c r="N332" s="57"/>
      <c r="V332" s="7"/>
    </row>
    <row r="333" spans="2:22" ht="18" customHeight="1">
      <c r="B333" s="195" t="str">
        <f>HYPERLINK("#LAYOUT_m1!lay중YPSY6A19","YPSY6A19")</f>
        <v>YPSY6A19</v>
      </c>
      <c r="C333" s="195" t="str">
        <f>HYPERLINK("#LAYOUT_m1!lay중YPSY6A20","YPSY6A20")</f>
        <v>YPSY6A20</v>
      </c>
      <c r="E333" s="7"/>
      <c r="G333" s="411" t="s">
        <v>404</v>
      </c>
      <c r="H333" s="411"/>
      <c r="I333" s="412"/>
      <c r="J333" s="56"/>
      <c r="K333" s="410" t="s">
        <v>405</v>
      </c>
      <c r="L333" s="411"/>
      <c r="M333" s="412"/>
      <c r="N333" s="57"/>
      <c r="V333" s="7"/>
    </row>
    <row r="334" spans="2:22" ht="18" customHeight="1">
      <c r="B334" s="195" t="str">
        <f>HYPERLINK("#LAYOUT_m1!lay중YPSY6A21","YPSY6A21")</f>
        <v>YPSY6A21</v>
      </c>
      <c r="C334" s="195" t="str">
        <f>HYPERLINK("#LAYOUT_m1!lay중YPSY6A22","YPSY6A22")</f>
        <v>YPSY6A22</v>
      </c>
      <c r="E334" s="7"/>
      <c r="G334" s="411" t="s">
        <v>406</v>
      </c>
      <c r="H334" s="411"/>
      <c r="I334" s="412"/>
      <c r="J334" s="56"/>
      <c r="K334" s="410" t="s">
        <v>407</v>
      </c>
      <c r="L334" s="411"/>
      <c r="M334" s="412"/>
      <c r="N334" s="57"/>
      <c r="V334" s="7"/>
    </row>
    <row r="335" spans="2:22" ht="18" customHeight="1">
      <c r="B335" s="195" t="str">
        <f>HYPERLINK("#LAYOUT_m1!lay중YPSY6A23","YPSY6A23")</f>
        <v>YPSY6A23</v>
      </c>
      <c r="C335" s="195" t="str">
        <f>HYPERLINK("#LAYOUT_m1!lay중YPSY6A24","YPSY6A24")</f>
        <v>YPSY6A24</v>
      </c>
      <c r="E335" s="7"/>
      <c r="G335" s="411" t="s">
        <v>408</v>
      </c>
      <c r="H335" s="411"/>
      <c r="I335" s="412"/>
      <c r="J335" s="56"/>
      <c r="K335" s="410" t="s">
        <v>409</v>
      </c>
      <c r="L335" s="411"/>
      <c r="M335" s="412"/>
      <c r="N335" s="57"/>
      <c r="V335" s="7"/>
    </row>
    <row r="336" spans="2:22" ht="18" customHeight="1">
      <c r="B336" s="195" t="str">
        <f>HYPERLINK("#LAYOUT_m1!lay중YPSY6A25","YPSY6A25")</f>
        <v>YPSY6A25</v>
      </c>
      <c r="C336" s="195" t="str">
        <f>HYPERLINK("#LAYOUT_m1!lay중YPSY6A26","YPSY6A26")</f>
        <v>YPSY6A26</v>
      </c>
      <c r="E336" s="7"/>
      <c r="G336" s="411" t="s">
        <v>410</v>
      </c>
      <c r="H336" s="411"/>
      <c r="I336" s="412"/>
      <c r="J336" s="56"/>
      <c r="K336" s="410" t="s">
        <v>411</v>
      </c>
      <c r="L336" s="411"/>
      <c r="M336" s="412"/>
      <c r="N336" s="57"/>
      <c r="V336" s="7"/>
    </row>
    <row r="337" spans="2:22" ht="18" customHeight="1">
      <c r="B337" s="195" t="str">
        <f>HYPERLINK("#LAYOUT_m1!lay중YPSY6A27","YPSY6A27")</f>
        <v>YPSY6A27</v>
      </c>
      <c r="C337" s="195" t="str">
        <f>HYPERLINK("#LAYOUT_m1!lay중YPSY6A28","YPSY6A28")</f>
        <v>YPSY6A28</v>
      </c>
      <c r="E337" s="7"/>
      <c r="G337" s="411" t="s">
        <v>412</v>
      </c>
      <c r="H337" s="411"/>
      <c r="I337" s="412"/>
      <c r="J337" s="56"/>
      <c r="K337" s="410" t="s">
        <v>413</v>
      </c>
      <c r="L337" s="411"/>
      <c r="M337" s="412"/>
      <c r="N337" s="57"/>
      <c r="V337" s="7"/>
    </row>
    <row r="338" spans="2:22" ht="18" customHeight="1">
      <c r="B338" s="195" t="str">
        <f>HYPERLINK("#LAYOUT_m1!lay중YPSY6A29","YPSY6A29")</f>
        <v>YPSY6A29</v>
      </c>
      <c r="C338" s="195" t="str">
        <f>HYPERLINK("#LAYOUT_m1!lay중YPSY6A30","YPSY6A30")</f>
        <v>YPSY6A30</v>
      </c>
      <c r="E338" s="7"/>
      <c r="G338" s="411" t="s">
        <v>414</v>
      </c>
      <c r="H338" s="411"/>
      <c r="I338" s="412"/>
      <c r="J338" s="56"/>
      <c r="K338" s="410" t="s">
        <v>415</v>
      </c>
      <c r="L338" s="411"/>
      <c r="M338" s="412"/>
      <c r="N338" s="57"/>
      <c r="V338" s="7"/>
    </row>
    <row r="339" spans="2:22" ht="18" customHeight="1">
      <c r="B339" s="195"/>
      <c r="C339" s="195"/>
      <c r="E339" s="7"/>
      <c r="G339" s="28"/>
      <c r="H339" s="28"/>
      <c r="I339" s="28"/>
      <c r="J339" s="28"/>
      <c r="K339" s="28"/>
      <c r="L339" s="28"/>
      <c r="M339" s="11"/>
      <c r="N339" s="11"/>
      <c r="O339" s="11"/>
      <c r="P339" s="11"/>
      <c r="V339" s="7"/>
    </row>
    <row r="340" spans="2:22" ht="18" customHeight="1">
      <c r="B340" s="195"/>
      <c r="C340" s="195"/>
      <c r="E340" s="7"/>
      <c r="G340" s="28"/>
      <c r="H340" s="28"/>
      <c r="I340" s="28"/>
      <c r="J340" s="28"/>
      <c r="K340" s="28"/>
      <c r="L340" s="28"/>
      <c r="M340" s="11"/>
      <c r="N340" s="11"/>
      <c r="O340" s="11"/>
      <c r="P340" s="11"/>
      <c r="V340" s="7"/>
    </row>
    <row r="341" spans="2:22" ht="18" customHeight="1" thickBot="1">
      <c r="B341" s="195"/>
      <c r="C341" s="195"/>
      <c r="E341" s="7"/>
      <c r="F341" s="6" t="s">
        <v>901</v>
      </c>
      <c r="V341" s="7"/>
    </row>
    <row r="342" spans="2:22" ht="31.5" thickTop="1" thickBot="1">
      <c r="B342" s="195"/>
      <c r="C342" s="195"/>
      <c r="E342" s="7"/>
      <c r="G342" s="397" t="s">
        <v>643</v>
      </c>
      <c r="H342" s="397"/>
      <c r="I342" s="397"/>
      <c r="J342" s="397"/>
      <c r="K342" s="397"/>
      <c r="L342" s="398"/>
      <c r="M342" s="9" t="s">
        <v>622</v>
      </c>
      <c r="N342" s="9" t="s">
        <v>623</v>
      </c>
      <c r="O342" s="9" t="s">
        <v>107</v>
      </c>
      <c r="P342" s="10" t="s">
        <v>108</v>
      </c>
      <c r="V342" s="7"/>
    </row>
    <row r="343" spans="2:22" ht="18" customHeight="1" thickTop="1">
      <c r="B343" s="355" t="str">
        <f>HYPERLINK("#LAYOUT_m1!lay중YPSY7A01","YPSY7A01")</f>
        <v>YPSY7A01</v>
      </c>
      <c r="C343" s="355"/>
      <c r="E343" s="7"/>
      <c r="G343" s="366" t="s">
        <v>747</v>
      </c>
      <c r="H343" s="366"/>
      <c r="I343" s="366"/>
      <c r="J343" s="366"/>
      <c r="K343" s="366"/>
      <c r="L343" s="367"/>
      <c r="M343" s="20" t="s">
        <v>591</v>
      </c>
      <c r="N343" s="20" t="s">
        <v>592</v>
      </c>
      <c r="O343" s="20" t="s">
        <v>593</v>
      </c>
      <c r="P343" s="25" t="s">
        <v>594</v>
      </c>
      <c r="V343" s="7"/>
    </row>
    <row r="344" spans="2:22" ht="31.5" customHeight="1">
      <c r="B344" s="355" t="str">
        <f>HYPERLINK("#LAYOUT_m1!lay중YPSY7A02","YPSY7A02")</f>
        <v>YPSY7A02</v>
      </c>
      <c r="C344" s="355"/>
      <c r="E344" s="7"/>
      <c r="G344" s="366" t="s">
        <v>748</v>
      </c>
      <c r="H344" s="366"/>
      <c r="I344" s="366"/>
      <c r="J344" s="366"/>
      <c r="K344" s="366"/>
      <c r="L344" s="367"/>
      <c r="M344" s="22" t="s">
        <v>591</v>
      </c>
      <c r="N344" s="22" t="s">
        <v>592</v>
      </c>
      <c r="O344" s="22" t="s">
        <v>593</v>
      </c>
      <c r="P344" s="24" t="s">
        <v>594</v>
      </c>
      <c r="V344" s="7"/>
    </row>
    <row r="345" spans="2:22" ht="18" customHeight="1">
      <c r="B345" s="355" t="str">
        <f>HYPERLINK("#LAYOUT_m1!lay중YPSY7A03","YPSY7A03")</f>
        <v>YPSY7A03</v>
      </c>
      <c r="C345" s="355"/>
      <c r="E345" s="7"/>
      <c r="G345" s="366" t="s">
        <v>749</v>
      </c>
      <c r="H345" s="366"/>
      <c r="I345" s="366"/>
      <c r="J345" s="366"/>
      <c r="K345" s="366"/>
      <c r="L345" s="367"/>
      <c r="M345" s="22" t="s">
        <v>591</v>
      </c>
      <c r="N345" s="22" t="s">
        <v>592</v>
      </c>
      <c r="O345" s="22" t="s">
        <v>593</v>
      </c>
      <c r="P345" s="24" t="s">
        <v>594</v>
      </c>
      <c r="V345" s="7"/>
    </row>
    <row r="346" spans="2:22" ht="18" customHeight="1">
      <c r="B346" s="355" t="str">
        <f>HYPERLINK("#LAYOUT_m1!lay중YPSY7A04","YPSY7A04")</f>
        <v>YPSY7A04</v>
      </c>
      <c r="C346" s="355"/>
      <c r="E346" s="7"/>
      <c r="G346" s="366" t="s">
        <v>750</v>
      </c>
      <c r="H346" s="366"/>
      <c r="I346" s="366"/>
      <c r="J346" s="366"/>
      <c r="K346" s="366"/>
      <c r="L346" s="367"/>
      <c r="M346" s="22" t="s">
        <v>591</v>
      </c>
      <c r="N346" s="22" t="s">
        <v>592</v>
      </c>
      <c r="O346" s="22" t="s">
        <v>593</v>
      </c>
      <c r="P346" s="24" t="s">
        <v>594</v>
      </c>
      <c r="V346" s="7"/>
    </row>
    <row r="347" spans="2:22" ht="18" customHeight="1">
      <c r="B347" s="355" t="str">
        <f>HYPERLINK("#LAYOUT_m1!lay중YPSY7A05","YPSY7A05")</f>
        <v>YPSY7A05</v>
      </c>
      <c r="C347" s="355"/>
      <c r="E347" s="7"/>
      <c r="G347" s="366" t="s">
        <v>751</v>
      </c>
      <c r="H347" s="366"/>
      <c r="I347" s="366"/>
      <c r="J347" s="366"/>
      <c r="K347" s="366"/>
      <c r="L347" s="367"/>
      <c r="M347" s="22" t="s">
        <v>591</v>
      </c>
      <c r="N347" s="22" t="s">
        <v>592</v>
      </c>
      <c r="O347" s="22" t="s">
        <v>593</v>
      </c>
      <c r="P347" s="24" t="s">
        <v>594</v>
      </c>
      <c r="V347" s="7"/>
    </row>
    <row r="348" spans="2:22" ht="18" customHeight="1">
      <c r="B348" s="355" t="str">
        <f>HYPERLINK("#LAYOUT_m1!lay중YPSY7A06","YPSY7A06")</f>
        <v>YPSY7A06</v>
      </c>
      <c r="C348" s="355"/>
      <c r="E348" s="7"/>
      <c r="G348" s="366" t="s">
        <v>752</v>
      </c>
      <c r="H348" s="366"/>
      <c r="I348" s="366"/>
      <c r="J348" s="366"/>
      <c r="K348" s="366"/>
      <c r="L348" s="367"/>
      <c r="M348" s="22" t="s">
        <v>591</v>
      </c>
      <c r="N348" s="22" t="s">
        <v>592</v>
      </c>
      <c r="O348" s="22" t="s">
        <v>593</v>
      </c>
      <c r="P348" s="24" t="s">
        <v>594</v>
      </c>
      <c r="V348" s="7"/>
    </row>
    <row r="349" spans="2:22" ht="18" customHeight="1">
      <c r="B349" s="355" t="str">
        <f>HYPERLINK("#LAYOUT_m1!lay중YPSY7A07","YPSY7A07")</f>
        <v>YPSY7A07</v>
      </c>
      <c r="C349" s="355"/>
      <c r="E349" s="7"/>
      <c r="G349" s="366" t="s">
        <v>753</v>
      </c>
      <c r="H349" s="366"/>
      <c r="I349" s="366"/>
      <c r="J349" s="366"/>
      <c r="K349" s="366"/>
      <c r="L349" s="367"/>
      <c r="M349" s="22" t="s">
        <v>591</v>
      </c>
      <c r="N349" s="22" t="s">
        <v>592</v>
      </c>
      <c r="O349" s="22" t="s">
        <v>593</v>
      </c>
      <c r="P349" s="24" t="s">
        <v>594</v>
      </c>
      <c r="V349" s="7"/>
    </row>
    <row r="350" spans="2:22" ht="18" customHeight="1">
      <c r="B350" s="355" t="str">
        <f>HYPERLINK("#LAYOUT_m1!lay중YPSY7A08","YPSY7A08")</f>
        <v>YPSY7A08</v>
      </c>
      <c r="C350" s="355"/>
      <c r="E350" s="7"/>
      <c r="G350" s="366" t="s">
        <v>754</v>
      </c>
      <c r="H350" s="366"/>
      <c r="I350" s="366"/>
      <c r="J350" s="366"/>
      <c r="K350" s="366"/>
      <c r="L350" s="367"/>
      <c r="M350" s="22" t="s">
        <v>591</v>
      </c>
      <c r="N350" s="22" t="s">
        <v>592</v>
      </c>
      <c r="O350" s="22" t="s">
        <v>593</v>
      </c>
      <c r="P350" s="24" t="s">
        <v>594</v>
      </c>
      <c r="V350" s="7"/>
    </row>
    <row r="351" spans="2:22" ht="18" customHeight="1">
      <c r="B351" s="195"/>
      <c r="C351" s="195"/>
      <c r="E351" s="7"/>
      <c r="V351" s="7"/>
    </row>
    <row r="352" spans="2:22" ht="18" customHeight="1">
      <c r="B352" s="195"/>
      <c r="C352" s="195"/>
      <c r="E352" s="7"/>
      <c r="V352" s="7"/>
    </row>
    <row r="353" spans="2:22" ht="18" customHeight="1">
      <c r="B353" s="195"/>
      <c r="C353" s="195"/>
      <c r="E353" s="7"/>
      <c r="F353" s="6" t="s">
        <v>902</v>
      </c>
      <c r="V353" s="7"/>
    </row>
    <row r="354" spans="2:22" ht="18" customHeight="1" thickBot="1">
      <c r="B354" s="195"/>
      <c r="C354" s="195"/>
      <c r="E354" s="7"/>
      <c r="G354" s="6" t="s">
        <v>756</v>
      </c>
      <c r="V354" s="7"/>
    </row>
    <row r="355" spans="2:22" ht="18" customHeight="1" thickTop="1" thickBot="1">
      <c r="B355" s="195"/>
      <c r="C355" s="195"/>
      <c r="E355" s="7"/>
      <c r="G355" s="401" t="s">
        <v>757</v>
      </c>
      <c r="H355" s="402"/>
      <c r="I355" s="368" t="s">
        <v>758</v>
      </c>
      <c r="J355" s="368"/>
      <c r="V355" s="7"/>
    </row>
    <row r="356" spans="2:22" ht="18" customHeight="1" thickTop="1">
      <c r="B356" s="195" t="str">
        <f>HYPERLINK("#LAYOUT_m1!lay중YFAM1A01","YFAM1A01")</f>
        <v>YFAM1A01</v>
      </c>
      <c r="C356" s="195" t="str">
        <f>HYPERLINK("#LAYOUT_m1!lay중YFAM1A03","YFAM1A03")</f>
        <v>YFAM1A03</v>
      </c>
      <c r="E356" s="7"/>
      <c r="G356" s="399" t="s">
        <v>1593</v>
      </c>
      <c r="H356" s="400"/>
      <c r="I356" s="399" t="s">
        <v>1594</v>
      </c>
      <c r="J356" s="399"/>
      <c r="V356" s="7"/>
    </row>
    <row r="357" spans="2:22" ht="18" customHeight="1">
      <c r="B357" s="195" t="str">
        <f>HYPERLINK("#LAYOUT_m1!lay중YFAM1A02","YFAM1A02")</f>
        <v>YFAM1A02</v>
      </c>
      <c r="C357" s="195" t="str">
        <f>HYPERLINK("#LAYOUT_m1!lay중YFAM1A04","YFAM1A04")</f>
        <v>YFAM1A04</v>
      </c>
      <c r="E357" s="7"/>
      <c r="G357" s="403" t="s">
        <v>1595</v>
      </c>
      <c r="H357" s="404"/>
      <c r="I357" s="405" t="s">
        <v>1595</v>
      </c>
      <c r="J357" s="405"/>
      <c r="V357" s="7"/>
    </row>
    <row r="358" spans="2:22" ht="18" customHeight="1">
      <c r="B358" s="195"/>
      <c r="C358" s="195"/>
      <c r="E358" s="7"/>
      <c r="V358" s="7"/>
    </row>
    <row r="359" spans="2:22" ht="18" customHeight="1">
      <c r="B359" s="195"/>
      <c r="C359" s="195"/>
      <c r="E359" s="7"/>
      <c r="V359" s="7"/>
    </row>
    <row r="360" spans="2:22" ht="18" customHeight="1" thickBot="1">
      <c r="B360" s="195"/>
      <c r="C360" s="195"/>
      <c r="E360" s="7"/>
      <c r="F360" s="6" t="s">
        <v>903</v>
      </c>
      <c r="V360" s="7"/>
    </row>
    <row r="361" spans="2:22" ht="31.5" thickTop="1" thickBot="1">
      <c r="B361" s="195"/>
      <c r="C361" s="195"/>
      <c r="E361" s="7"/>
      <c r="G361" s="397" t="s">
        <v>643</v>
      </c>
      <c r="H361" s="397"/>
      <c r="I361" s="397"/>
      <c r="J361" s="397"/>
      <c r="K361" s="397"/>
      <c r="L361" s="398"/>
      <c r="M361" s="9" t="s">
        <v>622</v>
      </c>
      <c r="N361" s="9" t="s">
        <v>623</v>
      </c>
      <c r="O361" s="9" t="s">
        <v>107</v>
      </c>
      <c r="P361" s="10" t="s">
        <v>108</v>
      </c>
      <c r="V361" s="7"/>
    </row>
    <row r="362" spans="2:22" ht="18" customHeight="1" thickTop="1">
      <c r="B362" s="355" t="str">
        <f>HYPERLINK("#LAYOUT_m1!lay중YFAM2A01","YFAM2A01")</f>
        <v>YFAM2A01</v>
      </c>
      <c r="C362" s="355"/>
      <c r="E362" s="7"/>
      <c r="G362" s="366" t="s">
        <v>760</v>
      </c>
      <c r="H362" s="366"/>
      <c r="I362" s="366"/>
      <c r="J362" s="366"/>
      <c r="K362" s="366"/>
      <c r="L362" s="367"/>
      <c r="M362" s="20" t="s">
        <v>591</v>
      </c>
      <c r="N362" s="20" t="s">
        <v>592</v>
      </c>
      <c r="O362" s="20" t="s">
        <v>593</v>
      </c>
      <c r="P362" s="25" t="s">
        <v>594</v>
      </c>
      <c r="V362" s="7"/>
    </row>
    <row r="363" spans="2:22" ht="18" customHeight="1">
      <c r="B363" s="355" t="str">
        <f>HYPERLINK("#LAYOUT_m1!lay중YFAM2A02","YFAM2A02")</f>
        <v>YFAM2A02</v>
      </c>
      <c r="C363" s="355"/>
      <c r="E363" s="7"/>
      <c r="G363" s="366" t="s">
        <v>761</v>
      </c>
      <c r="H363" s="366"/>
      <c r="I363" s="366"/>
      <c r="J363" s="366"/>
      <c r="K363" s="366"/>
      <c r="L363" s="367"/>
      <c r="M363" s="22" t="s">
        <v>591</v>
      </c>
      <c r="N363" s="22" t="s">
        <v>592</v>
      </c>
      <c r="O363" s="22" t="s">
        <v>593</v>
      </c>
      <c r="P363" s="24" t="s">
        <v>594</v>
      </c>
      <c r="V363" s="7"/>
    </row>
    <row r="364" spans="2:22" ht="18" customHeight="1">
      <c r="B364" s="355" t="str">
        <f>HYPERLINK("#LAYOUT_m1!lay중YFAM2A03","YFAM2A03")</f>
        <v>YFAM2A03</v>
      </c>
      <c r="C364" s="355"/>
      <c r="E364" s="7"/>
      <c r="G364" s="366" t="s">
        <v>762</v>
      </c>
      <c r="H364" s="366"/>
      <c r="I364" s="366"/>
      <c r="J364" s="366"/>
      <c r="K364" s="366"/>
      <c r="L364" s="367"/>
      <c r="M364" s="22" t="s">
        <v>591</v>
      </c>
      <c r="N364" s="22" t="s">
        <v>592</v>
      </c>
      <c r="O364" s="22" t="s">
        <v>593</v>
      </c>
      <c r="P364" s="24" t="s">
        <v>594</v>
      </c>
      <c r="V364" s="7"/>
    </row>
    <row r="365" spans="2:22" ht="18" customHeight="1">
      <c r="B365" s="355" t="str">
        <f>HYPERLINK("#LAYOUT_m1!lay중YFAM2A04","YFAM2A04")</f>
        <v>YFAM2A04</v>
      </c>
      <c r="C365" s="355"/>
      <c r="E365" s="7"/>
      <c r="G365" s="366" t="s">
        <v>763</v>
      </c>
      <c r="H365" s="366"/>
      <c r="I365" s="366"/>
      <c r="J365" s="366"/>
      <c r="K365" s="366"/>
      <c r="L365" s="367"/>
      <c r="M365" s="22" t="s">
        <v>591</v>
      </c>
      <c r="N365" s="22" t="s">
        <v>592</v>
      </c>
      <c r="O365" s="22" t="s">
        <v>593</v>
      </c>
      <c r="P365" s="24" t="s">
        <v>594</v>
      </c>
      <c r="V365" s="7"/>
    </row>
    <row r="366" spans="2:22" ht="18" customHeight="1">
      <c r="B366" s="355" t="str">
        <f>HYPERLINK("#LAYOUT_m1!lay중YFAM2B01","YFAM2B01")</f>
        <v>YFAM2B01</v>
      </c>
      <c r="C366" s="355"/>
      <c r="E366" s="7"/>
      <c r="G366" s="366" t="s">
        <v>764</v>
      </c>
      <c r="H366" s="366"/>
      <c r="I366" s="366"/>
      <c r="J366" s="366"/>
      <c r="K366" s="366"/>
      <c r="L366" s="367"/>
      <c r="M366" s="22" t="s">
        <v>591</v>
      </c>
      <c r="N366" s="22" t="s">
        <v>592</v>
      </c>
      <c r="O366" s="22" t="s">
        <v>593</v>
      </c>
      <c r="P366" s="24" t="s">
        <v>594</v>
      </c>
      <c r="V366" s="7"/>
    </row>
    <row r="367" spans="2:22" ht="18" customHeight="1">
      <c r="B367" s="355" t="str">
        <f>HYPERLINK("#LAYOUT_m1!lay중YFAM2B02","YFAM2B02")</f>
        <v>YFAM2B02</v>
      </c>
      <c r="C367" s="355"/>
      <c r="E367" s="7"/>
      <c r="G367" s="366" t="s">
        <v>765</v>
      </c>
      <c r="H367" s="366"/>
      <c r="I367" s="366"/>
      <c r="J367" s="366"/>
      <c r="K367" s="366"/>
      <c r="L367" s="367"/>
      <c r="M367" s="22" t="s">
        <v>591</v>
      </c>
      <c r="N367" s="22" t="s">
        <v>592</v>
      </c>
      <c r="O367" s="22" t="s">
        <v>593</v>
      </c>
      <c r="P367" s="24" t="s">
        <v>594</v>
      </c>
      <c r="V367" s="7"/>
    </row>
    <row r="368" spans="2:22" ht="18" customHeight="1">
      <c r="B368" s="355" t="str">
        <f>HYPERLINK("#LAYOUT_m1!lay중YFAM2B03","YFAM2B03")</f>
        <v>YFAM2B03</v>
      </c>
      <c r="C368" s="355"/>
      <c r="E368" s="7"/>
      <c r="G368" s="366" t="s">
        <v>766</v>
      </c>
      <c r="H368" s="366"/>
      <c r="I368" s="366"/>
      <c r="J368" s="366"/>
      <c r="K368" s="366"/>
      <c r="L368" s="367"/>
      <c r="M368" s="22" t="s">
        <v>591</v>
      </c>
      <c r="N368" s="22" t="s">
        <v>592</v>
      </c>
      <c r="O368" s="22" t="s">
        <v>593</v>
      </c>
      <c r="P368" s="24" t="s">
        <v>594</v>
      </c>
      <c r="V368" s="7"/>
    </row>
    <row r="369" spans="2:22" ht="18" customHeight="1">
      <c r="B369" s="355" t="str">
        <f>HYPERLINK("#LAYOUT_m1!lay중YFAM2B04","YFAM2B04")</f>
        <v>YFAM2B04</v>
      </c>
      <c r="C369" s="355"/>
      <c r="E369" s="7"/>
      <c r="G369" s="366" t="s">
        <v>767</v>
      </c>
      <c r="H369" s="366"/>
      <c r="I369" s="366"/>
      <c r="J369" s="366"/>
      <c r="K369" s="366"/>
      <c r="L369" s="367"/>
      <c r="M369" s="22" t="s">
        <v>591</v>
      </c>
      <c r="N369" s="22" t="s">
        <v>592</v>
      </c>
      <c r="O369" s="22" t="s">
        <v>593</v>
      </c>
      <c r="P369" s="24" t="s">
        <v>594</v>
      </c>
      <c r="V369" s="7"/>
    </row>
    <row r="370" spans="2:22" ht="18" customHeight="1">
      <c r="B370" s="355" t="str">
        <f>HYPERLINK("#LAYOUT_m1!lay중YFAM2C01","YFAM2C01")</f>
        <v>YFAM2C01</v>
      </c>
      <c r="C370" s="355"/>
      <c r="E370" s="7"/>
      <c r="G370" s="366" t="s">
        <v>768</v>
      </c>
      <c r="H370" s="366"/>
      <c r="I370" s="366"/>
      <c r="J370" s="366"/>
      <c r="K370" s="366"/>
      <c r="L370" s="367"/>
      <c r="M370" s="22" t="s">
        <v>591</v>
      </c>
      <c r="N370" s="22" t="s">
        <v>592</v>
      </c>
      <c r="O370" s="22" t="s">
        <v>593</v>
      </c>
      <c r="P370" s="24" t="s">
        <v>594</v>
      </c>
      <c r="V370" s="7"/>
    </row>
    <row r="371" spans="2:22" ht="18" customHeight="1">
      <c r="B371" s="355" t="str">
        <f>HYPERLINK("#LAYOUT_m1!lay중YFAM2C02","YFAM2C02")</f>
        <v>YFAM2C02</v>
      </c>
      <c r="C371" s="355"/>
      <c r="E371" s="7"/>
      <c r="G371" s="366" t="s">
        <v>769</v>
      </c>
      <c r="H371" s="366"/>
      <c r="I371" s="366"/>
      <c r="J371" s="366"/>
      <c r="K371" s="366"/>
      <c r="L371" s="367"/>
      <c r="M371" s="22" t="s">
        <v>591</v>
      </c>
      <c r="N371" s="22" t="s">
        <v>592</v>
      </c>
      <c r="O371" s="22" t="s">
        <v>593</v>
      </c>
      <c r="P371" s="24" t="s">
        <v>594</v>
      </c>
      <c r="V371" s="7"/>
    </row>
    <row r="372" spans="2:22" ht="18" customHeight="1">
      <c r="B372" s="355" t="str">
        <f>HYPERLINK("#LAYOUT_m1!lay중YFAM2C03","YFAM2C03")</f>
        <v>YFAM2C03</v>
      </c>
      <c r="C372" s="355"/>
      <c r="E372" s="7"/>
      <c r="G372" s="366" t="s">
        <v>770</v>
      </c>
      <c r="H372" s="366"/>
      <c r="I372" s="366"/>
      <c r="J372" s="366"/>
      <c r="K372" s="366"/>
      <c r="L372" s="367"/>
      <c r="M372" s="22" t="s">
        <v>591</v>
      </c>
      <c r="N372" s="22" t="s">
        <v>592</v>
      </c>
      <c r="O372" s="22" t="s">
        <v>593</v>
      </c>
      <c r="P372" s="24" t="s">
        <v>594</v>
      </c>
      <c r="V372" s="7"/>
    </row>
    <row r="373" spans="2:22" ht="18" customHeight="1">
      <c r="B373" s="355" t="str">
        <f>HYPERLINK("#LAYOUT_m1!lay중YFAM2C04","YFAM2C04")</f>
        <v>YFAM2C04</v>
      </c>
      <c r="C373" s="355"/>
      <c r="E373" s="7"/>
      <c r="G373" s="366" t="s">
        <v>771</v>
      </c>
      <c r="H373" s="366"/>
      <c r="I373" s="366"/>
      <c r="J373" s="366"/>
      <c r="K373" s="366"/>
      <c r="L373" s="367"/>
      <c r="M373" s="22" t="s">
        <v>591</v>
      </c>
      <c r="N373" s="22" t="s">
        <v>592</v>
      </c>
      <c r="O373" s="22" t="s">
        <v>593</v>
      </c>
      <c r="P373" s="24" t="s">
        <v>594</v>
      </c>
      <c r="V373" s="7"/>
    </row>
    <row r="374" spans="2:22" ht="18" customHeight="1">
      <c r="B374" s="355" t="str">
        <f>HYPERLINK("#LAYOUT_m1!lay중YFAM2D01","YFAM2D01")</f>
        <v>YFAM2D01</v>
      </c>
      <c r="C374" s="355"/>
      <c r="E374" s="7"/>
      <c r="G374" s="366" t="s">
        <v>772</v>
      </c>
      <c r="H374" s="366"/>
      <c r="I374" s="366"/>
      <c r="J374" s="366"/>
      <c r="K374" s="366"/>
      <c r="L374" s="367"/>
      <c r="M374" s="22" t="s">
        <v>591</v>
      </c>
      <c r="N374" s="22" t="s">
        <v>592</v>
      </c>
      <c r="O374" s="22" t="s">
        <v>593</v>
      </c>
      <c r="P374" s="24" t="s">
        <v>594</v>
      </c>
      <c r="V374" s="7"/>
    </row>
    <row r="375" spans="2:22" ht="18" customHeight="1">
      <c r="B375" s="355" t="str">
        <f>HYPERLINK("#LAYOUT_m1!lay중YFAM2D02","YFAM2D02")</f>
        <v>YFAM2D02</v>
      </c>
      <c r="C375" s="355"/>
      <c r="E375" s="7"/>
      <c r="G375" s="366" t="s">
        <v>773</v>
      </c>
      <c r="H375" s="366"/>
      <c r="I375" s="366"/>
      <c r="J375" s="366"/>
      <c r="K375" s="366"/>
      <c r="L375" s="367"/>
      <c r="M375" s="22" t="s">
        <v>591</v>
      </c>
      <c r="N375" s="22" t="s">
        <v>592</v>
      </c>
      <c r="O375" s="22" t="s">
        <v>593</v>
      </c>
      <c r="P375" s="24" t="s">
        <v>594</v>
      </c>
      <c r="V375" s="7"/>
    </row>
    <row r="376" spans="2:22" ht="18" customHeight="1">
      <c r="B376" s="355" t="str">
        <f>HYPERLINK("#LAYOUT_m1!lay중YFAM2D03","YFAM2D03")</f>
        <v>YFAM2D03</v>
      </c>
      <c r="C376" s="355"/>
      <c r="E376" s="7"/>
      <c r="G376" s="366" t="s">
        <v>774</v>
      </c>
      <c r="H376" s="366"/>
      <c r="I376" s="366"/>
      <c r="J376" s="366"/>
      <c r="K376" s="366"/>
      <c r="L376" s="367"/>
      <c r="M376" s="22" t="s">
        <v>591</v>
      </c>
      <c r="N376" s="22" t="s">
        <v>592</v>
      </c>
      <c r="O376" s="22" t="s">
        <v>593</v>
      </c>
      <c r="P376" s="24" t="s">
        <v>594</v>
      </c>
      <c r="V376" s="7"/>
    </row>
    <row r="377" spans="2:22" ht="18" customHeight="1">
      <c r="B377" s="355" t="str">
        <f>HYPERLINK("#LAYOUT_m1!lay중YFAM2D04","YFAM2D04")</f>
        <v>YFAM2D04</v>
      </c>
      <c r="C377" s="355"/>
      <c r="E377" s="7"/>
      <c r="G377" s="366" t="s">
        <v>775</v>
      </c>
      <c r="H377" s="366"/>
      <c r="I377" s="366"/>
      <c r="J377" s="366"/>
      <c r="K377" s="366"/>
      <c r="L377" s="367"/>
      <c r="M377" s="22" t="s">
        <v>591</v>
      </c>
      <c r="N377" s="22" t="s">
        <v>592</v>
      </c>
      <c r="O377" s="22" t="s">
        <v>593</v>
      </c>
      <c r="P377" s="24" t="s">
        <v>594</v>
      </c>
      <c r="V377" s="7"/>
    </row>
    <row r="378" spans="2:22" ht="18" customHeight="1">
      <c r="B378" s="355" t="str">
        <f>HYPERLINK("#LAYOUT_m1!lay중YFAM2E01","YFAM2E01")</f>
        <v>YFAM2E01</v>
      </c>
      <c r="C378" s="355"/>
      <c r="E378" s="7"/>
      <c r="G378" s="366" t="s">
        <v>776</v>
      </c>
      <c r="H378" s="366"/>
      <c r="I378" s="366"/>
      <c r="J378" s="366"/>
      <c r="K378" s="366"/>
      <c r="L378" s="367"/>
      <c r="M378" s="22" t="s">
        <v>591</v>
      </c>
      <c r="N378" s="22" t="s">
        <v>592</v>
      </c>
      <c r="O378" s="22" t="s">
        <v>593</v>
      </c>
      <c r="P378" s="24" t="s">
        <v>594</v>
      </c>
      <c r="V378" s="7"/>
    </row>
    <row r="379" spans="2:22" ht="18" customHeight="1">
      <c r="B379" s="355" t="str">
        <f>HYPERLINK("#LAYOUT_m1!lay중YFAM2E02","YFAM2E02")</f>
        <v>YFAM2E02</v>
      </c>
      <c r="C379" s="355"/>
      <c r="E379" s="7"/>
      <c r="G379" s="366" t="s">
        <v>777</v>
      </c>
      <c r="H379" s="366"/>
      <c r="I379" s="366"/>
      <c r="J379" s="366"/>
      <c r="K379" s="366"/>
      <c r="L379" s="367"/>
      <c r="M379" s="22" t="s">
        <v>591</v>
      </c>
      <c r="N379" s="22" t="s">
        <v>592</v>
      </c>
      <c r="O379" s="22" t="s">
        <v>593</v>
      </c>
      <c r="P379" s="24" t="s">
        <v>594</v>
      </c>
      <c r="V379" s="7"/>
    </row>
    <row r="380" spans="2:22" ht="18" customHeight="1">
      <c r="B380" s="355" t="str">
        <f>HYPERLINK("#LAYOUT_m1!lay중YFAM2E03","YFAM2E03")</f>
        <v>YFAM2E03</v>
      </c>
      <c r="C380" s="355"/>
      <c r="E380" s="7"/>
      <c r="G380" s="366" t="s">
        <v>778</v>
      </c>
      <c r="H380" s="366"/>
      <c r="I380" s="366"/>
      <c r="J380" s="366"/>
      <c r="K380" s="366"/>
      <c r="L380" s="367"/>
      <c r="M380" s="22" t="s">
        <v>591</v>
      </c>
      <c r="N380" s="22" t="s">
        <v>592</v>
      </c>
      <c r="O380" s="22" t="s">
        <v>593</v>
      </c>
      <c r="P380" s="24" t="s">
        <v>594</v>
      </c>
      <c r="V380" s="7"/>
    </row>
    <row r="381" spans="2:22" ht="18" customHeight="1">
      <c r="B381" s="355" t="str">
        <f>HYPERLINK("#LAYOUT_m1!lay중YFAM2E04","YFAM2E04")</f>
        <v>YFAM2E04</v>
      </c>
      <c r="C381" s="355"/>
      <c r="E381" s="7"/>
      <c r="G381" s="366" t="s">
        <v>779</v>
      </c>
      <c r="H381" s="366"/>
      <c r="I381" s="366"/>
      <c r="J381" s="366"/>
      <c r="K381" s="366"/>
      <c r="L381" s="367"/>
      <c r="M381" s="22" t="s">
        <v>591</v>
      </c>
      <c r="N381" s="22" t="s">
        <v>592</v>
      </c>
      <c r="O381" s="22" t="s">
        <v>593</v>
      </c>
      <c r="P381" s="24" t="s">
        <v>594</v>
      </c>
      <c r="V381" s="7"/>
    </row>
    <row r="382" spans="2:22" ht="18" customHeight="1">
      <c r="B382" s="355" t="str">
        <f>HYPERLINK("#LAYOUT_m1!lay중YFAM2F01","YFAM2F01")</f>
        <v>YFAM2F01</v>
      </c>
      <c r="C382" s="355"/>
      <c r="E382" s="7"/>
      <c r="G382" s="366" t="s">
        <v>780</v>
      </c>
      <c r="H382" s="366"/>
      <c r="I382" s="366"/>
      <c r="J382" s="366"/>
      <c r="K382" s="366"/>
      <c r="L382" s="367"/>
      <c r="M382" s="22" t="s">
        <v>591</v>
      </c>
      <c r="N382" s="22" t="s">
        <v>592</v>
      </c>
      <c r="O382" s="22" t="s">
        <v>593</v>
      </c>
      <c r="P382" s="24" t="s">
        <v>594</v>
      </c>
      <c r="V382" s="7"/>
    </row>
    <row r="383" spans="2:22" ht="18" customHeight="1">
      <c r="B383" s="355" t="str">
        <f>HYPERLINK("#LAYOUT_m1!lay중YFAM2F02","YFAM2F02")</f>
        <v>YFAM2F02</v>
      </c>
      <c r="C383" s="355"/>
      <c r="E383" s="7"/>
      <c r="G383" s="366" t="s">
        <v>781</v>
      </c>
      <c r="H383" s="366"/>
      <c r="I383" s="366"/>
      <c r="J383" s="366"/>
      <c r="K383" s="366"/>
      <c r="L383" s="367"/>
      <c r="M383" s="22" t="s">
        <v>591</v>
      </c>
      <c r="N383" s="22" t="s">
        <v>592</v>
      </c>
      <c r="O383" s="22" t="s">
        <v>593</v>
      </c>
      <c r="P383" s="24" t="s">
        <v>594</v>
      </c>
      <c r="V383" s="7"/>
    </row>
    <row r="384" spans="2:22" ht="18" customHeight="1">
      <c r="B384" s="355" t="str">
        <f>HYPERLINK("#LAYOUT_m1!lay중YFAM2F03","YFAM2F03")</f>
        <v>YFAM2F03</v>
      </c>
      <c r="C384" s="355"/>
      <c r="E384" s="7"/>
      <c r="G384" s="366" t="s">
        <v>782</v>
      </c>
      <c r="H384" s="366"/>
      <c r="I384" s="366"/>
      <c r="J384" s="366"/>
      <c r="K384" s="366"/>
      <c r="L384" s="367"/>
      <c r="M384" s="22" t="s">
        <v>591</v>
      </c>
      <c r="N384" s="22" t="s">
        <v>592</v>
      </c>
      <c r="O384" s="22" t="s">
        <v>593</v>
      </c>
      <c r="P384" s="24" t="s">
        <v>594</v>
      </c>
      <c r="V384" s="7"/>
    </row>
    <row r="385" spans="2:22" ht="18" customHeight="1">
      <c r="B385" s="355" t="str">
        <f>HYPERLINK("#LAYOUT_m1!lay중YFAM2F04","YFAM2F04")</f>
        <v>YFAM2F04</v>
      </c>
      <c r="C385" s="355"/>
      <c r="E385" s="7"/>
      <c r="G385" s="366" t="s">
        <v>783</v>
      </c>
      <c r="H385" s="366"/>
      <c r="I385" s="366"/>
      <c r="J385" s="366"/>
      <c r="K385" s="366"/>
      <c r="L385" s="367"/>
      <c r="M385" s="22" t="s">
        <v>591</v>
      </c>
      <c r="N385" s="22" t="s">
        <v>592</v>
      </c>
      <c r="O385" s="22" t="s">
        <v>593</v>
      </c>
      <c r="P385" s="24" t="s">
        <v>594</v>
      </c>
      <c r="V385" s="7"/>
    </row>
    <row r="386" spans="2:22" ht="18" customHeight="1">
      <c r="B386" s="195"/>
      <c r="C386" s="195"/>
      <c r="E386" s="7"/>
      <c r="V386" s="7"/>
    </row>
    <row r="387" spans="2:22" ht="18" customHeight="1">
      <c r="B387" s="195"/>
      <c r="C387" s="195"/>
      <c r="E387" s="7"/>
      <c r="V387" s="7"/>
    </row>
    <row r="388" spans="2:22" ht="18" customHeight="1" thickBot="1">
      <c r="B388" s="195"/>
      <c r="C388" s="195"/>
      <c r="E388" s="7"/>
      <c r="F388" s="6" t="s">
        <v>904</v>
      </c>
      <c r="V388" s="7"/>
    </row>
    <row r="389" spans="2:22" ht="31.5" thickTop="1" thickBot="1">
      <c r="B389" s="195"/>
      <c r="C389" s="195"/>
      <c r="E389" s="7"/>
      <c r="G389" s="397" t="s">
        <v>643</v>
      </c>
      <c r="H389" s="397"/>
      <c r="I389" s="397"/>
      <c r="J389" s="397"/>
      <c r="K389" s="397"/>
      <c r="L389" s="398"/>
      <c r="M389" s="9" t="s">
        <v>622</v>
      </c>
      <c r="N389" s="9" t="s">
        <v>623</v>
      </c>
      <c r="O389" s="9" t="s">
        <v>107</v>
      </c>
      <c r="P389" s="10" t="s">
        <v>108</v>
      </c>
      <c r="V389" s="7"/>
    </row>
    <row r="390" spans="2:22" ht="18" customHeight="1" thickTop="1">
      <c r="B390" s="355" t="str">
        <f>HYPERLINK("#LAYOUT_m1!lay중YEDU2A01","YEDU2A01")</f>
        <v>YEDU2A01</v>
      </c>
      <c r="C390" s="355"/>
      <c r="E390" s="7"/>
      <c r="G390" s="366" t="s">
        <v>785</v>
      </c>
      <c r="H390" s="366"/>
      <c r="I390" s="366"/>
      <c r="J390" s="366"/>
      <c r="K390" s="366"/>
      <c r="L390" s="367"/>
      <c r="M390" s="20" t="s">
        <v>591</v>
      </c>
      <c r="N390" s="20" t="s">
        <v>592</v>
      </c>
      <c r="O390" s="20" t="s">
        <v>593</v>
      </c>
      <c r="P390" s="25" t="s">
        <v>594</v>
      </c>
      <c r="V390" s="7"/>
    </row>
    <row r="391" spans="2:22" ht="18" customHeight="1">
      <c r="B391" s="355" t="str">
        <f>HYPERLINK("#LAYOUT_m1!lay중YEDU2A02","YEDU2A02")</f>
        <v>YEDU2A02</v>
      </c>
      <c r="C391" s="355"/>
      <c r="E391" s="7"/>
      <c r="G391" s="366" t="s">
        <v>786</v>
      </c>
      <c r="H391" s="366"/>
      <c r="I391" s="366"/>
      <c r="J391" s="366"/>
      <c r="K391" s="366"/>
      <c r="L391" s="367"/>
      <c r="M391" s="22" t="s">
        <v>591</v>
      </c>
      <c r="N391" s="22" t="s">
        <v>592</v>
      </c>
      <c r="O391" s="22" t="s">
        <v>593</v>
      </c>
      <c r="P391" s="24" t="s">
        <v>594</v>
      </c>
      <c r="V391" s="7"/>
    </row>
    <row r="392" spans="2:22" ht="18" customHeight="1">
      <c r="B392" s="355" t="str">
        <f>HYPERLINK("#LAYOUT_m1!lay중YEDU2A03","YEDU2A03")</f>
        <v>YEDU2A03</v>
      </c>
      <c r="C392" s="355"/>
      <c r="E392" s="7"/>
      <c r="G392" s="366" t="s">
        <v>787</v>
      </c>
      <c r="H392" s="366"/>
      <c r="I392" s="366"/>
      <c r="J392" s="366"/>
      <c r="K392" s="366"/>
      <c r="L392" s="367"/>
      <c r="M392" s="22" t="s">
        <v>591</v>
      </c>
      <c r="N392" s="22" t="s">
        <v>592</v>
      </c>
      <c r="O392" s="22" t="s">
        <v>593</v>
      </c>
      <c r="P392" s="24" t="s">
        <v>594</v>
      </c>
      <c r="V392" s="7"/>
    </row>
    <row r="393" spans="2:22" ht="18" customHeight="1">
      <c r="B393" s="355" t="str">
        <f>HYPERLINK("#LAYOUT_m1!lay중YEDU2A04","YEDU2A04")</f>
        <v>YEDU2A04</v>
      </c>
      <c r="C393" s="355"/>
      <c r="E393" s="7"/>
      <c r="G393" s="366" t="s">
        <v>788</v>
      </c>
      <c r="H393" s="366"/>
      <c r="I393" s="366"/>
      <c r="J393" s="366"/>
      <c r="K393" s="366"/>
      <c r="L393" s="367"/>
      <c r="M393" s="22" t="s">
        <v>591</v>
      </c>
      <c r="N393" s="22" t="s">
        <v>592</v>
      </c>
      <c r="O393" s="22" t="s">
        <v>593</v>
      </c>
      <c r="P393" s="24" t="s">
        <v>594</v>
      </c>
      <c r="V393" s="7"/>
    </row>
    <row r="394" spans="2:22" ht="18" customHeight="1">
      <c r="B394" s="355" t="str">
        <f>HYPERLINK("#LAYOUT_m1!lay중YEDU2A05","YEDU2A05")</f>
        <v>YEDU2A05</v>
      </c>
      <c r="C394" s="355"/>
      <c r="E394" s="7"/>
      <c r="G394" s="366" t="s">
        <v>789</v>
      </c>
      <c r="H394" s="366"/>
      <c r="I394" s="366"/>
      <c r="J394" s="366"/>
      <c r="K394" s="366"/>
      <c r="L394" s="367"/>
      <c r="M394" s="22" t="s">
        <v>591</v>
      </c>
      <c r="N394" s="22" t="s">
        <v>592</v>
      </c>
      <c r="O394" s="22" t="s">
        <v>593</v>
      </c>
      <c r="P394" s="24" t="s">
        <v>594</v>
      </c>
      <c r="V394" s="7"/>
    </row>
    <row r="395" spans="2:22" ht="18" customHeight="1">
      <c r="B395" s="355" t="str">
        <f>HYPERLINK("#LAYOUT_m1!lay중YEDU2A06","YEDU2A06")</f>
        <v>YEDU2A06</v>
      </c>
      <c r="C395" s="355"/>
      <c r="E395" s="7"/>
      <c r="G395" s="366" t="s">
        <v>790</v>
      </c>
      <c r="H395" s="366"/>
      <c r="I395" s="366"/>
      <c r="J395" s="366"/>
      <c r="K395" s="366"/>
      <c r="L395" s="367"/>
      <c r="M395" s="22" t="s">
        <v>591</v>
      </c>
      <c r="N395" s="22" t="s">
        <v>592</v>
      </c>
      <c r="O395" s="22" t="s">
        <v>593</v>
      </c>
      <c r="P395" s="24" t="s">
        <v>594</v>
      </c>
      <c r="V395" s="7"/>
    </row>
    <row r="396" spans="2:22" ht="18" customHeight="1">
      <c r="B396" s="355" t="str">
        <f>HYPERLINK("#LAYOUT_m1!lay중YEDU2A07","YEDU2A07")</f>
        <v>YEDU2A07</v>
      </c>
      <c r="C396" s="355"/>
      <c r="E396" s="7"/>
      <c r="G396" s="366" t="s">
        <v>791</v>
      </c>
      <c r="H396" s="366"/>
      <c r="I396" s="366"/>
      <c r="J396" s="366"/>
      <c r="K396" s="366"/>
      <c r="L396" s="367"/>
      <c r="M396" s="22" t="s">
        <v>591</v>
      </c>
      <c r="N396" s="22" t="s">
        <v>592</v>
      </c>
      <c r="O396" s="22" t="s">
        <v>593</v>
      </c>
      <c r="P396" s="24" t="s">
        <v>594</v>
      </c>
      <c r="V396" s="7"/>
    </row>
    <row r="397" spans="2:22" ht="18" customHeight="1">
      <c r="B397" s="355" t="str">
        <f>HYPERLINK("#LAYOUT_m1!lay중YEDU2A08","YEDU2A08")</f>
        <v>YEDU2A08</v>
      </c>
      <c r="C397" s="355"/>
      <c r="E397" s="7"/>
      <c r="G397" s="366" t="s">
        <v>792</v>
      </c>
      <c r="H397" s="366"/>
      <c r="I397" s="366"/>
      <c r="J397" s="366"/>
      <c r="K397" s="366"/>
      <c r="L397" s="367"/>
      <c r="M397" s="22" t="s">
        <v>591</v>
      </c>
      <c r="N397" s="22" t="s">
        <v>592</v>
      </c>
      <c r="O397" s="22" t="s">
        <v>593</v>
      </c>
      <c r="P397" s="24" t="s">
        <v>594</v>
      </c>
      <c r="V397" s="7"/>
    </row>
    <row r="398" spans="2:22" ht="18" customHeight="1">
      <c r="B398" s="355" t="str">
        <f>HYPERLINK("#LAYOUT_m1!lay중YEDU2A09","YEDU2A09")</f>
        <v>YEDU2A09</v>
      </c>
      <c r="C398" s="355"/>
      <c r="E398" s="7"/>
      <c r="G398" s="366" t="s">
        <v>793</v>
      </c>
      <c r="H398" s="366"/>
      <c r="I398" s="366"/>
      <c r="J398" s="366"/>
      <c r="K398" s="366"/>
      <c r="L398" s="367"/>
      <c r="M398" s="22" t="s">
        <v>591</v>
      </c>
      <c r="N398" s="22" t="s">
        <v>592</v>
      </c>
      <c r="O398" s="22" t="s">
        <v>593</v>
      </c>
      <c r="P398" s="24" t="s">
        <v>594</v>
      </c>
      <c r="V398" s="7"/>
    </row>
    <row r="399" spans="2:22" ht="18" customHeight="1">
      <c r="B399" s="355" t="str">
        <f>HYPERLINK("#LAYOUT_m1!lay중YEDU2A10","YEDU2A10")</f>
        <v>YEDU2A10</v>
      </c>
      <c r="C399" s="355"/>
      <c r="E399" s="7"/>
      <c r="G399" s="366" t="s">
        <v>794</v>
      </c>
      <c r="H399" s="366"/>
      <c r="I399" s="366"/>
      <c r="J399" s="366"/>
      <c r="K399" s="366"/>
      <c r="L399" s="367"/>
      <c r="M399" s="22" t="s">
        <v>591</v>
      </c>
      <c r="N399" s="22" t="s">
        <v>592</v>
      </c>
      <c r="O399" s="22" t="s">
        <v>593</v>
      </c>
      <c r="P399" s="24" t="s">
        <v>594</v>
      </c>
      <c r="V399" s="7"/>
    </row>
    <row r="400" spans="2:22" ht="18" customHeight="1">
      <c r="B400" s="355" t="str">
        <f>HYPERLINK("#LAYOUT_m1!lay중YEDU2A11","YEDU2A11")</f>
        <v>YEDU2A11</v>
      </c>
      <c r="C400" s="355"/>
      <c r="E400" s="7"/>
      <c r="G400" s="366" t="s">
        <v>795</v>
      </c>
      <c r="H400" s="366"/>
      <c r="I400" s="366"/>
      <c r="J400" s="366"/>
      <c r="K400" s="366"/>
      <c r="L400" s="367"/>
      <c r="M400" s="22" t="s">
        <v>591</v>
      </c>
      <c r="N400" s="22" t="s">
        <v>592</v>
      </c>
      <c r="O400" s="22" t="s">
        <v>593</v>
      </c>
      <c r="P400" s="24" t="s">
        <v>594</v>
      </c>
      <c r="V400" s="7"/>
    </row>
    <row r="401" spans="2:22" ht="18" customHeight="1">
      <c r="B401" s="355" t="str">
        <f>HYPERLINK("#LAYOUT_m1!lay중YEDU2A12","YEDU2A12")</f>
        <v>YEDU2A12</v>
      </c>
      <c r="C401" s="355"/>
      <c r="E401" s="7"/>
      <c r="G401" s="366" t="s">
        <v>796</v>
      </c>
      <c r="H401" s="366"/>
      <c r="I401" s="366"/>
      <c r="J401" s="366"/>
      <c r="K401" s="366"/>
      <c r="L401" s="367"/>
      <c r="M401" s="22" t="s">
        <v>591</v>
      </c>
      <c r="N401" s="22" t="s">
        <v>592</v>
      </c>
      <c r="O401" s="22" t="s">
        <v>593</v>
      </c>
      <c r="P401" s="24" t="s">
        <v>594</v>
      </c>
      <c r="V401" s="7"/>
    </row>
    <row r="402" spans="2:22" ht="18" customHeight="1">
      <c r="B402" s="355" t="str">
        <f>HYPERLINK("#LAYOUT_m1!lay중YEDU2A13","YEDU2A13")</f>
        <v>YEDU2A13</v>
      </c>
      <c r="C402" s="355"/>
      <c r="E402" s="7"/>
      <c r="G402" s="366" t="s">
        <v>797</v>
      </c>
      <c r="H402" s="366"/>
      <c r="I402" s="366"/>
      <c r="J402" s="366"/>
      <c r="K402" s="366"/>
      <c r="L402" s="367"/>
      <c r="M402" s="22" t="s">
        <v>591</v>
      </c>
      <c r="N402" s="22" t="s">
        <v>592</v>
      </c>
      <c r="O402" s="22" t="s">
        <v>593</v>
      </c>
      <c r="P402" s="24" t="s">
        <v>594</v>
      </c>
      <c r="V402" s="7"/>
    </row>
    <row r="403" spans="2:22" ht="18" customHeight="1">
      <c r="B403" s="195"/>
      <c r="C403" s="195"/>
      <c r="E403" s="7"/>
      <c r="V403" s="7"/>
    </row>
    <row r="404" spans="2:22" ht="18" customHeight="1">
      <c r="B404" s="195"/>
      <c r="C404" s="195"/>
      <c r="E404" s="7"/>
      <c r="V404" s="7"/>
    </row>
    <row r="405" spans="2:22" ht="18" customHeight="1" thickBot="1">
      <c r="B405" s="195"/>
      <c r="C405" s="195"/>
      <c r="E405" s="7"/>
      <c r="F405" s="6" t="s">
        <v>905</v>
      </c>
      <c r="V405" s="7"/>
    </row>
    <row r="406" spans="2:22" ht="31.5" thickTop="1" thickBot="1">
      <c r="B406" s="195"/>
      <c r="C406" s="195"/>
      <c r="E406" s="7"/>
      <c r="G406" s="397" t="s">
        <v>643</v>
      </c>
      <c r="H406" s="397"/>
      <c r="I406" s="397"/>
      <c r="J406" s="397"/>
      <c r="K406" s="397"/>
      <c r="L406" s="398"/>
      <c r="M406" s="9" t="s">
        <v>622</v>
      </c>
      <c r="N406" s="9" t="s">
        <v>623</v>
      </c>
      <c r="O406" s="9" t="s">
        <v>107</v>
      </c>
      <c r="P406" s="10" t="s">
        <v>108</v>
      </c>
      <c r="V406" s="7"/>
    </row>
    <row r="407" spans="2:22" ht="18" customHeight="1" thickTop="1">
      <c r="B407" s="355" t="str">
        <f>HYPERLINK("#LAYOUT_m1!lay중YEDU3A01","YEDU3A01")</f>
        <v>YEDU3A01</v>
      </c>
      <c r="C407" s="355"/>
      <c r="E407" s="7"/>
      <c r="G407" s="366" t="s">
        <v>799</v>
      </c>
      <c r="H407" s="366"/>
      <c r="I407" s="366"/>
      <c r="J407" s="366"/>
      <c r="K407" s="366"/>
      <c r="L407" s="367"/>
      <c r="M407" s="20" t="s">
        <v>591</v>
      </c>
      <c r="N407" s="20" t="s">
        <v>592</v>
      </c>
      <c r="O407" s="20" t="s">
        <v>593</v>
      </c>
      <c r="P407" s="25" t="s">
        <v>594</v>
      </c>
      <c r="V407" s="7"/>
    </row>
    <row r="408" spans="2:22" ht="18" customHeight="1">
      <c r="B408" s="355" t="str">
        <f>HYPERLINK("#LAYOUT_m1!lay중YEDU3A02","YEDU3A02")</f>
        <v>YEDU3A02</v>
      </c>
      <c r="C408" s="355"/>
      <c r="E408" s="7"/>
      <c r="G408" s="366" t="s">
        <v>800</v>
      </c>
      <c r="H408" s="366"/>
      <c r="I408" s="366"/>
      <c r="J408" s="366"/>
      <c r="K408" s="366"/>
      <c r="L408" s="367"/>
      <c r="M408" s="22" t="s">
        <v>591</v>
      </c>
      <c r="N408" s="22" t="s">
        <v>592</v>
      </c>
      <c r="O408" s="22" t="s">
        <v>593</v>
      </c>
      <c r="P408" s="24" t="s">
        <v>594</v>
      </c>
      <c r="V408" s="7"/>
    </row>
    <row r="409" spans="2:22" ht="18" customHeight="1">
      <c r="B409" s="355" t="str">
        <f>HYPERLINK("#LAYOUT_m1!lay중YEDU3A03","YEDU3A03")</f>
        <v>YEDU3A03</v>
      </c>
      <c r="C409" s="355"/>
      <c r="E409" s="7"/>
      <c r="G409" s="366" t="s">
        <v>801</v>
      </c>
      <c r="H409" s="366"/>
      <c r="I409" s="366"/>
      <c r="J409" s="366"/>
      <c r="K409" s="366"/>
      <c r="L409" s="367"/>
      <c r="M409" s="22" t="s">
        <v>591</v>
      </c>
      <c r="N409" s="22" t="s">
        <v>592</v>
      </c>
      <c r="O409" s="22" t="s">
        <v>593</v>
      </c>
      <c r="P409" s="24" t="s">
        <v>594</v>
      </c>
      <c r="V409" s="7"/>
    </row>
    <row r="410" spans="2:22" ht="18" customHeight="1">
      <c r="B410" s="355" t="str">
        <f>HYPERLINK("#LAYOUT_m1!lay중YEDU3A04","YEDU3A04")</f>
        <v>YEDU3A04</v>
      </c>
      <c r="C410" s="355"/>
      <c r="E410" s="7"/>
      <c r="G410" s="366" t="s">
        <v>802</v>
      </c>
      <c r="H410" s="366"/>
      <c r="I410" s="366"/>
      <c r="J410" s="366"/>
      <c r="K410" s="366"/>
      <c r="L410" s="367"/>
      <c r="M410" s="22" t="s">
        <v>591</v>
      </c>
      <c r="N410" s="22" t="s">
        <v>592</v>
      </c>
      <c r="O410" s="22" t="s">
        <v>593</v>
      </c>
      <c r="P410" s="24" t="s">
        <v>594</v>
      </c>
      <c r="V410" s="7"/>
    </row>
    <row r="411" spans="2:22" ht="18" customHeight="1">
      <c r="B411" s="355" t="str">
        <f>HYPERLINK("#LAYOUT_m1!lay중YEDU3A05","YEDU3A05")</f>
        <v>YEDU3A05</v>
      </c>
      <c r="C411" s="355"/>
      <c r="E411" s="7"/>
      <c r="G411" s="366" t="s">
        <v>803</v>
      </c>
      <c r="H411" s="366"/>
      <c r="I411" s="366"/>
      <c r="J411" s="366"/>
      <c r="K411" s="366"/>
      <c r="L411" s="367"/>
      <c r="M411" s="22" t="s">
        <v>591</v>
      </c>
      <c r="N411" s="22" t="s">
        <v>592</v>
      </c>
      <c r="O411" s="22" t="s">
        <v>593</v>
      </c>
      <c r="P411" s="24" t="s">
        <v>594</v>
      </c>
      <c r="V411" s="7"/>
    </row>
    <row r="412" spans="2:22" ht="18" customHeight="1">
      <c r="B412" s="355" t="str">
        <f>HYPERLINK("#LAYOUT_m1!lay중YEDU3A06","YEDU3A06")</f>
        <v>YEDU3A06</v>
      </c>
      <c r="C412" s="355"/>
      <c r="E412" s="7"/>
      <c r="G412" s="366" t="s">
        <v>804</v>
      </c>
      <c r="H412" s="366"/>
      <c r="I412" s="366"/>
      <c r="J412" s="366"/>
      <c r="K412" s="366"/>
      <c r="L412" s="367"/>
      <c r="M412" s="22" t="s">
        <v>591</v>
      </c>
      <c r="N412" s="22" t="s">
        <v>592</v>
      </c>
      <c r="O412" s="22" t="s">
        <v>593</v>
      </c>
      <c r="P412" s="24" t="s">
        <v>594</v>
      </c>
      <c r="V412" s="7"/>
    </row>
    <row r="413" spans="2:22" ht="18" customHeight="1">
      <c r="B413" s="355" t="str">
        <f>HYPERLINK("#LAYOUT_m1!lay중YEDU3A07","YEDU3A07")</f>
        <v>YEDU3A07</v>
      </c>
      <c r="C413" s="355"/>
      <c r="E413" s="7"/>
      <c r="G413" s="366" t="s">
        <v>805</v>
      </c>
      <c r="H413" s="366"/>
      <c r="I413" s="366"/>
      <c r="J413" s="366"/>
      <c r="K413" s="366"/>
      <c r="L413" s="367"/>
      <c r="M413" s="22" t="s">
        <v>591</v>
      </c>
      <c r="N413" s="22" t="s">
        <v>592</v>
      </c>
      <c r="O413" s="22" t="s">
        <v>593</v>
      </c>
      <c r="P413" s="24" t="s">
        <v>594</v>
      </c>
      <c r="V413" s="7"/>
    </row>
    <row r="414" spans="2:22" ht="18" customHeight="1">
      <c r="B414" s="355" t="str">
        <f>HYPERLINK("#LAYOUT_m1!lay중YEDU3A08","YEDU3A08")</f>
        <v>YEDU3A08</v>
      </c>
      <c r="C414" s="355"/>
      <c r="E414" s="7"/>
      <c r="G414" s="366" t="s">
        <v>806</v>
      </c>
      <c r="H414" s="366"/>
      <c r="I414" s="366"/>
      <c r="J414" s="366"/>
      <c r="K414" s="366"/>
      <c r="L414" s="367"/>
      <c r="M414" s="22" t="s">
        <v>591</v>
      </c>
      <c r="N414" s="22" t="s">
        <v>592</v>
      </c>
      <c r="O414" s="22" t="s">
        <v>593</v>
      </c>
      <c r="P414" s="24" t="s">
        <v>594</v>
      </c>
      <c r="V414" s="7"/>
    </row>
    <row r="415" spans="2:22" ht="18" customHeight="1">
      <c r="B415" s="355" t="str">
        <f>HYPERLINK("#LAYOUT_m1!lay중YEDU3A09","YEDU3A09")</f>
        <v>YEDU3A09</v>
      </c>
      <c r="C415" s="355"/>
      <c r="E415" s="7"/>
      <c r="G415" s="366" t="s">
        <v>807</v>
      </c>
      <c r="H415" s="366"/>
      <c r="I415" s="366"/>
      <c r="J415" s="366"/>
      <c r="K415" s="366"/>
      <c r="L415" s="367"/>
      <c r="M415" s="22" t="s">
        <v>591</v>
      </c>
      <c r="N415" s="22" t="s">
        <v>592</v>
      </c>
      <c r="O415" s="22" t="s">
        <v>593</v>
      </c>
      <c r="P415" s="24" t="s">
        <v>594</v>
      </c>
      <c r="V415" s="7"/>
    </row>
    <row r="416" spans="2:22" ht="18" customHeight="1">
      <c r="B416" s="355" t="str">
        <f>HYPERLINK("#LAYOUT_m1!lay중YEDU3A10","YEDU3A10")</f>
        <v>YEDU3A10</v>
      </c>
      <c r="C416" s="355"/>
      <c r="E416" s="7"/>
      <c r="G416" s="366" t="s">
        <v>808</v>
      </c>
      <c r="H416" s="366"/>
      <c r="I416" s="366"/>
      <c r="J416" s="366"/>
      <c r="K416" s="366"/>
      <c r="L416" s="367"/>
      <c r="M416" s="22" t="s">
        <v>591</v>
      </c>
      <c r="N416" s="22" t="s">
        <v>592</v>
      </c>
      <c r="O416" s="22" t="s">
        <v>593</v>
      </c>
      <c r="P416" s="24" t="s">
        <v>594</v>
      </c>
      <c r="V416" s="7"/>
    </row>
    <row r="417" spans="2:22" ht="18" customHeight="1">
      <c r="B417" s="355" t="str">
        <f>HYPERLINK("#LAYOUT_m1!lay중YEDU3A11","YEDU3A11")</f>
        <v>YEDU3A11</v>
      </c>
      <c r="C417" s="355"/>
      <c r="E417" s="7"/>
      <c r="G417" s="366" t="s">
        <v>809</v>
      </c>
      <c r="H417" s="366"/>
      <c r="I417" s="366"/>
      <c r="J417" s="366"/>
      <c r="K417" s="366"/>
      <c r="L417" s="367"/>
      <c r="M417" s="22" t="s">
        <v>591</v>
      </c>
      <c r="N417" s="22" t="s">
        <v>592</v>
      </c>
      <c r="O417" s="22" t="s">
        <v>593</v>
      </c>
      <c r="P417" s="24" t="s">
        <v>594</v>
      </c>
      <c r="V417" s="7"/>
    </row>
    <row r="418" spans="2:22" ht="18" customHeight="1">
      <c r="B418" s="355" t="str">
        <f>HYPERLINK("#LAYOUT_m1!lay중YEDU3A12","YEDU3A12")</f>
        <v>YEDU3A12</v>
      </c>
      <c r="C418" s="355"/>
      <c r="E418" s="7"/>
      <c r="G418" s="366" t="s">
        <v>810</v>
      </c>
      <c r="H418" s="366"/>
      <c r="I418" s="366"/>
      <c r="J418" s="366"/>
      <c r="K418" s="366"/>
      <c r="L418" s="367"/>
      <c r="M418" s="22" t="s">
        <v>591</v>
      </c>
      <c r="N418" s="22" t="s">
        <v>592</v>
      </c>
      <c r="O418" s="22" t="s">
        <v>593</v>
      </c>
      <c r="P418" s="24" t="s">
        <v>594</v>
      </c>
      <c r="V418" s="7"/>
    </row>
    <row r="419" spans="2:22" ht="18" customHeight="1">
      <c r="B419" s="355" t="str">
        <f>HYPERLINK("#LAYOUT_m1!lay중YEDU3A13","YEDU3A13")</f>
        <v>YEDU3A13</v>
      </c>
      <c r="C419" s="355"/>
      <c r="E419" s="7"/>
      <c r="G419" s="366" t="s">
        <v>811</v>
      </c>
      <c r="H419" s="366"/>
      <c r="I419" s="366"/>
      <c r="J419" s="366"/>
      <c r="K419" s="366"/>
      <c r="L419" s="367"/>
      <c r="M419" s="22" t="s">
        <v>591</v>
      </c>
      <c r="N419" s="22" t="s">
        <v>592</v>
      </c>
      <c r="O419" s="22" t="s">
        <v>593</v>
      </c>
      <c r="P419" s="24" t="s">
        <v>594</v>
      </c>
      <c r="V419" s="7"/>
    </row>
    <row r="420" spans="2:22" ht="18" customHeight="1">
      <c r="B420" s="355" t="str">
        <f>HYPERLINK("#LAYOUT_m1!lay중YEDU3A14","YEDU3A14")</f>
        <v>YEDU3A14</v>
      </c>
      <c r="C420" s="355"/>
      <c r="E420" s="7"/>
      <c r="G420" s="366" t="s">
        <v>812</v>
      </c>
      <c r="H420" s="366"/>
      <c r="I420" s="366"/>
      <c r="J420" s="366"/>
      <c r="K420" s="366"/>
      <c r="L420" s="367"/>
      <c r="M420" s="22" t="s">
        <v>591</v>
      </c>
      <c r="N420" s="22" t="s">
        <v>592</v>
      </c>
      <c r="O420" s="22" t="s">
        <v>593</v>
      </c>
      <c r="P420" s="24" t="s">
        <v>594</v>
      </c>
      <c r="V420" s="7"/>
    </row>
    <row r="421" spans="2:22" ht="18" customHeight="1">
      <c r="B421" s="195"/>
      <c r="C421" s="195"/>
      <c r="E421" s="7"/>
      <c r="G421" s="28"/>
      <c r="H421" s="28"/>
      <c r="I421" s="28"/>
      <c r="J421" s="28"/>
      <c r="K421" s="28"/>
      <c r="L421" s="28"/>
      <c r="M421" s="11"/>
      <c r="N421" s="11"/>
      <c r="O421" s="11"/>
      <c r="P421" s="11"/>
      <c r="V421" s="7"/>
    </row>
    <row r="422" spans="2:22" ht="18" customHeight="1">
      <c r="B422" s="195"/>
      <c r="C422" s="195"/>
      <c r="E422" s="7"/>
      <c r="G422" s="28"/>
      <c r="H422" s="28"/>
      <c r="I422" s="28"/>
      <c r="J422" s="28"/>
      <c r="K422" s="28"/>
      <c r="L422" s="28"/>
      <c r="M422" s="11"/>
      <c r="N422" s="11"/>
      <c r="O422" s="11"/>
      <c r="P422" s="11"/>
      <c r="V422" s="7"/>
    </row>
    <row r="423" spans="2:22" ht="18" customHeight="1" thickBot="1">
      <c r="B423" s="195"/>
      <c r="C423" s="195"/>
      <c r="E423" s="7"/>
      <c r="F423" s="6" t="s">
        <v>906</v>
      </c>
      <c r="G423" s="28"/>
      <c r="H423" s="28"/>
      <c r="I423" s="28"/>
      <c r="J423" s="28"/>
      <c r="K423" s="28"/>
      <c r="L423" s="28"/>
      <c r="M423" s="11"/>
      <c r="N423" s="11"/>
      <c r="O423" s="11"/>
      <c r="P423" s="11"/>
      <c r="V423" s="7"/>
    </row>
    <row r="424" spans="2:22" ht="18" customHeight="1" thickTop="1">
      <c r="B424" s="195"/>
      <c r="C424" s="195"/>
      <c r="E424" s="7"/>
      <c r="G424" s="390" t="s">
        <v>643</v>
      </c>
      <c r="H424" s="390"/>
      <c r="I424" s="390"/>
      <c r="J424" s="390"/>
      <c r="K424" s="390"/>
      <c r="L424" s="391"/>
      <c r="M424" s="416" t="s">
        <v>418</v>
      </c>
      <c r="N424" s="413" t="s">
        <v>341</v>
      </c>
      <c r="O424" s="414"/>
      <c r="P424" s="414"/>
      <c r="Q424" s="414"/>
      <c r="R424" s="414"/>
      <c r="V424" s="7"/>
    </row>
    <row r="425" spans="2:22" ht="30.75" thickBot="1">
      <c r="B425" s="195"/>
      <c r="C425" s="195"/>
      <c r="E425" s="7"/>
      <c r="G425" s="374"/>
      <c r="H425" s="374"/>
      <c r="I425" s="374"/>
      <c r="J425" s="374"/>
      <c r="K425" s="374"/>
      <c r="L425" s="408"/>
      <c r="M425" s="417"/>
      <c r="N425" s="33" t="s">
        <v>345</v>
      </c>
      <c r="O425" s="33" t="s">
        <v>419</v>
      </c>
      <c r="P425" s="33" t="s">
        <v>347</v>
      </c>
      <c r="Q425" s="33" t="s">
        <v>348</v>
      </c>
      <c r="R425" s="34" t="s">
        <v>853</v>
      </c>
      <c r="V425" s="7"/>
    </row>
    <row r="426" spans="2:22" ht="18" customHeight="1" thickTop="1">
      <c r="B426" s="355" t="str">
        <f>HYPERLINK("#LAYOUT_m1!lay중YDLQ1A01","YDLQ1A01")</f>
        <v>YDLQ1A01</v>
      </c>
      <c r="C426" s="355"/>
      <c r="E426" s="7"/>
      <c r="G426" s="366" t="s">
        <v>907</v>
      </c>
      <c r="H426" s="366"/>
      <c r="I426" s="366"/>
      <c r="J426" s="366"/>
      <c r="K426" s="366"/>
      <c r="L426" s="367"/>
      <c r="M426" s="20" t="s">
        <v>591</v>
      </c>
      <c r="N426" s="20" t="s">
        <v>592</v>
      </c>
      <c r="O426" s="20" t="s">
        <v>593</v>
      </c>
      <c r="P426" s="20" t="s">
        <v>594</v>
      </c>
      <c r="Q426" s="20" t="s">
        <v>595</v>
      </c>
      <c r="R426" s="25" t="s">
        <v>596</v>
      </c>
      <c r="V426" s="7"/>
    </row>
    <row r="427" spans="2:22" ht="18" customHeight="1">
      <c r="B427" s="355" t="str">
        <f>HYPERLINK("#LAYOUT_m1!lay중YDLQ1A02","YDLQ1A02")</f>
        <v>YDLQ1A02</v>
      </c>
      <c r="C427" s="355"/>
      <c r="E427" s="7"/>
      <c r="G427" s="366" t="s">
        <v>908</v>
      </c>
      <c r="H427" s="366"/>
      <c r="I427" s="366"/>
      <c r="J427" s="366"/>
      <c r="K427" s="366"/>
      <c r="L427" s="367"/>
      <c r="M427" s="26" t="s">
        <v>591</v>
      </c>
      <c r="N427" s="26" t="s">
        <v>592</v>
      </c>
      <c r="O427" s="26" t="s">
        <v>593</v>
      </c>
      <c r="P427" s="26" t="s">
        <v>594</v>
      </c>
      <c r="Q427" s="26" t="s">
        <v>595</v>
      </c>
      <c r="R427" s="27" t="s">
        <v>596</v>
      </c>
      <c r="V427" s="7"/>
    </row>
    <row r="428" spans="2:22" ht="18" customHeight="1">
      <c r="B428" s="355" t="str">
        <f>HYPERLINK("#LAYOUT_m1!lay중YDLQ1A03","YDLQ1A03")</f>
        <v>YDLQ1A03</v>
      </c>
      <c r="C428" s="355"/>
      <c r="E428" s="7"/>
      <c r="G428" s="366" t="s">
        <v>909</v>
      </c>
      <c r="H428" s="366"/>
      <c r="I428" s="366"/>
      <c r="J428" s="366"/>
      <c r="K428" s="366"/>
      <c r="L428" s="367"/>
      <c r="M428" s="26" t="s">
        <v>591</v>
      </c>
      <c r="N428" s="26" t="s">
        <v>592</v>
      </c>
      <c r="O428" s="26" t="s">
        <v>593</v>
      </c>
      <c r="P428" s="26" t="s">
        <v>594</v>
      </c>
      <c r="Q428" s="26" t="s">
        <v>595</v>
      </c>
      <c r="R428" s="27" t="s">
        <v>596</v>
      </c>
      <c r="V428" s="7"/>
    </row>
    <row r="429" spans="2:22" ht="18" customHeight="1">
      <c r="B429" s="355" t="str">
        <f>HYPERLINK("#LAYOUT_m1!lay중YDLQ1A04","YDLQ1A04")</f>
        <v>YDLQ1A04</v>
      </c>
      <c r="C429" s="355"/>
      <c r="E429" s="7"/>
      <c r="G429" s="366" t="s">
        <v>910</v>
      </c>
      <c r="H429" s="366"/>
      <c r="I429" s="366"/>
      <c r="J429" s="366"/>
      <c r="K429" s="366"/>
      <c r="L429" s="367"/>
      <c r="M429" s="26" t="s">
        <v>591</v>
      </c>
      <c r="N429" s="26" t="s">
        <v>592</v>
      </c>
      <c r="O429" s="26" t="s">
        <v>593</v>
      </c>
      <c r="P429" s="26" t="s">
        <v>594</v>
      </c>
      <c r="Q429" s="26" t="s">
        <v>595</v>
      </c>
      <c r="R429" s="27" t="s">
        <v>596</v>
      </c>
      <c r="V429" s="7"/>
    </row>
    <row r="430" spans="2:22" ht="18" customHeight="1">
      <c r="B430" s="355" t="str">
        <f>HYPERLINK("#LAYOUT_m1!lay중YDLQ1A05","YDLQ1A05")</f>
        <v>YDLQ1A05</v>
      </c>
      <c r="C430" s="355"/>
      <c r="E430" s="7"/>
      <c r="G430" s="366" t="s">
        <v>911</v>
      </c>
      <c r="H430" s="366"/>
      <c r="I430" s="366"/>
      <c r="J430" s="366"/>
      <c r="K430" s="366"/>
      <c r="L430" s="367"/>
      <c r="M430" s="22" t="s">
        <v>591</v>
      </c>
      <c r="N430" s="22" t="s">
        <v>592</v>
      </c>
      <c r="O430" s="22" t="s">
        <v>593</v>
      </c>
      <c r="P430" s="22" t="s">
        <v>594</v>
      </c>
      <c r="Q430" s="22" t="s">
        <v>595</v>
      </c>
      <c r="R430" s="24" t="s">
        <v>596</v>
      </c>
      <c r="V430" s="7"/>
    </row>
    <row r="431" spans="2:22" ht="18" customHeight="1">
      <c r="B431" s="355" t="str">
        <f>HYPERLINK("#LAYOUT_m1!lay중YDLQ1A06","YDLQ1A06")</f>
        <v>YDLQ1A06</v>
      </c>
      <c r="C431" s="355"/>
      <c r="E431" s="7"/>
      <c r="G431" s="366" t="s">
        <v>912</v>
      </c>
      <c r="H431" s="366"/>
      <c r="I431" s="366"/>
      <c r="J431" s="366"/>
      <c r="K431" s="366"/>
      <c r="L431" s="367"/>
      <c r="M431" s="22" t="s">
        <v>591</v>
      </c>
      <c r="N431" s="22" t="s">
        <v>592</v>
      </c>
      <c r="O431" s="22" t="s">
        <v>593</v>
      </c>
      <c r="P431" s="22" t="s">
        <v>594</v>
      </c>
      <c r="Q431" s="22" t="s">
        <v>595</v>
      </c>
      <c r="R431" s="24" t="s">
        <v>596</v>
      </c>
      <c r="V431" s="7"/>
    </row>
    <row r="432" spans="2:22" ht="18" customHeight="1">
      <c r="B432" s="355" t="str">
        <f>HYPERLINK("#LAYOUT_m1!lay중YDLQ1A07","YDLQ1A07")</f>
        <v>YDLQ1A07</v>
      </c>
      <c r="C432" s="355"/>
      <c r="E432" s="7"/>
      <c r="G432" s="366" t="s">
        <v>913</v>
      </c>
      <c r="H432" s="366"/>
      <c r="I432" s="366"/>
      <c r="J432" s="366"/>
      <c r="K432" s="366"/>
      <c r="L432" s="367"/>
      <c r="M432" s="22" t="s">
        <v>591</v>
      </c>
      <c r="N432" s="22" t="s">
        <v>592</v>
      </c>
      <c r="O432" s="22" t="s">
        <v>593</v>
      </c>
      <c r="P432" s="22" t="s">
        <v>594</v>
      </c>
      <c r="Q432" s="22" t="s">
        <v>595</v>
      </c>
      <c r="R432" s="24" t="s">
        <v>596</v>
      </c>
      <c r="V432" s="7"/>
    </row>
    <row r="433" spans="2:22" ht="18" customHeight="1">
      <c r="B433" s="355" t="str">
        <f>HYPERLINK("#LAYOUT_m1!lay중YDLQ1A08","YDLQ1A08")</f>
        <v>YDLQ1A08</v>
      </c>
      <c r="C433" s="355"/>
      <c r="E433" s="7"/>
      <c r="G433" s="366" t="s">
        <v>914</v>
      </c>
      <c r="H433" s="366"/>
      <c r="I433" s="366"/>
      <c r="J433" s="366"/>
      <c r="K433" s="366"/>
      <c r="L433" s="367"/>
      <c r="M433" s="22" t="s">
        <v>591</v>
      </c>
      <c r="N433" s="22" t="s">
        <v>592</v>
      </c>
      <c r="O433" s="22" t="s">
        <v>593</v>
      </c>
      <c r="P433" s="22" t="s">
        <v>594</v>
      </c>
      <c r="Q433" s="22" t="s">
        <v>595</v>
      </c>
      <c r="R433" s="24" t="s">
        <v>596</v>
      </c>
      <c r="V433" s="7"/>
    </row>
    <row r="434" spans="2:22" ht="18" customHeight="1">
      <c r="B434" s="355" t="str">
        <f>HYPERLINK("#LAYOUT_m1!lay중YDLQ1A09","YDLQ1A09")</f>
        <v>YDLQ1A09</v>
      </c>
      <c r="C434" s="355"/>
      <c r="E434" s="7"/>
      <c r="G434" s="366" t="s">
        <v>915</v>
      </c>
      <c r="H434" s="366"/>
      <c r="I434" s="366"/>
      <c r="J434" s="366"/>
      <c r="K434" s="366"/>
      <c r="L434" s="367"/>
      <c r="M434" s="22" t="s">
        <v>591</v>
      </c>
      <c r="N434" s="22" t="s">
        <v>592</v>
      </c>
      <c r="O434" s="22" t="s">
        <v>593</v>
      </c>
      <c r="P434" s="22" t="s">
        <v>594</v>
      </c>
      <c r="Q434" s="22" t="s">
        <v>595</v>
      </c>
      <c r="R434" s="24" t="s">
        <v>596</v>
      </c>
      <c r="V434" s="7"/>
    </row>
    <row r="435" spans="2:22" ht="18" customHeight="1">
      <c r="B435" s="355" t="str">
        <f>HYPERLINK("#LAYOUT_m1!lay중YDLQ1A10","YDLQ1A10")</f>
        <v>YDLQ1A10</v>
      </c>
      <c r="C435" s="355"/>
      <c r="E435" s="7"/>
      <c r="G435" s="366" t="s">
        <v>916</v>
      </c>
      <c r="H435" s="366"/>
      <c r="I435" s="366"/>
      <c r="J435" s="366"/>
      <c r="K435" s="366"/>
      <c r="L435" s="367"/>
      <c r="M435" s="22" t="s">
        <v>591</v>
      </c>
      <c r="N435" s="22" t="s">
        <v>592</v>
      </c>
      <c r="O435" s="22" t="s">
        <v>593</v>
      </c>
      <c r="P435" s="22" t="s">
        <v>594</v>
      </c>
      <c r="Q435" s="22" t="s">
        <v>595</v>
      </c>
      <c r="R435" s="24" t="s">
        <v>596</v>
      </c>
      <c r="V435" s="7"/>
    </row>
    <row r="436" spans="2:22" ht="18" customHeight="1">
      <c r="B436" s="355" t="str">
        <f>HYPERLINK("#LAYOUT_m1!lay중YDLQ1A11","YDLQ1A11")</f>
        <v>YDLQ1A11</v>
      </c>
      <c r="C436" s="355"/>
      <c r="E436" s="7"/>
      <c r="G436" s="366" t="s">
        <v>917</v>
      </c>
      <c r="H436" s="366"/>
      <c r="I436" s="366"/>
      <c r="J436" s="366"/>
      <c r="K436" s="366"/>
      <c r="L436" s="367"/>
      <c r="M436" s="22" t="s">
        <v>591</v>
      </c>
      <c r="N436" s="22" t="s">
        <v>592</v>
      </c>
      <c r="O436" s="22" t="s">
        <v>593</v>
      </c>
      <c r="P436" s="22" t="s">
        <v>594</v>
      </c>
      <c r="Q436" s="22" t="s">
        <v>595</v>
      </c>
      <c r="R436" s="24" t="s">
        <v>596</v>
      </c>
      <c r="V436" s="7"/>
    </row>
    <row r="437" spans="2:22" ht="18" customHeight="1">
      <c r="B437" s="355" t="str">
        <f>HYPERLINK("#LAYOUT_m1!lay중YDLQ1A12","YDLQ1A12")</f>
        <v>YDLQ1A12</v>
      </c>
      <c r="C437" s="355"/>
      <c r="E437" s="7"/>
      <c r="G437" s="366" t="s">
        <v>918</v>
      </c>
      <c r="H437" s="366"/>
      <c r="I437" s="366"/>
      <c r="J437" s="366"/>
      <c r="K437" s="366"/>
      <c r="L437" s="367"/>
      <c r="M437" s="22" t="s">
        <v>591</v>
      </c>
      <c r="N437" s="22" t="s">
        <v>592</v>
      </c>
      <c r="O437" s="22" t="s">
        <v>593</v>
      </c>
      <c r="P437" s="22" t="s">
        <v>594</v>
      </c>
      <c r="Q437" s="22" t="s">
        <v>595</v>
      </c>
      <c r="R437" s="24" t="s">
        <v>596</v>
      </c>
      <c r="V437" s="7"/>
    </row>
    <row r="438" spans="2:22" ht="18" customHeight="1">
      <c r="B438" s="355" t="str">
        <f>HYPERLINK("#LAYOUT_m1!lay중YDLQ1A13","YDLQ1A13")</f>
        <v>YDLQ1A13</v>
      </c>
      <c r="C438" s="355"/>
      <c r="E438" s="7"/>
      <c r="G438" s="366" t="s">
        <v>919</v>
      </c>
      <c r="H438" s="366"/>
      <c r="I438" s="366"/>
      <c r="J438" s="366"/>
      <c r="K438" s="366"/>
      <c r="L438" s="367"/>
      <c r="M438" s="22" t="s">
        <v>591</v>
      </c>
      <c r="N438" s="22" t="s">
        <v>592</v>
      </c>
      <c r="O438" s="22" t="s">
        <v>593</v>
      </c>
      <c r="P438" s="22" t="s">
        <v>594</v>
      </c>
      <c r="Q438" s="22" t="s">
        <v>595</v>
      </c>
      <c r="R438" s="24" t="s">
        <v>596</v>
      </c>
      <c r="V438" s="7"/>
    </row>
    <row r="439" spans="2:22" ht="18" customHeight="1">
      <c r="B439" s="355" t="str">
        <f>HYPERLINK("#LAYOUT_m1!lay중YDLQ1A14","YDLQ1A14")</f>
        <v>YDLQ1A14</v>
      </c>
      <c r="C439" s="355"/>
      <c r="E439" s="7"/>
      <c r="G439" s="366" t="s">
        <v>920</v>
      </c>
      <c r="H439" s="366"/>
      <c r="I439" s="366"/>
      <c r="J439" s="366"/>
      <c r="K439" s="366"/>
      <c r="L439" s="367"/>
      <c r="M439" s="22" t="s">
        <v>591</v>
      </c>
      <c r="N439" s="22" t="s">
        <v>592</v>
      </c>
      <c r="O439" s="22" t="s">
        <v>593</v>
      </c>
      <c r="P439" s="22" t="s">
        <v>594</v>
      </c>
      <c r="Q439" s="22" t="s">
        <v>595</v>
      </c>
      <c r="R439" s="24" t="s">
        <v>596</v>
      </c>
      <c r="V439" s="7"/>
    </row>
    <row r="440" spans="2:22" ht="18" customHeight="1">
      <c r="B440" s="355" t="str">
        <f>HYPERLINK("#LAYOUT_m1!lay중YDLQ1A15","YDLQ1A15")</f>
        <v>YDLQ1A15</v>
      </c>
      <c r="C440" s="355"/>
      <c r="E440" s="7"/>
      <c r="G440" s="366" t="s">
        <v>921</v>
      </c>
      <c r="H440" s="366"/>
      <c r="I440" s="366"/>
      <c r="J440" s="366"/>
      <c r="K440" s="366"/>
      <c r="L440" s="367"/>
      <c r="M440" s="22" t="s">
        <v>591</v>
      </c>
      <c r="N440" s="22" t="s">
        <v>592</v>
      </c>
      <c r="O440" s="22" t="s">
        <v>593</v>
      </c>
      <c r="P440" s="22" t="s">
        <v>594</v>
      </c>
      <c r="Q440" s="22" t="s">
        <v>595</v>
      </c>
      <c r="R440" s="24" t="s">
        <v>596</v>
      </c>
      <c r="V440" s="7"/>
    </row>
    <row r="441" spans="2:22" ht="18" customHeight="1">
      <c r="B441" s="195"/>
      <c r="C441" s="195"/>
      <c r="E441" s="7"/>
      <c r="G441" s="28"/>
      <c r="H441" s="28"/>
      <c r="I441" s="28"/>
      <c r="J441" s="28"/>
      <c r="K441" s="28"/>
      <c r="L441" s="28"/>
      <c r="M441" s="11"/>
      <c r="N441" s="11"/>
      <c r="O441" s="11"/>
      <c r="P441" s="11"/>
      <c r="V441" s="7"/>
    </row>
    <row r="442" spans="2:22" ht="18" customHeight="1">
      <c r="B442" s="195"/>
      <c r="C442" s="195"/>
      <c r="E442" s="7"/>
      <c r="G442" s="28"/>
      <c r="H442" s="28"/>
      <c r="I442" s="28"/>
      <c r="J442" s="28"/>
      <c r="K442" s="28"/>
      <c r="L442" s="28"/>
      <c r="M442" s="11"/>
      <c r="N442" s="11"/>
      <c r="O442" s="11"/>
      <c r="P442" s="11"/>
      <c r="V442" s="7"/>
    </row>
    <row r="443" spans="2:22" ht="18" customHeight="1" thickBot="1">
      <c r="B443" s="195"/>
      <c r="C443" s="195"/>
      <c r="E443" s="7"/>
      <c r="F443" s="6" t="s">
        <v>922</v>
      </c>
      <c r="G443" s="28"/>
      <c r="H443" s="28"/>
      <c r="I443" s="28"/>
      <c r="J443" s="28"/>
      <c r="K443" s="28"/>
      <c r="L443" s="28"/>
      <c r="M443" s="11"/>
      <c r="N443" s="11"/>
      <c r="O443" s="11"/>
      <c r="P443" s="11"/>
      <c r="V443" s="7"/>
    </row>
    <row r="444" spans="2:22" ht="18" customHeight="1" thickTop="1">
      <c r="B444" s="195"/>
      <c r="C444" s="195"/>
      <c r="E444" s="7"/>
      <c r="G444" s="390" t="s">
        <v>643</v>
      </c>
      <c r="H444" s="390"/>
      <c r="I444" s="390"/>
      <c r="J444" s="390"/>
      <c r="K444" s="390"/>
      <c r="L444" s="391"/>
      <c r="M444" s="416" t="s">
        <v>418</v>
      </c>
      <c r="N444" s="413" t="s">
        <v>341</v>
      </c>
      <c r="O444" s="414"/>
      <c r="P444" s="414"/>
      <c r="Q444" s="414"/>
      <c r="R444" s="414"/>
      <c r="V444" s="7"/>
    </row>
    <row r="445" spans="2:22" ht="30.75" thickBot="1">
      <c r="B445" s="195"/>
      <c r="C445" s="195"/>
      <c r="E445" s="7"/>
      <c r="G445" s="374"/>
      <c r="H445" s="374"/>
      <c r="I445" s="374"/>
      <c r="J445" s="374"/>
      <c r="K445" s="374"/>
      <c r="L445" s="408"/>
      <c r="M445" s="417"/>
      <c r="N445" s="33" t="s">
        <v>345</v>
      </c>
      <c r="O445" s="33" t="s">
        <v>419</v>
      </c>
      <c r="P445" s="33" t="s">
        <v>347</v>
      </c>
      <c r="Q445" s="33" t="s">
        <v>348</v>
      </c>
      <c r="R445" s="34" t="s">
        <v>853</v>
      </c>
      <c r="V445" s="7"/>
    </row>
    <row r="446" spans="2:22" ht="18" customHeight="1" thickTop="1">
      <c r="B446" s="355" t="str">
        <f>HYPERLINK("#LAYOUT_m1!lay중YDLQ2A01","YDLQ2A01")</f>
        <v>YDLQ2A01</v>
      </c>
      <c r="C446" s="355"/>
      <c r="E446" s="7"/>
      <c r="G446" s="366" t="s">
        <v>923</v>
      </c>
      <c r="H446" s="366"/>
      <c r="I446" s="366"/>
      <c r="J446" s="366"/>
      <c r="K446" s="366"/>
      <c r="L446" s="367"/>
      <c r="M446" s="20" t="s">
        <v>591</v>
      </c>
      <c r="N446" s="20" t="s">
        <v>592</v>
      </c>
      <c r="O446" s="20" t="s">
        <v>593</v>
      </c>
      <c r="P446" s="20" t="s">
        <v>594</v>
      </c>
      <c r="Q446" s="20" t="s">
        <v>595</v>
      </c>
      <c r="R446" s="25" t="s">
        <v>596</v>
      </c>
      <c r="V446" s="7"/>
    </row>
    <row r="447" spans="2:22" ht="18" customHeight="1">
      <c r="B447" s="355" t="str">
        <f>HYPERLINK("#LAYOUT_m1!lay중YDLQ2A02","YDLQ2A02")</f>
        <v>YDLQ2A02</v>
      </c>
      <c r="C447" s="355"/>
      <c r="E447" s="7"/>
      <c r="G447" s="366" t="s">
        <v>924</v>
      </c>
      <c r="H447" s="366"/>
      <c r="I447" s="366"/>
      <c r="J447" s="366"/>
      <c r="K447" s="366"/>
      <c r="L447" s="367"/>
      <c r="M447" s="26" t="s">
        <v>591</v>
      </c>
      <c r="N447" s="26" t="s">
        <v>592</v>
      </c>
      <c r="O447" s="26" t="s">
        <v>593</v>
      </c>
      <c r="P447" s="26" t="s">
        <v>594</v>
      </c>
      <c r="Q447" s="26" t="s">
        <v>595</v>
      </c>
      <c r="R447" s="27" t="s">
        <v>596</v>
      </c>
      <c r="V447" s="7"/>
    </row>
    <row r="448" spans="2:22" ht="18" customHeight="1">
      <c r="B448" s="355" t="str">
        <f>HYPERLINK("#LAYOUT_m1!lay중YDLQ2A03","YDLQ2A03")</f>
        <v>YDLQ2A03</v>
      </c>
      <c r="C448" s="355"/>
      <c r="E448" s="7"/>
      <c r="G448" s="366" t="s">
        <v>925</v>
      </c>
      <c r="H448" s="366"/>
      <c r="I448" s="366"/>
      <c r="J448" s="366"/>
      <c r="K448" s="366"/>
      <c r="L448" s="367"/>
      <c r="M448" s="22" t="s">
        <v>591</v>
      </c>
      <c r="N448" s="22" t="s">
        <v>592</v>
      </c>
      <c r="O448" s="22" t="s">
        <v>593</v>
      </c>
      <c r="P448" s="22" t="s">
        <v>594</v>
      </c>
      <c r="Q448" s="22" t="s">
        <v>595</v>
      </c>
      <c r="R448" s="24" t="s">
        <v>596</v>
      </c>
      <c r="V448" s="7"/>
    </row>
    <row r="449" spans="2:22" ht="30.75" customHeight="1">
      <c r="B449" s="355" t="str">
        <f>HYPERLINK("#LAYOUT_m1!lay중YDLQ2A04","YDLQ2A04")</f>
        <v>YDLQ2A04</v>
      </c>
      <c r="C449" s="355"/>
      <c r="E449" s="7"/>
      <c r="G449" s="366" t="s">
        <v>926</v>
      </c>
      <c r="H449" s="366"/>
      <c r="I449" s="366"/>
      <c r="J449" s="366"/>
      <c r="K449" s="366"/>
      <c r="L449" s="367"/>
      <c r="M449" s="22" t="s">
        <v>591</v>
      </c>
      <c r="N449" s="22" t="s">
        <v>592</v>
      </c>
      <c r="O449" s="22" t="s">
        <v>593</v>
      </c>
      <c r="P449" s="22" t="s">
        <v>594</v>
      </c>
      <c r="Q449" s="22" t="s">
        <v>595</v>
      </c>
      <c r="R449" s="24" t="s">
        <v>596</v>
      </c>
      <c r="V449" s="7"/>
    </row>
    <row r="450" spans="2:22" ht="30.75" customHeight="1">
      <c r="B450" s="355" t="str">
        <f>HYPERLINK("#LAYOUT_m1!lay중YDLQ2A05","YDLQ2A05")</f>
        <v>YDLQ2A05</v>
      </c>
      <c r="C450" s="355"/>
      <c r="E450" s="7"/>
      <c r="G450" s="366" t="s">
        <v>927</v>
      </c>
      <c r="H450" s="366"/>
      <c r="I450" s="366"/>
      <c r="J450" s="366"/>
      <c r="K450" s="366"/>
      <c r="L450" s="367"/>
      <c r="M450" s="22" t="s">
        <v>591</v>
      </c>
      <c r="N450" s="22" t="s">
        <v>592</v>
      </c>
      <c r="O450" s="22" t="s">
        <v>593</v>
      </c>
      <c r="P450" s="22" t="s">
        <v>594</v>
      </c>
      <c r="Q450" s="22" t="s">
        <v>595</v>
      </c>
      <c r="R450" s="24" t="s">
        <v>596</v>
      </c>
      <c r="V450" s="7"/>
    </row>
    <row r="451" spans="2:22" ht="30.75" customHeight="1">
      <c r="B451" s="355" t="str">
        <f>HYPERLINK("#LAYOUT_m1!lay중YDLQ2A06","YDLQ2A06")</f>
        <v>YDLQ2A06</v>
      </c>
      <c r="C451" s="355"/>
      <c r="E451" s="7"/>
      <c r="G451" s="366" t="s">
        <v>928</v>
      </c>
      <c r="H451" s="366"/>
      <c r="I451" s="366"/>
      <c r="J451" s="366"/>
      <c r="K451" s="366"/>
      <c r="L451" s="367"/>
      <c r="M451" s="22" t="s">
        <v>591</v>
      </c>
      <c r="N451" s="22" t="s">
        <v>592</v>
      </c>
      <c r="O451" s="22" t="s">
        <v>593</v>
      </c>
      <c r="P451" s="22" t="s">
        <v>594</v>
      </c>
      <c r="Q451" s="22" t="s">
        <v>595</v>
      </c>
      <c r="R451" s="24" t="s">
        <v>596</v>
      </c>
      <c r="V451" s="7"/>
    </row>
    <row r="452" spans="2:22" ht="18" customHeight="1">
      <c r="B452" s="355" t="str">
        <f>HYPERLINK("#LAYOUT_m1!lay중YDLQ2A07","YDLQ2A07")</f>
        <v>YDLQ2A07</v>
      </c>
      <c r="C452" s="355"/>
      <c r="E452" s="7"/>
      <c r="G452" s="366" t="s">
        <v>929</v>
      </c>
      <c r="H452" s="366"/>
      <c r="I452" s="366"/>
      <c r="J452" s="366"/>
      <c r="K452" s="366"/>
      <c r="L452" s="367"/>
      <c r="M452" s="22" t="s">
        <v>591</v>
      </c>
      <c r="N452" s="22" t="s">
        <v>592</v>
      </c>
      <c r="O452" s="22" t="s">
        <v>593</v>
      </c>
      <c r="P452" s="22" t="s">
        <v>594</v>
      </c>
      <c r="Q452" s="22" t="s">
        <v>595</v>
      </c>
      <c r="R452" s="24" t="s">
        <v>596</v>
      </c>
      <c r="V452" s="7"/>
    </row>
    <row r="453" spans="2:22" ht="18" customHeight="1">
      <c r="B453" s="355" t="str">
        <f>HYPERLINK("#LAYOUT_m1!lay중YDLQ2A08","YDLQ2A08")</f>
        <v>YDLQ2A08</v>
      </c>
      <c r="C453" s="355"/>
      <c r="E453" s="7"/>
      <c r="G453" s="366" t="s">
        <v>930</v>
      </c>
      <c r="H453" s="366"/>
      <c r="I453" s="366"/>
      <c r="J453" s="366"/>
      <c r="K453" s="366"/>
      <c r="L453" s="367"/>
      <c r="M453" s="22" t="s">
        <v>591</v>
      </c>
      <c r="N453" s="22" t="s">
        <v>592</v>
      </c>
      <c r="O453" s="22" t="s">
        <v>593</v>
      </c>
      <c r="P453" s="22" t="s">
        <v>594</v>
      </c>
      <c r="Q453" s="22" t="s">
        <v>595</v>
      </c>
      <c r="R453" s="24" t="s">
        <v>596</v>
      </c>
      <c r="V453" s="7"/>
    </row>
    <row r="454" spans="2:22" ht="18" customHeight="1">
      <c r="B454" s="355" t="str">
        <f>HYPERLINK("#LAYOUT_m1!lay중YDLQ2A09","YDLQ2A09")</f>
        <v>YDLQ2A09</v>
      </c>
      <c r="C454" s="355"/>
      <c r="E454" s="7"/>
      <c r="G454" s="366" t="s">
        <v>931</v>
      </c>
      <c r="H454" s="366"/>
      <c r="I454" s="366"/>
      <c r="J454" s="366"/>
      <c r="K454" s="366"/>
      <c r="L454" s="367"/>
      <c r="M454" s="22" t="s">
        <v>591</v>
      </c>
      <c r="N454" s="22" t="s">
        <v>592</v>
      </c>
      <c r="O454" s="22" t="s">
        <v>593</v>
      </c>
      <c r="P454" s="22" t="s">
        <v>594</v>
      </c>
      <c r="Q454" s="22" t="s">
        <v>595</v>
      </c>
      <c r="R454" s="24" t="s">
        <v>596</v>
      </c>
      <c r="V454" s="7"/>
    </row>
    <row r="455" spans="2:22" ht="30.75" customHeight="1">
      <c r="B455" s="355" t="str">
        <f>HYPERLINK("#LAYOUT_m1!lay중YDLQ2A10","YDLQ2A10")</f>
        <v>YDLQ2A10</v>
      </c>
      <c r="C455" s="355"/>
      <c r="E455" s="7"/>
      <c r="G455" s="366" t="s">
        <v>932</v>
      </c>
      <c r="H455" s="366"/>
      <c r="I455" s="366"/>
      <c r="J455" s="366"/>
      <c r="K455" s="366"/>
      <c r="L455" s="367"/>
      <c r="M455" s="22" t="s">
        <v>591</v>
      </c>
      <c r="N455" s="22" t="s">
        <v>592</v>
      </c>
      <c r="O455" s="22" t="s">
        <v>593</v>
      </c>
      <c r="P455" s="22" t="s">
        <v>594</v>
      </c>
      <c r="Q455" s="22" t="s">
        <v>595</v>
      </c>
      <c r="R455" s="24" t="s">
        <v>596</v>
      </c>
      <c r="V455" s="7"/>
    </row>
    <row r="456" spans="2:22" ht="30.75" customHeight="1">
      <c r="B456" s="355" t="str">
        <f>HYPERLINK("#LAYOUT_m1!lay중YDLQ2A11","YDLQ2A11")</f>
        <v>YDLQ2A11</v>
      </c>
      <c r="C456" s="355"/>
      <c r="E456" s="7"/>
      <c r="G456" s="366" t="s">
        <v>933</v>
      </c>
      <c r="H456" s="366"/>
      <c r="I456" s="366"/>
      <c r="J456" s="366"/>
      <c r="K456" s="366"/>
      <c r="L456" s="367"/>
      <c r="M456" s="22" t="s">
        <v>591</v>
      </c>
      <c r="N456" s="22" t="s">
        <v>592</v>
      </c>
      <c r="O456" s="22" t="s">
        <v>593</v>
      </c>
      <c r="P456" s="22" t="s">
        <v>594</v>
      </c>
      <c r="Q456" s="22" t="s">
        <v>595</v>
      </c>
      <c r="R456" s="24" t="s">
        <v>596</v>
      </c>
      <c r="V456" s="7"/>
    </row>
    <row r="457" spans="2:22" ht="30.75" customHeight="1">
      <c r="B457" s="355" t="str">
        <f>HYPERLINK("#LAYOUT_m1!lay중YDLQ2A12","YDLQ2A12")</f>
        <v>YDLQ2A12</v>
      </c>
      <c r="C457" s="355"/>
      <c r="E457" s="7"/>
      <c r="G457" s="366" t="s">
        <v>934</v>
      </c>
      <c r="H457" s="366"/>
      <c r="I457" s="366"/>
      <c r="J457" s="366"/>
      <c r="K457" s="366"/>
      <c r="L457" s="367"/>
      <c r="M457" s="22" t="s">
        <v>591</v>
      </c>
      <c r="N457" s="22" t="s">
        <v>592</v>
      </c>
      <c r="O457" s="22" t="s">
        <v>593</v>
      </c>
      <c r="P457" s="22" t="s">
        <v>594</v>
      </c>
      <c r="Q457" s="22" t="s">
        <v>595</v>
      </c>
      <c r="R457" s="24" t="s">
        <v>596</v>
      </c>
      <c r="V457" s="7"/>
    </row>
    <row r="458" spans="2:22" ht="18" customHeight="1">
      <c r="B458" s="355" t="str">
        <f>HYPERLINK("#LAYOUT_m1!lay중YDLQ2A13","YDLQ2A13")</f>
        <v>YDLQ2A13</v>
      </c>
      <c r="C458" s="355"/>
      <c r="E458" s="7"/>
      <c r="G458" s="366" t="s">
        <v>935</v>
      </c>
      <c r="H458" s="366"/>
      <c r="I458" s="366"/>
      <c r="J458" s="366"/>
      <c r="K458" s="366"/>
      <c r="L458" s="367"/>
      <c r="M458" s="22" t="s">
        <v>591</v>
      </c>
      <c r="N458" s="22" t="s">
        <v>592</v>
      </c>
      <c r="O458" s="22" t="s">
        <v>593</v>
      </c>
      <c r="P458" s="22" t="s">
        <v>594</v>
      </c>
      <c r="Q458" s="22" t="s">
        <v>595</v>
      </c>
      <c r="R458" s="24" t="s">
        <v>596</v>
      </c>
      <c r="V458" s="7"/>
    </row>
    <row r="459" spans="2:22" ht="18" customHeight="1">
      <c r="B459" s="355" t="str">
        <f>HYPERLINK("#LAYOUT_m1!lay중YDLQ2A14","YDLQ2A14")</f>
        <v>YDLQ2A14</v>
      </c>
      <c r="C459" s="355"/>
      <c r="E459" s="7"/>
      <c r="G459" s="366" t="s">
        <v>936</v>
      </c>
      <c r="H459" s="366"/>
      <c r="I459" s="366"/>
      <c r="J459" s="366"/>
      <c r="K459" s="366"/>
      <c r="L459" s="367"/>
      <c r="M459" s="22" t="s">
        <v>591</v>
      </c>
      <c r="N459" s="22" t="s">
        <v>592</v>
      </c>
      <c r="O459" s="22" t="s">
        <v>593</v>
      </c>
      <c r="P459" s="22" t="s">
        <v>594</v>
      </c>
      <c r="Q459" s="22" t="s">
        <v>595</v>
      </c>
      <c r="R459" s="24" t="s">
        <v>596</v>
      </c>
      <c r="V459" s="7"/>
    </row>
    <row r="460" spans="2:22" ht="18" customHeight="1">
      <c r="B460" s="355" t="str">
        <f>HYPERLINK("#LAYOUT_m1!lay중YDLQ2A15","YDLQ2A15")</f>
        <v>YDLQ2A15</v>
      </c>
      <c r="C460" s="355"/>
      <c r="E460" s="7"/>
      <c r="G460" s="366" t="s">
        <v>937</v>
      </c>
      <c r="H460" s="366"/>
      <c r="I460" s="366"/>
      <c r="J460" s="366"/>
      <c r="K460" s="366"/>
      <c r="L460" s="367"/>
      <c r="M460" s="22" t="s">
        <v>591</v>
      </c>
      <c r="N460" s="22" t="s">
        <v>592</v>
      </c>
      <c r="O460" s="22" t="s">
        <v>593</v>
      </c>
      <c r="P460" s="22" t="s">
        <v>594</v>
      </c>
      <c r="Q460" s="22" t="s">
        <v>595</v>
      </c>
      <c r="R460" s="24" t="s">
        <v>596</v>
      </c>
      <c r="V460" s="7"/>
    </row>
    <row r="461" spans="2:22" ht="18" customHeight="1">
      <c r="B461" s="195"/>
      <c r="C461" s="195"/>
      <c r="E461" s="7"/>
      <c r="G461" s="28"/>
      <c r="H461" s="28"/>
      <c r="I461" s="28"/>
      <c r="J461" s="28"/>
      <c r="K461" s="28"/>
      <c r="L461" s="28"/>
      <c r="M461" s="11"/>
      <c r="N461" s="11"/>
      <c r="O461" s="11"/>
      <c r="P461" s="11"/>
      <c r="V461" s="7"/>
    </row>
    <row r="462" spans="2:22" ht="18" customHeight="1">
      <c r="B462" s="195"/>
      <c r="C462" s="195"/>
      <c r="E462" s="7"/>
      <c r="V462" s="7"/>
    </row>
    <row r="463" spans="2:22" ht="18" customHeight="1">
      <c r="B463" s="355" t="str">
        <f>HYPERLINK("#LAYOUT_m1!lay중YPHY1A00","YPHY1A00")</f>
        <v>YPHY1A00</v>
      </c>
      <c r="C463" s="355"/>
      <c r="E463" s="7"/>
      <c r="F463" s="6" t="s">
        <v>938</v>
      </c>
      <c r="V463" s="7"/>
    </row>
    <row r="464" spans="2:22" ht="18" customHeight="1">
      <c r="B464" s="195"/>
      <c r="C464" s="195"/>
      <c r="E464" s="7"/>
      <c r="G464" s="396" t="s">
        <v>814</v>
      </c>
      <c r="H464" s="396"/>
      <c r="I464" s="396" t="s">
        <v>815</v>
      </c>
      <c r="J464" s="396"/>
      <c r="V464" s="7"/>
    </row>
    <row r="465" spans="2:22" ht="18" customHeight="1">
      <c r="B465" s="195"/>
      <c r="C465" s="195"/>
      <c r="E465" s="7"/>
      <c r="G465" s="396" t="s">
        <v>816</v>
      </c>
      <c r="H465" s="396"/>
      <c r="I465" s="396" t="s">
        <v>817</v>
      </c>
      <c r="J465" s="396"/>
      <c r="V465" s="7"/>
    </row>
    <row r="466" spans="2:22" ht="18" customHeight="1">
      <c r="B466" s="195"/>
      <c r="C466" s="195"/>
      <c r="E466" s="7"/>
      <c r="V466" s="7"/>
    </row>
    <row r="467" spans="2:22" ht="18" customHeight="1">
      <c r="B467" s="195"/>
      <c r="C467" s="195"/>
      <c r="E467" s="7"/>
      <c r="V467" s="7"/>
    </row>
    <row r="468" spans="2:22" ht="18" customHeight="1">
      <c r="B468" s="355" t="str">
        <f>HYPERLINK("#LAYOUT_m1!lay중YPHY1B00","YPHY1B00")</f>
        <v>YPHY1B00</v>
      </c>
      <c r="C468" s="355"/>
      <c r="E468" s="7"/>
      <c r="F468" s="6" t="s">
        <v>939</v>
      </c>
      <c r="V468" s="7"/>
    </row>
    <row r="469" spans="2:22" ht="18" customHeight="1">
      <c r="B469" s="195"/>
      <c r="C469" s="195"/>
      <c r="E469" s="7"/>
      <c r="G469" s="6" t="s">
        <v>819</v>
      </c>
      <c r="H469" s="6" t="s">
        <v>820</v>
      </c>
      <c r="I469" s="6" t="s">
        <v>821</v>
      </c>
      <c r="V469" s="7"/>
    </row>
    <row r="470" spans="2:22" ht="18" customHeight="1">
      <c r="B470" s="195"/>
      <c r="C470" s="195"/>
      <c r="E470" s="7"/>
      <c r="G470" s="6" t="s">
        <v>822</v>
      </c>
      <c r="H470" s="6" t="s">
        <v>823</v>
      </c>
      <c r="V470" s="7"/>
    </row>
    <row r="471" spans="2:22" ht="18" customHeight="1">
      <c r="B471" s="195"/>
      <c r="C471" s="195"/>
      <c r="E471" s="7"/>
      <c r="V471" s="7"/>
    </row>
    <row r="472" spans="2:22" ht="18" customHeight="1">
      <c r="B472" s="195"/>
      <c r="C472" s="195"/>
      <c r="E472" s="7"/>
      <c r="V472" s="7"/>
    </row>
    <row r="473" spans="2:22" ht="18" customHeight="1">
      <c r="B473" s="355" t="str">
        <f>HYPERLINK("#LAYOUT_m1!lay중YPHY1C00","YPHY1C00")</f>
        <v>YPHY1C00</v>
      </c>
      <c r="C473" s="355"/>
      <c r="E473" s="7"/>
      <c r="F473" s="6" t="s">
        <v>940</v>
      </c>
      <c r="V473" s="7"/>
    </row>
    <row r="474" spans="2:22" ht="18" customHeight="1">
      <c r="B474" s="195"/>
      <c r="C474" s="195"/>
      <c r="E474" s="7"/>
      <c r="G474" s="6" t="s">
        <v>1596</v>
      </c>
      <c r="V474" s="7"/>
    </row>
    <row r="475" spans="2:22" ht="18" customHeight="1">
      <c r="B475" s="195"/>
      <c r="C475" s="195"/>
      <c r="E475" s="7"/>
      <c r="V475" s="7"/>
    </row>
    <row r="476" spans="2:22" ht="18" customHeight="1">
      <c r="B476" s="195"/>
      <c r="C476" s="195"/>
      <c r="E476" s="7"/>
      <c r="V476" s="7"/>
    </row>
    <row r="477" spans="2:22" ht="18" customHeight="1">
      <c r="B477" s="195"/>
      <c r="C477" s="195"/>
      <c r="E477" s="7"/>
      <c r="F477" s="6" t="s">
        <v>941</v>
      </c>
      <c r="V477" s="7"/>
    </row>
    <row r="478" spans="2:22" ht="18" customHeight="1">
      <c r="B478" s="355" t="str">
        <f>HYPERLINK("#LAYOUT_m1!lay중YPHY2A00","YPHY2A00")</f>
        <v>YPHY2A00</v>
      </c>
      <c r="C478" s="355"/>
      <c r="E478" s="7"/>
      <c r="G478" s="407" t="s">
        <v>1597</v>
      </c>
      <c r="H478" s="407"/>
      <c r="I478" s="407"/>
      <c r="V478" s="7"/>
    </row>
    <row r="479" spans="2:22" ht="18" customHeight="1">
      <c r="B479" s="355" t="str">
        <f>HYPERLINK("#LAYOUT_m1!lay중YPHY2B00","YPHY2B00")</f>
        <v>YPHY2B00</v>
      </c>
      <c r="C479" s="355"/>
      <c r="E479" s="7"/>
      <c r="G479" s="407" t="s">
        <v>1598</v>
      </c>
      <c r="H479" s="407"/>
      <c r="I479" s="407"/>
      <c r="V479" s="7"/>
    </row>
    <row r="480" spans="2:22" ht="18" customHeight="1">
      <c r="E480" s="7"/>
      <c r="V480" s="7"/>
    </row>
    <row r="481" spans="5:22" ht="9.75" customHeight="1"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</sheetData>
  <sheetProtection algorithmName="SHA-512" hashValue="H4mYf7GhrCNpTwlkwaBoVaKohE5ieFgoArdPKg4OW9wrtYBlZeCD/BFKo4a6BGUVqee4Ut+cFWPT29zXnhibiw==" saltValue="v6+YLWfc5y0PTtUArb5mGQ==" spinCount="100000" sheet="1" objects="1" scenarios="1"/>
  <mergeCells count="639">
    <mergeCell ref="M444:M445"/>
    <mergeCell ref="N444:R444"/>
    <mergeCell ref="G446:L446"/>
    <mergeCell ref="G436:L436"/>
    <mergeCell ref="G437:L437"/>
    <mergeCell ref="G438:L438"/>
    <mergeCell ref="G439:L439"/>
    <mergeCell ref="G440:L440"/>
    <mergeCell ref="G459:L459"/>
    <mergeCell ref="G453:L453"/>
    <mergeCell ref="G454:L454"/>
    <mergeCell ref="G455:L455"/>
    <mergeCell ref="G456:L456"/>
    <mergeCell ref="G457:L457"/>
    <mergeCell ref="G458:L458"/>
    <mergeCell ref="G447:L447"/>
    <mergeCell ref="G448:L448"/>
    <mergeCell ref="G450:L450"/>
    <mergeCell ref="G451:L451"/>
    <mergeCell ref="G452:L452"/>
    <mergeCell ref="M424:M425"/>
    <mergeCell ref="N424:R424"/>
    <mergeCell ref="K335:M335"/>
    <mergeCell ref="K336:M336"/>
    <mergeCell ref="K337:M337"/>
    <mergeCell ref="K338:M338"/>
    <mergeCell ref="G337:I337"/>
    <mergeCell ref="G338:I338"/>
    <mergeCell ref="K323:M323"/>
    <mergeCell ref="K324:M324"/>
    <mergeCell ref="K325:M325"/>
    <mergeCell ref="K326:M326"/>
    <mergeCell ref="K327:M327"/>
    <mergeCell ref="K328:M328"/>
    <mergeCell ref="K329:M329"/>
    <mergeCell ref="K330:M330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M99:P99"/>
    <mergeCell ref="Q99:T99"/>
    <mergeCell ref="G417:L417"/>
    <mergeCell ref="G418:L418"/>
    <mergeCell ref="G419:L419"/>
    <mergeCell ref="G414:L414"/>
    <mergeCell ref="G415:L415"/>
    <mergeCell ref="G416:L416"/>
    <mergeCell ref="G411:L411"/>
    <mergeCell ref="G412:L412"/>
    <mergeCell ref="M125:M126"/>
    <mergeCell ref="N125:R125"/>
    <mergeCell ref="G113:L114"/>
    <mergeCell ref="G115:L115"/>
    <mergeCell ref="G116:L116"/>
    <mergeCell ref="G120:H120"/>
    <mergeCell ref="G121:H121"/>
    <mergeCell ref="G107:L107"/>
    <mergeCell ref="G108:L108"/>
    <mergeCell ref="G109:L109"/>
    <mergeCell ref="G125:L126"/>
    <mergeCell ref="M113:P113"/>
    <mergeCell ref="Q113:T113"/>
    <mergeCell ref="G336:I336"/>
    <mergeCell ref="G478:I478"/>
    <mergeCell ref="G479:I479"/>
    <mergeCell ref="G420:L420"/>
    <mergeCell ref="G464:H464"/>
    <mergeCell ref="I464:J464"/>
    <mergeCell ref="G465:H465"/>
    <mergeCell ref="I465:J465"/>
    <mergeCell ref="G424:L425"/>
    <mergeCell ref="G430:L430"/>
    <mergeCell ref="G431:L431"/>
    <mergeCell ref="G432:L432"/>
    <mergeCell ref="G433:L433"/>
    <mergeCell ref="G434:L434"/>
    <mergeCell ref="G435:L435"/>
    <mergeCell ref="G427:L427"/>
    <mergeCell ref="G428:L428"/>
    <mergeCell ref="G429:L429"/>
    <mergeCell ref="G426:L426"/>
    <mergeCell ref="G449:L449"/>
    <mergeCell ref="G444:L445"/>
    <mergeCell ref="G460:L460"/>
    <mergeCell ref="G398:L398"/>
    <mergeCell ref="G399:L399"/>
    <mergeCell ref="G400:L400"/>
    <mergeCell ref="G395:L395"/>
    <mergeCell ref="G396:L396"/>
    <mergeCell ref="G397:L397"/>
    <mergeCell ref="G413:L413"/>
    <mergeCell ref="G408:L408"/>
    <mergeCell ref="G409:L409"/>
    <mergeCell ref="G410:L410"/>
    <mergeCell ref="G401:L401"/>
    <mergeCell ref="G402:L402"/>
    <mergeCell ref="G406:L406"/>
    <mergeCell ref="G407:L407"/>
    <mergeCell ref="G382:L382"/>
    <mergeCell ref="G383:L383"/>
    <mergeCell ref="G384:L384"/>
    <mergeCell ref="G379:L379"/>
    <mergeCell ref="G380:L380"/>
    <mergeCell ref="G381:L381"/>
    <mergeCell ref="G392:L392"/>
    <mergeCell ref="G393:L393"/>
    <mergeCell ref="G394:L394"/>
    <mergeCell ref="G385:L385"/>
    <mergeCell ref="G389:L389"/>
    <mergeCell ref="G390:L390"/>
    <mergeCell ref="G391:L391"/>
    <mergeCell ref="G372:L372"/>
    <mergeCell ref="G367:L367"/>
    <mergeCell ref="G368:L368"/>
    <mergeCell ref="G369:L369"/>
    <mergeCell ref="G376:L376"/>
    <mergeCell ref="G377:L377"/>
    <mergeCell ref="G378:L378"/>
    <mergeCell ref="G373:L373"/>
    <mergeCell ref="G374:L374"/>
    <mergeCell ref="G375:L375"/>
    <mergeCell ref="G365:L365"/>
    <mergeCell ref="G366:L366"/>
    <mergeCell ref="G357:H357"/>
    <mergeCell ref="I357:J357"/>
    <mergeCell ref="G361:L361"/>
    <mergeCell ref="G362:L362"/>
    <mergeCell ref="G363:L363"/>
    <mergeCell ref="G370:L370"/>
    <mergeCell ref="G371:L371"/>
    <mergeCell ref="G350:L350"/>
    <mergeCell ref="G355:H355"/>
    <mergeCell ref="I355:J355"/>
    <mergeCell ref="G356:H356"/>
    <mergeCell ref="I356:J356"/>
    <mergeCell ref="G347:L347"/>
    <mergeCell ref="G348:L348"/>
    <mergeCell ref="G349:L349"/>
    <mergeCell ref="G364:L364"/>
    <mergeCell ref="G344:L344"/>
    <mergeCell ref="G345:L345"/>
    <mergeCell ref="G346:L346"/>
    <mergeCell ref="G342:L342"/>
    <mergeCell ref="G343:L343"/>
    <mergeCell ref="K333:M333"/>
    <mergeCell ref="K334:M334"/>
    <mergeCell ref="G333:I333"/>
    <mergeCell ref="G334:I334"/>
    <mergeCell ref="G335:I335"/>
    <mergeCell ref="G323:I323"/>
    <mergeCell ref="K331:M331"/>
    <mergeCell ref="K332:M332"/>
    <mergeCell ref="G305:L305"/>
    <mergeCell ref="G306:L306"/>
    <mergeCell ref="G307:L307"/>
    <mergeCell ref="G308:L308"/>
    <mergeCell ref="G332:I332"/>
    <mergeCell ref="G309:L309"/>
    <mergeCell ref="G310:L310"/>
    <mergeCell ref="G311:L311"/>
    <mergeCell ref="G318:L318"/>
    <mergeCell ref="G319:L319"/>
    <mergeCell ref="G312:L312"/>
    <mergeCell ref="G313:L313"/>
    <mergeCell ref="G314:L314"/>
    <mergeCell ref="G299:L299"/>
    <mergeCell ref="G300:L300"/>
    <mergeCell ref="G301:L301"/>
    <mergeCell ref="G296:L296"/>
    <mergeCell ref="G297:L297"/>
    <mergeCell ref="G298:L298"/>
    <mergeCell ref="G315:L315"/>
    <mergeCell ref="G316:L316"/>
    <mergeCell ref="G317:L317"/>
    <mergeCell ref="G287:L287"/>
    <mergeCell ref="G288:L288"/>
    <mergeCell ref="G289:L289"/>
    <mergeCell ref="G284:L284"/>
    <mergeCell ref="G285:L285"/>
    <mergeCell ref="G286:L286"/>
    <mergeCell ref="G293:L293"/>
    <mergeCell ref="G294:L294"/>
    <mergeCell ref="G295:L295"/>
    <mergeCell ref="G290:L290"/>
    <mergeCell ref="G291:L291"/>
    <mergeCell ref="G292:L292"/>
    <mergeCell ref="G275:L275"/>
    <mergeCell ref="G276:L276"/>
    <mergeCell ref="G277:L277"/>
    <mergeCell ref="G272:L272"/>
    <mergeCell ref="G273:L273"/>
    <mergeCell ref="G274:L274"/>
    <mergeCell ref="G281:L281"/>
    <mergeCell ref="G282:L282"/>
    <mergeCell ref="G283:L283"/>
    <mergeCell ref="G278:L278"/>
    <mergeCell ref="G279:L279"/>
    <mergeCell ref="G280:L280"/>
    <mergeCell ref="G259:L259"/>
    <mergeCell ref="G260:L260"/>
    <mergeCell ref="G261:L261"/>
    <mergeCell ref="G256:L256"/>
    <mergeCell ref="G257:L257"/>
    <mergeCell ref="G258:L258"/>
    <mergeCell ref="G269:L269"/>
    <mergeCell ref="G270:L270"/>
    <mergeCell ref="G271:L271"/>
    <mergeCell ref="G265:L265"/>
    <mergeCell ref="G266:L266"/>
    <mergeCell ref="G267:L267"/>
    <mergeCell ref="G268:L268"/>
    <mergeCell ref="G245:L245"/>
    <mergeCell ref="G233:L233"/>
    <mergeCell ref="G234:L234"/>
    <mergeCell ref="G235:L235"/>
    <mergeCell ref="G239:L239"/>
    <mergeCell ref="G253:L253"/>
    <mergeCell ref="G254:L254"/>
    <mergeCell ref="G255:L255"/>
    <mergeCell ref="G246:L246"/>
    <mergeCell ref="G247:L247"/>
    <mergeCell ref="G251:L251"/>
    <mergeCell ref="G252:L252"/>
    <mergeCell ref="G231:L231"/>
    <mergeCell ref="G232:L232"/>
    <mergeCell ref="G223:L223"/>
    <mergeCell ref="G224:L224"/>
    <mergeCell ref="G225:L225"/>
    <mergeCell ref="G226:L226"/>
    <mergeCell ref="G230:L230"/>
    <mergeCell ref="G240:L240"/>
    <mergeCell ref="G241:L241"/>
    <mergeCell ref="G222:L222"/>
    <mergeCell ref="G181:L181"/>
    <mergeCell ref="G182:L182"/>
    <mergeCell ref="G218:L218"/>
    <mergeCell ref="G219:L219"/>
    <mergeCell ref="G186:L186"/>
    <mergeCell ref="G187:L187"/>
    <mergeCell ref="G194:L194"/>
    <mergeCell ref="G195:L195"/>
    <mergeCell ref="G196:L196"/>
    <mergeCell ref="G197:L197"/>
    <mergeCell ref="G198:L198"/>
    <mergeCell ref="G199:L199"/>
    <mergeCell ref="G188:L188"/>
    <mergeCell ref="G189:L189"/>
    <mergeCell ref="G190:L190"/>
    <mergeCell ref="G208:H208"/>
    <mergeCell ref="G212:I212"/>
    <mergeCell ref="G213:I213"/>
    <mergeCell ref="G214:I214"/>
    <mergeCell ref="G200:L200"/>
    <mergeCell ref="G191:L191"/>
    <mergeCell ref="G192:L192"/>
    <mergeCell ref="G193:L193"/>
    <mergeCell ref="G178:L178"/>
    <mergeCell ref="G179:L179"/>
    <mergeCell ref="G180:L180"/>
    <mergeCell ref="G220:L220"/>
    <mergeCell ref="G221:L221"/>
    <mergeCell ref="G201:L201"/>
    <mergeCell ref="G202:L202"/>
    <mergeCell ref="G206:H206"/>
    <mergeCell ref="G207:H207"/>
    <mergeCell ref="I206:J206"/>
    <mergeCell ref="I207:J207"/>
    <mergeCell ref="G169:L169"/>
    <mergeCell ref="G170:L170"/>
    <mergeCell ref="G171:L171"/>
    <mergeCell ref="G166:L166"/>
    <mergeCell ref="G167:L167"/>
    <mergeCell ref="G168:L168"/>
    <mergeCell ref="G175:L175"/>
    <mergeCell ref="G176:L176"/>
    <mergeCell ref="G177:L177"/>
    <mergeCell ref="G172:L172"/>
    <mergeCell ref="G173:L173"/>
    <mergeCell ref="G174:L174"/>
    <mergeCell ref="G93:L93"/>
    <mergeCell ref="G94:L94"/>
    <mergeCell ref="G99:L100"/>
    <mergeCell ref="G130:L130"/>
    <mergeCell ref="G131:L131"/>
    <mergeCell ref="G132:L132"/>
    <mergeCell ref="G133:L133"/>
    <mergeCell ref="G134:L134"/>
    <mergeCell ref="G135:L135"/>
    <mergeCell ref="G127:L127"/>
    <mergeCell ref="G128:L128"/>
    <mergeCell ref="G129:L129"/>
    <mergeCell ref="G101:L101"/>
    <mergeCell ref="G102:L102"/>
    <mergeCell ref="G103:L103"/>
    <mergeCell ref="G104:L104"/>
    <mergeCell ref="G105:L105"/>
    <mergeCell ref="G106:L106"/>
    <mergeCell ref="G86:L86"/>
    <mergeCell ref="G81:L81"/>
    <mergeCell ref="G82:L82"/>
    <mergeCell ref="G83:L83"/>
    <mergeCell ref="G90:L90"/>
    <mergeCell ref="G91:L91"/>
    <mergeCell ref="G92:L92"/>
    <mergeCell ref="G87:L87"/>
    <mergeCell ref="G88:L88"/>
    <mergeCell ref="G89:L89"/>
    <mergeCell ref="G74:L74"/>
    <mergeCell ref="G75:L75"/>
    <mergeCell ref="G79:L79"/>
    <mergeCell ref="G80:L80"/>
    <mergeCell ref="G71:L71"/>
    <mergeCell ref="G72:L72"/>
    <mergeCell ref="G73:L73"/>
    <mergeCell ref="G84:L84"/>
    <mergeCell ref="G85:L85"/>
    <mergeCell ref="G64:L64"/>
    <mergeCell ref="G48:L49"/>
    <mergeCell ref="G50:L51"/>
    <mergeCell ref="G68:L68"/>
    <mergeCell ref="G69:L69"/>
    <mergeCell ref="G70:L70"/>
    <mergeCell ref="G65:L65"/>
    <mergeCell ref="G66:L66"/>
    <mergeCell ref="G67:L67"/>
    <mergeCell ref="G63:L63"/>
    <mergeCell ref="G52:L53"/>
    <mergeCell ref="F2:U3"/>
    <mergeCell ref="G20:L21"/>
    <mergeCell ref="M20:N20"/>
    <mergeCell ref="O20:P20"/>
    <mergeCell ref="M21:N21"/>
    <mergeCell ref="O21:P21"/>
    <mergeCell ref="G22:L23"/>
    <mergeCell ref="M22:N22"/>
    <mergeCell ref="O22:P22"/>
    <mergeCell ref="M23:N23"/>
    <mergeCell ref="O23:P23"/>
    <mergeCell ref="F5:U5"/>
    <mergeCell ref="F6:U6"/>
    <mergeCell ref="G24:L25"/>
    <mergeCell ref="M24:N24"/>
    <mergeCell ref="O24:P24"/>
    <mergeCell ref="M25:N25"/>
    <mergeCell ref="O25:P25"/>
    <mergeCell ref="G46:L47"/>
    <mergeCell ref="G40:L41"/>
    <mergeCell ref="G42:L43"/>
    <mergeCell ref="G36:L37"/>
    <mergeCell ref="G38:L39"/>
    <mergeCell ref="O29:P29"/>
    <mergeCell ref="O26:P26"/>
    <mergeCell ref="G34:L35"/>
    <mergeCell ref="O28:P28"/>
    <mergeCell ref="M29:N29"/>
    <mergeCell ref="G26:L29"/>
    <mergeCell ref="M26:N26"/>
    <mergeCell ref="G31:M31"/>
    <mergeCell ref="G32:L33"/>
    <mergeCell ref="G44:L45"/>
    <mergeCell ref="M27:N27"/>
    <mergeCell ref="O27:P27"/>
    <mergeCell ref="M28:N28"/>
    <mergeCell ref="C26:C29"/>
    <mergeCell ref="B26:B29"/>
    <mergeCell ref="B10:C10"/>
    <mergeCell ref="B11:C11"/>
    <mergeCell ref="B14:C14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3:C43"/>
    <mergeCell ref="B42:C42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6:C56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119:C119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8:C138"/>
    <mergeCell ref="B147:C147"/>
    <mergeCell ref="B156:C15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5:C205"/>
    <mergeCell ref="B211:C211"/>
    <mergeCell ref="B219:C219"/>
    <mergeCell ref="B220:C220"/>
    <mergeCell ref="B221:C221"/>
    <mergeCell ref="B222:C222"/>
    <mergeCell ref="B223:C223"/>
    <mergeCell ref="B224:C224"/>
    <mergeCell ref="B225:C225"/>
    <mergeCell ref="B231:C231"/>
    <mergeCell ref="B232:C232"/>
    <mergeCell ref="B233:C233"/>
    <mergeCell ref="B234:C234"/>
    <mergeCell ref="B235:C235"/>
    <mergeCell ref="B240:C240"/>
    <mergeCell ref="B241:C241"/>
    <mergeCell ref="B246:C246"/>
    <mergeCell ref="B247:C247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79:C479"/>
    <mergeCell ref="B456:C456"/>
    <mergeCell ref="B457:C457"/>
    <mergeCell ref="B458:C458"/>
    <mergeCell ref="B459:C459"/>
    <mergeCell ref="B460:C460"/>
    <mergeCell ref="B463:C463"/>
    <mergeCell ref="B468:C468"/>
    <mergeCell ref="B473:C473"/>
    <mergeCell ref="B478:C478"/>
  </mergeCells>
  <phoneticPr fontId="1" type="noConversion"/>
  <pageMargins left="0.25" right="0.25" top="0.75" bottom="0.75" header="0.3" footer="0.3"/>
  <pageSetup paperSize="9" scale="41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328"/>
  <sheetViews>
    <sheetView showGridLines="0" zoomScaleNormal="100" workbookViewId="0">
      <pane ySplit="6" topLeftCell="A7" activePane="bottomLeft" state="frozen"/>
      <selection pane="bottomLeft" activeCell="F2" sqref="F2:U3"/>
    </sheetView>
  </sheetViews>
  <sheetFormatPr defaultColWidth="9" defaultRowHeight="18" customHeight="1"/>
  <cols>
    <col min="1" max="1" width="1.625" style="6" customWidth="1"/>
    <col min="2" max="3" width="12.375" style="1" customWidth="1"/>
    <col min="4" max="4" width="1.625" style="2" customWidth="1"/>
    <col min="5" max="5" width="1.625" style="6" customWidth="1"/>
    <col min="6" max="6" width="5.125" style="6" customWidth="1"/>
    <col min="7" max="20" width="13.5" style="6" customWidth="1"/>
    <col min="21" max="21" width="5.125" style="6" customWidth="1"/>
    <col min="22" max="22" width="1.625" style="6" customWidth="1"/>
    <col min="23" max="16384" width="9" style="6"/>
  </cols>
  <sheetData>
    <row r="1" spans="2:22" ht="9.75" customHeight="1" thickBot="1"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"/>
      <c r="V1" s="3"/>
    </row>
    <row r="2" spans="2:22" ht="18" customHeight="1">
      <c r="E2" s="4"/>
      <c r="F2" s="356" t="s">
        <v>1763</v>
      </c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8"/>
      <c r="V2" s="3"/>
    </row>
    <row r="3" spans="2:22" ht="18" customHeight="1" thickBot="1">
      <c r="E3" s="4"/>
      <c r="F3" s="359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1"/>
      <c r="V3" s="3"/>
    </row>
    <row r="4" spans="2:22" ht="9.75" customHeight="1">
      <c r="E4" s="3"/>
      <c r="F4" s="3"/>
      <c r="U4" s="3"/>
      <c r="V4" s="3"/>
    </row>
    <row r="5" spans="2:22" ht="18" customHeight="1">
      <c r="B5" s="135"/>
      <c r="C5" s="135"/>
      <c r="F5" s="354" t="s">
        <v>1769</v>
      </c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</row>
    <row r="6" spans="2:22" ht="18" customHeight="1">
      <c r="B6" s="135"/>
      <c r="C6" s="135"/>
      <c r="F6" s="406" t="s">
        <v>1067</v>
      </c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</row>
    <row r="7" spans="2:22" ht="9.75" customHeight="1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2:22" ht="18" customHeight="1">
      <c r="E8" s="7"/>
      <c r="V8" s="7"/>
    </row>
    <row r="9" spans="2:22" ht="18" customHeight="1">
      <c r="B9" s="355" t="str">
        <f>HYPERLINK("#LAYOUT_p!lay보PARENT","PARENT")</f>
        <v>PARENT</v>
      </c>
      <c r="C9" s="355"/>
      <c r="E9" s="7"/>
      <c r="F9" s="6" t="s">
        <v>942</v>
      </c>
      <c r="V9" s="7"/>
    </row>
    <row r="10" spans="2:22" ht="18" customHeight="1">
      <c r="B10" s="195"/>
      <c r="C10" s="195"/>
      <c r="E10" s="7"/>
      <c r="F10" s="136"/>
      <c r="G10" s="136" t="s">
        <v>1620</v>
      </c>
      <c r="I10" s="136" t="s">
        <v>1621</v>
      </c>
      <c r="K10" s="136" t="s">
        <v>1622</v>
      </c>
      <c r="L10" s="136"/>
      <c r="M10" s="136"/>
      <c r="N10" s="136"/>
      <c r="O10" s="136"/>
      <c r="P10" s="136"/>
      <c r="Q10" s="136"/>
      <c r="R10" s="136"/>
      <c r="S10" s="136"/>
      <c r="T10" s="136"/>
      <c r="V10" s="7"/>
    </row>
    <row r="11" spans="2:22" ht="18" customHeight="1">
      <c r="B11" s="195"/>
      <c r="C11" s="195"/>
      <c r="E11" s="7"/>
      <c r="F11" s="136"/>
      <c r="G11" s="136" t="s">
        <v>1623</v>
      </c>
      <c r="I11" s="136" t="s">
        <v>1624</v>
      </c>
      <c r="K11" s="136" t="s">
        <v>1625</v>
      </c>
      <c r="L11" s="136"/>
      <c r="M11" s="136"/>
      <c r="N11" s="136"/>
      <c r="O11" s="136"/>
      <c r="P11" s="136"/>
      <c r="Q11" s="136"/>
      <c r="R11" s="136"/>
      <c r="S11" s="136"/>
      <c r="T11" s="136"/>
      <c r="V11" s="7"/>
    </row>
    <row r="12" spans="2:22" ht="18" customHeight="1">
      <c r="B12" s="195"/>
      <c r="C12" s="195"/>
      <c r="E12" s="7"/>
      <c r="F12" s="136"/>
      <c r="G12" s="136" t="s">
        <v>1626</v>
      </c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V12" s="7"/>
    </row>
    <row r="13" spans="2:22" ht="18" customHeight="1">
      <c r="B13" s="195"/>
      <c r="C13" s="195"/>
      <c r="E13" s="7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V13" s="7"/>
    </row>
    <row r="14" spans="2:22" ht="18" customHeight="1">
      <c r="B14" s="195"/>
      <c r="C14" s="195"/>
      <c r="E14" s="7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V14" s="7"/>
    </row>
    <row r="15" spans="2:22" ht="18" customHeight="1">
      <c r="B15" s="195"/>
      <c r="C15" s="195"/>
      <c r="E15" s="7"/>
      <c r="F15" s="136" t="s">
        <v>943</v>
      </c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V15" s="7"/>
    </row>
    <row r="16" spans="2:22" ht="18" customHeight="1">
      <c r="B16" s="355" t="str">
        <f>HYPERLINK("#LAYOUT_p!lay보PYBRT1A","PYBRT1A")</f>
        <v>PYBRT1A</v>
      </c>
      <c r="C16" s="355"/>
      <c r="E16" s="7"/>
      <c r="F16" s="136"/>
      <c r="G16" s="6" t="s">
        <v>1581</v>
      </c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V16" s="7"/>
    </row>
    <row r="17" spans="2:22" ht="18" customHeight="1">
      <c r="B17" s="355" t="str">
        <f>HYPERLINK("#LAYOUT_p!lay보PYBRT1B","PYBRT1B")</f>
        <v>PYBRT1B</v>
      </c>
      <c r="C17" s="355"/>
      <c r="E17" s="7"/>
      <c r="F17" s="136"/>
      <c r="G17" s="6" t="s">
        <v>1582</v>
      </c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V17" s="7"/>
    </row>
    <row r="18" spans="2:22" ht="18" customHeight="1">
      <c r="B18" s="195"/>
      <c r="C18" s="195"/>
      <c r="E18" s="7"/>
      <c r="F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V18" s="7"/>
    </row>
    <row r="19" spans="2:22" ht="18" customHeight="1">
      <c r="B19" s="195"/>
      <c r="C19" s="195"/>
      <c r="E19" s="7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V19" s="7"/>
    </row>
    <row r="20" spans="2:22" ht="18" customHeight="1">
      <c r="B20" s="355" t="str">
        <f>HYPERLINK("#LAYOUT_p!lay보PYGENDER","PYGENDER")</f>
        <v>PYGENDER</v>
      </c>
      <c r="C20" s="355"/>
      <c r="E20" s="7"/>
      <c r="F20" s="136" t="s">
        <v>944</v>
      </c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V20" s="7"/>
    </row>
    <row r="21" spans="2:22" ht="18" customHeight="1">
      <c r="B21" s="195"/>
      <c r="C21" s="195"/>
      <c r="E21" s="7"/>
      <c r="F21" s="136"/>
      <c r="G21" s="6" t="s">
        <v>571</v>
      </c>
      <c r="H21" s="6" t="s">
        <v>572</v>
      </c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V21" s="7"/>
    </row>
    <row r="22" spans="2:22" ht="18" customHeight="1">
      <c r="B22" s="195"/>
      <c r="C22" s="195"/>
      <c r="E22" s="7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V22" s="7"/>
    </row>
    <row r="23" spans="2:22" ht="18" customHeight="1">
      <c r="B23" s="195"/>
      <c r="C23" s="195"/>
      <c r="E23" s="7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V23" s="7"/>
    </row>
    <row r="24" spans="2:22" ht="18" customHeight="1">
      <c r="B24" s="355" t="str">
        <f>HYPERLINK("#LAYOUT_p!lay보PHOMPOP","PHOMPOP")</f>
        <v>PHOMPOP</v>
      </c>
      <c r="C24" s="355"/>
      <c r="E24" s="7"/>
      <c r="F24" s="136" t="s">
        <v>945</v>
      </c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V24" s="7"/>
    </row>
    <row r="25" spans="2:22" ht="18" customHeight="1">
      <c r="B25" s="195"/>
      <c r="C25" s="195"/>
      <c r="E25" s="7"/>
      <c r="F25" s="136"/>
      <c r="G25" s="136" t="s">
        <v>1664</v>
      </c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V25" s="7"/>
    </row>
    <row r="26" spans="2:22" ht="18" customHeight="1">
      <c r="B26" s="195"/>
      <c r="C26" s="195"/>
      <c r="E26" s="7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V26" s="7"/>
    </row>
    <row r="27" spans="2:22" ht="18" customHeight="1">
      <c r="B27" s="195"/>
      <c r="C27" s="195"/>
      <c r="E27" s="7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V27" s="7"/>
    </row>
    <row r="28" spans="2:22" ht="18" customHeight="1">
      <c r="B28" s="195"/>
      <c r="C28" s="195"/>
      <c r="E28" s="7"/>
      <c r="F28" s="136" t="s">
        <v>946</v>
      </c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V28" s="7"/>
    </row>
    <row r="29" spans="2:22" ht="18" customHeight="1">
      <c r="B29" s="195"/>
      <c r="C29" s="195"/>
      <c r="E29" s="7"/>
      <c r="G29" s="136" t="s">
        <v>1053</v>
      </c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V29" s="7"/>
    </row>
    <row r="30" spans="2:22" ht="18" customHeight="1">
      <c r="B30" s="195"/>
      <c r="C30" s="195"/>
      <c r="E30" s="7"/>
      <c r="F30" s="136"/>
      <c r="G30" s="309" t="s">
        <v>947</v>
      </c>
      <c r="H30" s="315"/>
      <c r="I30" s="315"/>
      <c r="J30" s="310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V30" s="7"/>
    </row>
    <row r="31" spans="2:22" ht="18" customHeight="1">
      <c r="B31" s="195"/>
      <c r="C31" s="195"/>
      <c r="E31" s="7"/>
      <c r="F31" s="136"/>
      <c r="G31" s="422" t="s">
        <v>948</v>
      </c>
      <c r="H31" s="423"/>
      <c r="I31" s="423"/>
      <c r="J31" s="424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V31" s="7"/>
    </row>
    <row r="32" spans="2:22" ht="18" customHeight="1">
      <c r="B32" s="195"/>
      <c r="C32" s="195"/>
      <c r="E32" s="7"/>
      <c r="F32" s="136"/>
      <c r="G32" s="422" t="s">
        <v>949</v>
      </c>
      <c r="H32" s="423"/>
      <c r="I32" s="423"/>
      <c r="J32" s="424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V32" s="7"/>
    </row>
    <row r="33" spans="2:22" ht="18" customHeight="1">
      <c r="B33" s="195"/>
      <c r="C33" s="195"/>
      <c r="E33" s="7"/>
      <c r="F33" s="136"/>
      <c r="G33" s="422" t="s">
        <v>950</v>
      </c>
      <c r="H33" s="423"/>
      <c r="I33" s="423"/>
      <c r="J33" s="424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V33" s="7"/>
    </row>
    <row r="34" spans="2:22" ht="18" customHeight="1">
      <c r="B34" s="195"/>
      <c r="C34" s="195"/>
      <c r="E34" s="7"/>
      <c r="F34" s="136"/>
      <c r="G34" s="425" t="s">
        <v>951</v>
      </c>
      <c r="H34" s="426"/>
      <c r="I34" s="426"/>
      <c r="J34" s="427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1"/>
      <c r="V34" s="7"/>
    </row>
    <row r="35" spans="2:22" ht="18" customHeight="1" thickBot="1">
      <c r="B35" s="195"/>
      <c r="C35" s="195"/>
      <c r="E35" s="7"/>
      <c r="F35" s="136"/>
      <c r="G35" s="137"/>
      <c r="H35" s="137"/>
      <c r="I35" s="137"/>
      <c r="J35" s="137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1"/>
      <c r="V35" s="7"/>
    </row>
    <row r="36" spans="2:22" ht="24" customHeight="1" thickTop="1">
      <c r="B36" s="195"/>
      <c r="C36" s="195"/>
      <c r="E36" s="7"/>
      <c r="F36" s="136"/>
      <c r="G36" s="391" t="s">
        <v>952</v>
      </c>
      <c r="H36" s="416" t="s">
        <v>953</v>
      </c>
      <c r="I36" s="138" t="s">
        <v>21</v>
      </c>
      <c r="J36" s="429" t="s">
        <v>954</v>
      </c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1"/>
      <c r="V36" s="7"/>
    </row>
    <row r="37" spans="2:22" ht="24" customHeight="1">
      <c r="B37" s="195"/>
      <c r="C37" s="195"/>
      <c r="E37" s="7"/>
      <c r="F37" s="136"/>
      <c r="G37" s="428"/>
      <c r="H37" s="435"/>
      <c r="I37" s="22" t="s">
        <v>955</v>
      </c>
      <c r="J37" s="430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1"/>
      <c r="V37" s="7"/>
    </row>
    <row r="38" spans="2:22" ht="18" customHeight="1">
      <c r="B38" s="355" t="str">
        <f>HYPERLINK("#LAYOUT_p!lay보PRELATE1","PRELATE1 ~ PBRTB1")</f>
        <v>PRELATE1 ~ PBRTB1</v>
      </c>
      <c r="C38" s="355"/>
      <c r="E38" s="7"/>
      <c r="F38" s="136"/>
      <c r="G38" s="139">
        <v>1</v>
      </c>
      <c r="H38" s="22" t="s">
        <v>956</v>
      </c>
      <c r="I38" s="22"/>
      <c r="J38" s="24" t="s">
        <v>957</v>
      </c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1"/>
      <c r="V38" s="7"/>
    </row>
    <row r="39" spans="2:22" ht="18" customHeight="1">
      <c r="B39" s="355" t="str">
        <f>HYPERLINK("#LAYOUT_p!lay보PRELATE2","PRELATE2 ~ PBRTB2")</f>
        <v>PRELATE2 ~ PBRTB2</v>
      </c>
      <c r="C39" s="355"/>
      <c r="E39" s="7"/>
      <c r="F39" s="136"/>
      <c r="G39" s="139">
        <v>2</v>
      </c>
      <c r="H39" s="22"/>
      <c r="I39" s="22"/>
      <c r="J39" s="24" t="s">
        <v>957</v>
      </c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1"/>
      <c r="V39" s="7"/>
    </row>
    <row r="40" spans="2:22" ht="18" customHeight="1">
      <c r="B40" s="355" t="str">
        <f>HYPERLINK("#LAYOUT_p!lay보PRELATE3","PRELATE3 ~ PBRTB3")</f>
        <v>PRELATE3 ~ PBRTB3</v>
      </c>
      <c r="C40" s="355"/>
      <c r="E40" s="7"/>
      <c r="F40" s="136"/>
      <c r="G40" s="139">
        <v>3</v>
      </c>
      <c r="H40" s="22"/>
      <c r="I40" s="22"/>
      <c r="J40" s="24" t="s">
        <v>957</v>
      </c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1"/>
      <c r="V40" s="7"/>
    </row>
    <row r="41" spans="2:22" ht="18" customHeight="1">
      <c r="B41" s="355" t="str">
        <f>HYPERLINK("#LAYOUT_p!lay보PRELATE4","PRELATE4 ~ PBRTB4")</f>
        <v>PRELATE4 ~ PBRTB4</v>
      </c>
      <c r="C41" s="355"/>
      <c r="E41" s="7"/>
      <c r="F41" s="136"/>
      <c r="G41" s="139">
        <v>4</v>
      </c>
      <c r="H41" s="22"/>
      <c r="I41" s="22"/>
      <c r="J41" s="24" t="s">
        <v>957</v>
      </c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1"/>
      <c r="V41" s="7"/>
    </row>
    <row r="42" spans="2:22" ht="18" customHeight="1">
      <c r="B42" s="355" t="str">
        <f>HYPERLINK("#LAYOUT_p!lay보PRELATE5","PRELATE5 ~ PBRTB5")</f>
        <v>PRELATE5 ~ PBRTB5</v>
      </c>
      <c r="C42" s="355"/>
      <c r="E42" s="7"/>
      <c r="F42" s="136"/>
      <c r="G42" s="139">
        <v>5</v>
      </c>
      <c r="H42" s="22"/>
      <c r="I42" s="22"/>
      <c r="J42" s="24" t="s">
        <v>957</v>
      </c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1"/>
      <c r="V42" s="7"/>
    </row>
    <row r="43" spans="2:22" ht="18" customHeight="1">
      <c r="B43" s="355" t="str">
        <f>HYPERLINK("#LAYOUT_p!lay보PRELATE6","PRELATE6 ~ PBRTB6")</f>
        <v>PRELATE6 ~ PBRTB6</v>
      </c>
      <c r="C43" s="355"/>
      <c r="E43" s="7"/>
      <c r="F43" s="136"/>
      <c r="G43" s="139">
        <v>6</v>
      </c>
      <c r="H43" s="22"/>
      <c r="I43" s="22"/>
      <c r="J43" s="24" t="s">
        <v>957</v>
      </c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1"/>
      <c r="V43" s="7"/>
    </row>
    <row r="44" spans="2:22" ht="18" customHeight="1">
      <c r="B44" s="355" t="str">
        <f>HYPERLINK("#LAYOUT_p!lay보PRELATE7","PRELATE7 ~ PBRTB7")</f>
        <v>PRELATE7 ~ PBRTB7</v>
      </c>
      <c r="C44" s="355"/>
      <c r="E44" s="7"/>
      <c r="F44" s="136"/>
      <c r="G44" s="139">
        <v>7</v>
      </c>
      <c r="H44" s="22"/>
      <c r="I44" s="22"/>
      <c r="J44" s="24" t="s">
        <v>957</v>
      </c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1"/>
      <c r="V44" s="7"/>
    </row>
    <row r="45" spans="2:22" ht="18" customHeight="1">
      <c r="B45" s="355" t="str">
        <f>HYPERLINK("#LAYOUT_p!lay보PRELATE8","PRELATE8 ~ PBRTB8")</f>
        <v>PRELATE8 ~ PBRTB8</v>
      </c>
      <c r="C45" s="355"/>
      <c r="E45" s="7"/>
      <c r="F45" s="136"/>
      <c r="G45" s="139">
        <v>8</v>
      </c>
      <c r="H45" s="22"/>
      <c r="I45" s="22"/>
      <c r="J45" s="24" t="s">
        <v>957</v>
      </c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1"/>
      <c r="V45" s="7"/>
    </row>
    <row r="46" spans="2:22" ht="18" customHeight="1">
      <c r="B46" s="195"/>
      <c r="C46" s="195"/>
      <c r="E46" s="7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1"/>
      <c r="V46" s="7"/>
    </row>
    <row r="47" spans="2:22" ht="18" customHeight="1">
      <c r="B47" s="195"/>
      <c r="C47" s="195"/>
      <c r="E47" s="7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1"/>
      <c r="V47" s="7"/>
    </row>
    <row r="48" spans="2:22" ht="18" customHeight="1">
      <c r="B48" s="355" t="str">
        <f>HYPERLINK("#LAYOUT_p!lay보PYBRP1","PYBRP1")</f>
        <v>PYBRP1</v>
      </c>
      <c r="C48" s="355"/>
      <c r="E48" s="7"/>
      <c r="F48" s="136" t="s">
        <v>958</v>
      </c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1"/>
      <c r="V48" s="7"/>
    </row>
    <row r="49" spans="2:22" ht="18" customHeight="1">
      <c r="B49" s="355" t="str">
        <f>HYPERLINK("#LAYOUT_p!lay보PYBRP2","PYBRP2")</f>
        <v>PYBRP2</v>
      </c>
      <c r="C49" s="355"/>
      <c r="E49" s="7"/>
      <c r="F49" s="136"/>
      <c r="G49" s="136" t="s">
        <v>1627</v>
      </c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1"/>
      <c r="V49" s="7"/>
    </row>
    <row r="50" spans="2:22" ht="18" customHeight="1">
      <c r="B50" s="355" t="str">
        <f>HYPERLINK("#LAYOUT_p!lay보PYBRP3","PYBRP3")</f>
        <v>PYBRP3</v>
      </c>
      <c r="C50" s="355"/>
      <c r="E50" s="7"/>
      <c r="F50" s="136"/>
      <c r="G50" s="136" t="s">
        <v>1628</v>
      </c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1"/>
      <c r="V50" s="7"/>
    </row>
    <row r="51" spans="2:22" ht="18" customHeight="1">
      <c r="B51" s="195"/>
      <c r="C51" s="195"/>
      <c r="E51" s="7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1"/>
      <c r="V51" s="7"/>
    </row>
    <row r="52" spans="2:22" ht="18" customHeight="1">
      <c r="B52" s="195"/>
      <c r="C52" s="195"/>
      <c r="E52" s="7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1"/>
      <c r="V52" s="7"/>
    </row>
    <row r="53" spans="2:22" ht="18" customHeight="1">
      <c r="B53" s="355" t="str">
        <f>HYPERLINK("#LAYOUT_p!lay보PFAM1A00","PFAM1A00")</f>
        <v>PFAM1A00</v>
      </c>
      <c r="C53" s="355"/>
      <c r="E53" s="7"/>
      <c r="F53" s="136" t="s">
        <v>959</v>
      </c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1"/>
      <c r="V53" s="7"/>
    </row>
    <row r="54" spans="2:22" ht="18" customHeight="1">
      <c r="B54" s="355" t="str">
        <f>HYPERLINK("#LAYOUT_p!lay보PFAM1A00_T","PFAM1A00_T")</f>
        <v>PFAM1A00_T</v>
      </c>
      <c r="C54" s="355"/>
      <c r="E54" s="7"/>
      <c r="F54" s="136"/>
      <c r="G54" s="407" t="s">
        <v>960</v>
      </c>
      <c r="H54" s="407"/>
      <c r="I54" s="407"/>
      <c r="J54" s="407"/>
      <c r="K54" s="407"/>
      <c r="L54" s="136"/>
      <c r="M54" s="136"/>
      <c r="N54" s="136"/>
      <c r="O54" s="136"/>
      <c r="P54" s="136"/>
      <c r="Q54" s="136"/>
      <c r="R54" s="136"/>
      <c r="S54" s="136"/>
      <c r="T54" s="136"/>
      <c r="U54" s="11"/>
      <c r="V54" s="7"/>
    </row>
    <row r="55" spans="2:22" ht="18" customHeight="1">
      <c r="B55" s="195"/>
      <c r="C55" s="195"/>
      <c r="E55" s="7"/>
      <c r="F55" s="136"/>
      <c r="G55" s="407" t="s">
        <v>961</v>
      </c>
      <c r="H55" s="407"/>
      <c r="I55" s="407"/>
      <c r="J55" s="407"/>
      <c r="K55" s="407"/>
      <c r="L55" s="136"/>
      <c r="M55" s="136"/>
      <c r="N55" s="136"/>
      <c r="O55" s="136"/>
      <c r="P55" s="136"/>
      <c r="Q55" s="136"/>
      <c r="R55" s="136"/>
      <c r="S55" s="136"/>
      <c r="T55" s="136"/>
      <c r="U55" s="11"/>
      <c r="V55" s="7"/>
    </row>
    <row r="56" spans="2:22" ht="18" customHeight="1">
      <c r="B56" s="195"/>
      <c r="C56" s="195"/>
      <c r="E56" s="7"/>
      <c r="F56" s="136"/>
      <c r="G56" s="136" t="s">
        <v>1629</v>
      </c>
      <c r="H56" s="140"/>
      <c r="I56" s="140"/>
      <c r="J56" s="136" t="s">
        <v>1630</v>
      </c>
      <c r="K56" s="140"/>
      <c r="L56" s="136"/>
      <c r="M56" s="136"/>
      <c r="N56" s="136"/>
      <c r="O56" s="136"/>
      <c r="P56" s="136"/>
      <c r="Q56" s="136"/>
      <c r="R56" s="136"/>
      <c r="S56" s="136"/>
      <c r="T56" s="136"/>
      <c r="V56" s="7"/>
    </row>
    <row r="57" spans="2:22" ht="18" customHeight="1">
      <c r="B57" s="195"/>
      <c r="C57" s="195"/>
      <c r="E57" s="7"/>
      <c r="F57" s="136"/>
      <c r="G57" s="136" t="s">
        <v>1631</v>
      </c>
      <c r="H57" s="140"/>
      <c r="I57" s="140"/>
      <c r="J57" s="136" t="s">
        <v>1632</v>
      </c>
      <c r="K57" s="140"/>
      <c r="L57" s="136"/>
      <c r="M57" s="136"/>
      <c r="N57" s="136"/>
      <c r="O57" s="136"/>
      <c r="P57" s="136"/>
      <c r="Q57" s="136"/>
      <c r="R57" s="136"/>
      <c r="S57" s="136"/>
      <c r="T57" s="136"/>
      <c r="V57" s="7"/>
    </row>
    <row r="58" spans="2:22" ht="18" customHeight="1">
      <c r="B58" s="195"/>
      <c r="C58" s="195"/>
      <c r="E58" s="7"/>
      <c r="F58" s="136"/>
      <c r="G58" s="136" t="s">
        <v>1633</v>
      </c>
      <c r="H58" s="140"/>
      <c r="I58" s="140"/>
      <c r="J58" s="136" t="s">
        <v>1634</v>
      </c>
      <c r="K58" s="140"/>
      <c r="L58" s="136"/>
      <c r="M58" s="136"/>
      <c r="N58" s="136"/>
      <c r="O58" s="136"/>
      <c r="P58" s="136"/>
      <c r="Q58" s="136"/>
      <c r="R58" s="136"/>
      <c r="S58" s="136"/>
      <c r="T58" s="136"/>
      <c r="V58" s="7"/>
    </row>
    <row r="59" spans="2:22" ht="18" customHeight="1">
      <c r="B59" s="195"/>
      <c r="C59" s="195"/>
      <c r="E59" s="7"/>
      <c r="F59" s="136"/>
      <c r="H59" s="140"/>
      <c r="I59" s="140"/>
      <c r="J59" s="140"/>
      <c r="K59" s="140"/>
      <c r="L59" s="136"/>
      <c r="M59" s="136"/>
      <c r="N59" s="136"/>
      <c r="O59" s="136"/>
      <c r="P59" s="136"/>
      <c r="Q59" s="136"/>
      <c r="R59" s="136"/>
      <c r="S59" s="136"/>
      <c r="T59" s="136"/>
      <c r="V59" s="7"/>
    </row>
    <row r="60" spans="2:22" ht="18" customHeight="1">
      <c r="B60" s="195"/>
      <c r="C60" s="195"/>
      <c r="E60" s="7"/>
      <c r="F60" s="136"/>
      <c r="H60" s="140"/>
      <c r="I60" s="140"/>
      <c r="J60" s="140"/>
      <c r="K60" s="140"/>
      <c r="L60" s="136"/>
      <c r="M60" s="136"/>
      <c r="N60" s="136"/>
      <c r="O60" s="136"/>
      <c r="P60" s="136"/>
      <c r="Q60" s="136"/>
      <c r="R60" s="136"/>
      <c r="S60" s="136"/>
      <c r="T60" s="136"/>
      <c r="V60" s="7"/>
    </row>
    <row r="61" spans="2:22" ht="18" customHeight="1">
      <c r="B61" s="355" t="str">
        <f>HYPERLINK("#LAYOUT_p!lay보PEDU1A00","PEDU1A00")</f>
        <v>PEDU1A00</v>
      </c>
      <c r="C61" s="355"/>
      <c r="E61" s="7"/>
      <c r="F61" s="136" t="s">
        <v>962</v>
      </c>
      <c r="H61" s="140"/>
      <c r="I61" s="140"/>
      <c r="J61" s="140"/>
      <c r="K61" s="140"/>
      <c r="L61" s="136"/>
      <c r="M61" s="136"/>
      <c r="N61" s="136"/>
      <c r="O61" s="136"/>
      <c r="P61" s="136"/>
      <c r="Q61" s="136"/>
      <c r="R61" s="136"/>
      <c r="S61" s="136"/>
      <c r="T61" s="136"/>
      <c r="V61" s="7"/>
    </row>
    <row r="62" spans="2:22" ht="18" customHeight="1">
      <c r="B62" s="195"/>
      <c r="C62" s="195"/>
      <c r="E62" s="7"/>
      <c r="F62" s="136"/>
      <c r="G62" s="136" t="s">
        <v>963</v>
      </c>
      <c r="H62" s="136" t="s">
        <v>964</v>
      </c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V62" s="7"/>
    </row>
    <row r="63" spans="2:22" ht="18" customHeight="1">
      <c r="B63" s="195"/>
      <c r="C63" s="195"/>
      <c r="E63" s="7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V63" s="7"/>
    </row>
    <row r="64" spans="2:22" ht="18" customHeight="1">
      <c r="B64" s="195"/>
      <c r="C64" s="195"/>
      <c r="E64" s="7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V64" s="7"/>
    </row>
    <row r="65" spans="2:22" ht="18" customHeight="1">
      <c r="B65" s="195"/>
      <c r="C65" s="195"/>
      <c r="E65" s="7"/>
      <c r="F65" s="136" t="s">
        <v>965</v>
      </c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V65" s="7"/>
    </row>
    <row r="66" spans="2:22" ht="18" customHeight="1" thickBot="1">
      <c r="B66" s="355" t="str">
        <f>HYPERLINK("#LAYOUT_p!lay보PEDU1B01","PEDU1B01")</f>
        <v>PEDU1B01</v>
      </c>
      <c r="C66" s="355"/>
      <c r="E66" s="7"/>
      <c r="F66" s="141" t="s">
        <v>966</v>
      </c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V66" s="7"/>
    </row>
    <row r="67" spans="2:22" ht="18" customHeight="1" thickTop="1">
      <c r="B67" s="355" t="str">
        <f>HYPERLINK("#LAYOUT_p!lay보PEDU1B02","PEDU1B02")</f>
        <v>PEDU1B02</v>
      </c>
      <c r="C67" s="355"/>
      <c r="E67" s="7"/>
      <c r="F67" s="136"/>
      <c r="G67" s="414" t="s">
        <v>967</v>
      </c>
      <c r="H67" s="414"/>
      <c r="I67" s="414"/>
      <c r="J67" s="414"/>
      <c r="K67" s="414"/>
      <c r="L67" s="414"/>
      <c r="M67" s="414"/>
      <c r="N67" s="136"/>
      <c r="O67" s="136"/>
      <c r="P67" s="136"/>
      <c r="Q67" s="136"/>
      <c r="R67" s="136"/>
      <c r="S67" s="136"/>
      <c r="T67" s="136"/>
      <c r="V67" s="7"/>
    </row>
    <row r="68" spans="2:22" ht="18" customHeight="1">
      <c r="B68" s="355" t="str">
        <f>HYPERLINK("#LAYOUT_p!lay보PEDU1B02_T","PEDU1B02_T")</f>
        <v>PEDU1B02_T</v>
      </c>
      <c r="C68" s="355"/>
      <c r="E68" s="7"/>
      <c r="F68" s="136"/>
      <c r="G68" s="438" t="s">
        <v>968</v>
      </c>
      <c r="H68" s="440" t="s">
        <v>969</v>
      </c>
      <c r="I68" s="364"/>
      <c r="J68" s="364"/>
      <c r="K68" s="364"/>
      <c r="L68" s="364"/>
      <c r="M68" s="364"/>
      <c r="N68" s="136"/>
      <c r="O68" s="136"/>
      <c r="P68" s="136"/>
      <c r="Q68" s="136"/>
      <c r="R68" s="136"/>
      <c r="S68" s="136"/>
      <c r="T68" s="136"/>
      <c r="V68" s="7"/>
    </row>
    <row r="69" spans="2:22" ht="18" customHeight="1">
      <c r="B69" s="195"/>
      <c r="C69" s="195"/>
      <c r="E69" s="7"/>
      <c r="F69" s="136"/>
      <c r="G69" s="439"/>
      <c r="H69" s="441" t="s">
        <v>970</v>
      </c>
      <c r="I69" s="370"/>
      <c r="J69" s="370"/>
      <c r="K69" s="370"/>
      <c r="L69" s="370"/>
      <c r="M69" s="370"/>
      <c r="N69" s="136"/>
      <c r="O69" s="136"/>
      <c r="P69" s="136"/>
      <c r="Q69" s="136"/>
      <c r="R69" s="136"/>
      <c r="S69" s="136"/>
      <c r="T69" s="136"/>
      <c r="V69" s="7"/>
    </row>
    <row r="70" spans="2:22" ht="18" customHeight="1">
      <c r="B70" s="195"/>
      <c r="C70" s="195"/>
      <c r="E70" s="7"/>
      <c r="F70" s="136"/>
      <c r="G70" s="439"/>
      <c r="H70" s="441" t="s">
        <v>971</v>
      </c>
      <c r="I70" s="370"/>
      <c r="J70" s="370"/>
      <c r="K70" s="370"/>
      <c r="L70" s="370"/>
      <c r="M70" s="370"/>
      <c r="N70" s="136"/>
      <c r="O70" s="136"/>
      <c r="P70" s="136"/>
      <c r="Q70" s="136"/>
      <c r="R70" s="136"/>
      <c r="S70" s="136"/>
      <c r="T70" s="136"/>
      <c r="V70" s="7"/>
    </row>
    <row r="71" spans="2:22" ht="18" customHeight="1">
      <c r="B71" s="195"/>
      <c r="C71" s="195"/>
      <c r="E71" s="7"/>
      <c r="F71" s="136"/>
      <c r="G71" s="439"/>
      <c r="H71" s="441" t="s">
        <v>972</v>
      </c>
      <c r="I71" s="370"/>
      <c r="J71" s="370"/>
      <c r="K71" s="370"/>
      <c r="L71" s="370"/>
      <c r="M71" s="370"/>
      <c r="N71" s="136"/>
      <c r="O71" s="136"/>
      <c r="P71" s="136"/>
      <c r="Q71" s="136"/>
      <c r="R71" s="136"/>
      <c r="S71" s="136"/>
      <c r="T71" s="136"/>
      <c r="V71" s="7"/>
    </row>
    <row r="72" spans="2:22" ht="18" customHeight="1">
      <c r="B72" s="195"/>
      <c r="C72" s="195"/>
      <c r="E72" s="7"/>
      <c r="F72" s="136"/>
      <c r="G72" s="439"/>
      <c r="H72" s="441" t="s">
        <v>973</v>
      </c>
      <c r="I72" s="370"/>
      <c r="J72" s="370"/>
      <c r="K72" s="370"/>
      <c r="L72" s="370"/>
      <c r="M72" s="370"/>
      <c r="N72" s="136"/>
      <c r="O72" s="136"/>
      <c r="P72" s="136"/>
      <c r="Q72" s="136"/>
      <c r="R72" s="136"/>
      <c r="S72" s="136"/>
      <c r="T72" s="136"/>
      <c r="V72" s="7"/>
    </row>
    <row r="73" spans="2:22" ht="18" customHeight="1">
      <c r="B73" s="195"/>
      <c r="C73" s="195"/>
      <c r="E73" s="7"/>
      <c r="F73" s="136"/>
      <c r="G73" s="439"/>
      <c r="H73" s="441" t="s">
        <v>974</v>
      </c>
      <c r="I73" s="370"/>
      <c r="J73" s="370"/>
      <c r="K73" s="370"/>
      <c r="L73" s="370"/>
      <c r="M73" s="370"/>
      <c r="N73" s="136"/>
      <c r="O73" s="136"/>
      <c r="P73" s="136"/>
      <c r="Q73" s="136"/>
      <c r="R73" s="136"/>
      <c r="S73" s="136"/>
      <c r="T73" s="136"/>
      <c r="V73" s="7"/>
    </row>
    <row r="74" spans="2:22" ht="18" customHeight="1">
      <c r="B74" s="195"/>
      <c r="C74" s="195"/>
      <c r="E74" s="7"/>
      <c r="F74" s="136"/>
      <c r="G74" s="439"/>
      <c r="H74" s="441" t="s">
        <v>975</v>
      </c>
      <c r="I74" s="370"/>
      <c r="J74" s="370"/>
      <c r="K74" s="370"/>
      <c r="L74" s="370"/>
      <c r="M74" s="370"/>
      <c r="N74" s="136"/>
      <c r="O74" s="136"/>
      <c r="P74" s="136"/>
      <c r="Q74" s="136"/>
      <c r="R74" s="136"/>
      <c r="S74" s="136"/>
      <c r="T74" s="136"/>
      <c r="V74" s="7"/>
    </row>
    <row r="75" spans="2:22" ht="18" customHeight="1">
      <c r="B75" s="195"/>
      <c r="C75" s="195"/>
      <c r="E75" s="7"/>
      <c r="F75" s="136"/>
      <c r="G75" s="428"/>
      <c r="H75" s="446" t="s">
        <v>976</v>
      </c>
      <c r="I75" s="366"/>
      <c r="J75" s="366"/>
      <c r="K75" s="366"/>
      <c r="L75" s="366"/>
      <c r="M75" s="366"/>
      <c r="N75" s="136"/>
      <c r="O75" s="136"/>
      <c r="P75" s="136"/>
      <c r="Q75" s="136"/>
      <c r="R75" s="136"/>
      <c r="S75" s="136"/>
      <c r="T75" s="136"/>
      <c r="V75" s="7"/>
    </row>
    <row r="76" spans="2:22" ht="18" customHeight="1">
      <c r="B76" s="195"/>
      <c r="C76" s="195"/>
      <c r="E76" s="7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V76" s="7"/>
    </row>
    <row r="77" spans="2:22" ht="18" customHeight="1">
      <c r="B77" s="195"/>
      <c r="C77" s="195"/>
      <c r="E77" s="7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V77" s="7"/>
    </row>
    <row r="78" spans="2:22" ht="18" customHeight="1">
      <c r="B78" s="355" t="str">
        <f>HYPERLINK("#LAYOUT_p!lay보PEDU1C00","PEDU1C00")</f>
        <v>PEDU1C00</v>
      </c>
      <c r="C78" s="355"/>
      <c r="E78" s="7"/>
      <c r="F78" s="141" t="s">
        <v>977</v>
      </c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V78" s="7"/>
    </row>
    <row r="79" spans="2:22" ht="18" customHeight="1">
      <c r="B79" s="195"/>
      <c r="C79" s="195"/>
      <c r="E79" s="7"/>
      <c r="F79" s="136"/>
      <c r="G79" s="136" t="s">
        <v>1635</v>
      </c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V79" s="7"/>
    </row>
    <row r="80" spans="2:22" ht="18" customHeight="1">
      <c r="B80" s="195"/>
      <c r="C80" s="195"/>
      <c r="E80" s="7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V80" s="7"/>
    </row>
    <row r="81" spans="2:22" ht="18" customHeight="1">
      <c r="B81" s="195"/>
      <c r="C81" s="195"/>
      <c r="E81" s="7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V81" s="7"/>
    </row>
    <row r="82" spans="2:22" ht="18" customHeight="1" thickBot="1">
      <c r="B82" s="355" t="str">
        <f>HYPERLINK("#LAYOUT_p!lay보PEDU1B03","PEDU1B03")</f>
        <v>PEDU1B03</v>
      </c>
      <c r="C82" s="355"/>
      <c r="E82" s="7"/>
      <c r="F82" s="141" t="s">
        <v>978</v>
      </c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V82" s="7"/>
    </row>
    <row r="83" spans="2:22" ht="18" customHeight="1" thickTop="1">
      <c r="B83" s="355" t="str">
        <f>HYPERLINK("#LAYOUT_p!lay보PEDU1B04","PEDU1B04")</f>
        <v>PEDU1B04</v>
      </c>
      <c r="C83" s="355"/>
      <c r="E83" s="7"/>
      <c r="F83" s="136"/>
      <c r="G83" s="414" t="s">
        <v>967</v>
      </c>
      <c r="H83" s="414"/>
      <c r="I83" s="414"/>
      <c r="J83" s="414"/>
      <c r="K83" s="414"/>
      <c r="L83" s="414"/>
      <c r="M83" s="414"/>
      <c r="N83" s="136"/>
      <c r="O83" s="136"/>
      <c r="P83" s="136"/>
      <c r="Q83" s="136"/>
      <c r="R83" s="136"/>
      <c r="S83" s="136"/>
      <c r="T83" s="136"/>
      <c r="V83" s="7"/>
    </row>
    <row r="84" spans="2:22" ht="18" customHeight="1">
      <c r="B84" s="355" t="str">
        <f>HYPERLINK("#LAYOUT_p!lay보PEDU1B04_T","PEDU1B04_T")</f>
        <v>PEDU1B04_T</v>
      </c>
      <c r="C84" s="355"/>
      <c r="E84" s="7"/>
      <c r="F84" s="136"/>
      <c r="G84" s="438" t="s">
        <v>968</v>
      </c>
      <c r="H84" s="440" t="s">
        <v>979</v>
      </c>
      <c r="I84" s="364"/>
      <c r="J84" s="364"/>
      <c r="K84" s="364"/>
      <c r="L84" s="364"/>
      <c r="M84" s="364"/>
      <c r="N84" s="136"/>
      <c r="O84" s="136"/>
      <c r="P84" s="136"/>
      <c r="Q84" s="136"/>
      <c r="R84" s="136"/>
      <c r="S84" s="136"/>
      <c r="T84" s="136"/>
      <c r="V84" s="7"/>
    </row>
    <row r="85" spans="2:22" ht="18" customHeight="1">
      <c r="B85" s="195"/>
      <c r="C85" s="195"/>
      <c r="E85" s="7"/>
      <c r="F85" s="136"/>
      <c r="G85" s="439"/>
      <c r="H85" s="441" t="s">
        <v>980</v>
      </c>
      <c r="I85" s="370"/>
      <c r="J85" s="370"/>
      <c r="K85" s="370"/>
      <c r="L85" s="370"/>
      <c r="M85" s="370"/>
      <c r="N85" s="136"/>
      <c r="O85" s="136"/>
      <c r="P85" s="136"/>
      <c r="Q85" s="136"/>
      <c r="R85" s="136"/>
      <c r="S85" s="136"/>
      <c r="T85" s="136"/>
      <c r="V85" s="7"/>
    </row>
    <row r="86" spans="2:22" ht="18" customHeight="1">
      <c r="B86" s="195"/>
      <c r="C86" s="195"/>
      <c r="E86" s="7"/>
      <c r="F86" s="136"/>
      <c r="G86" s="439"/>
      <c r="H86" s="441" t="s">
        <v>981</v>
      </c>
      <c r="I86" s="370"/>
      <c r="J86" s="370"/>
      <c r="K86" s="370"/>
      <c r="L86" s="370"/>
      <c r="M86" s="370"/>
      <c r="N86" s="136"/>
      <c r="O86" s="136"/>
      <c r="P86" s="136"/>
      <c r="Q86" s="136"/>
      <c r="R86" s="136"/>
      <c r="S86" s="136"/>
      <c r="T86" s="136"/>
      <c r="V86" s="7"/>
    </row>
    <row r="87" spans="2:22" ht="18" customHeight="1">
      <c r="B87" s="195"/>
      <c r="C87" s="195"/>
      <c r="E87" s="7"/>
      <c r="F87" s="136"/>
      <c r="G87" s="439"/>
      <c r="H87" s="441" t="s">
        <v>982</v>
      </c>
      <c r="I87" s="370"/>
      <c r="J87" s="370"/>
      <c r="K87" s="370"/>
      <c r="L87" s="370"/>
      <c r="M87" s="370"/>
      <c r="N87" s="136"/>
      <c r="O87" s="136"/>
      <c r="P87" s="136"/>
      <c r="Q87" s="136"/>
      <c r="R87" s="136"/>
      <c r="S87" s="136"/>
      <c r="T87" s="136"/>
      <c r="V87" s="7"/>
    </row>
    <row r="88" spans="2:22" ht="18" customHeight="1">
      <c r="B88" s="195"/>
      <c r="C88" s="195"/>
      <c r="E88" s="7"/>
      <c r="F88" s="136"/>
      <c r="G88" s="439"/>
      <c r="H88" s="441" t="s">
        <v>983</v>
      </c>
      <c r="I88" s="370"/>
      <c r="J88" s="370"/>
      <c r="K88" s="370"/>
      <c r="L88" s="370"/>
      <c r="M88" s="370"/>
      <c r="N88" s="136"/>
      <c r="O88" s="136"/>
      <c r="P88" s="136"/>
      <c r="Q88" s="136"/>
      <c r="R88" s="136"/>
      <c r="S88" s="136"/>
      <c r="T88" s="136"/>
      <c r="V88" s="7"/>
    </row>
    <row r="89" spans="2:22" ht="18" customHeight="1">
      <c r="B89" s="195"/>
      <c r="C89" s="195"/>
      <c r="E89" s="7"/>
      <c r="F89" s="136"/>
      <c r="G89" s="439"/>
      <c r="H89" s="441" t="s">
        <v>984</v>
      </c>
      <c r="I89" s="370"/>
      <c r="J89" s="370"/>
      <c r="K89" s="370"/>
      <c r="L89" s="370"/>
      <c r="M89" s="370"/>
      <c r="N89" s="136"/>
      <c r="O89" s="136"/>
      <c r="P89" s="136"/>
      <c r="Q89" s="136"/>
      <c r="R89" s="136"/>
      <c r="S89" s="136"/>
      <c r="T89" s="136"/>
      <c r="V89" s="7"/>
    </row>
    <row r="90" spans="2:22" ht="18" customHeight="1">
      <c r="B90" s="195"/>
      <c r="C90" s="195"/>
      <c r="E90" s="7"/>
      <c r="F90" s="136"/>
      <c r="G90" s="439"/>
      <c r="H90" s="441" t="s">
        <v>985</v>
      </c>
      <c r="I90" s="370"/>
      <c r="J90" s="370"/>
      <c r="K90" s="370"/>
      <c r="L90" s="370"/>
      <c r="M90" s="370"/>
      <c r="N90" s="136"/>
      <c r="O90" s="136"/>
      <c r="P90" s="136"/>
      <c r="Q90" s="136"/>
      <c r="R90" s="136"/>
      <c r="S90" s="136"/>
      <c r="T90" s="136"/>
      <c r="V90" s="7"/>
    </row>
    <row r="91" spans="2:22" ht="18" customHeight="1">
      <c r="B91" s="195"/>
      <c r="C91" s="195"/>
      <c r="E91" s="7"/>
      <c r="F91" s="136"/>
      <c r="G91" s="428"/>
      <c r="H91" s="446" t="s">
        <v>976</v>
      </c>
      <c r="I91" s="366"/>
      <c r="J91" s="366"/>
      <c r="K91" s="366"/>
      <c r="L91" s="366"/>
      <c r="M91" s="366"/>
      <c r="N91" s="136"/>
      <c r="O91" s="136"/>
      <c r="P91" s="136"/>
      <c r="Q91" s="136"/>
      <c r="R91" s="136"/>
      <c r="S91" s="136"/>
      <c r="T91" s="136"/>
      <c r="V91" s="7"/>
    </row>
    <row r="92" spans="2:22" ht="18" customHeight="1">
      <c r="B92" s="195"/>
      <c r="C92" s="195"/>
      <c r="E92" s="7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V92" s="7"/>
    </row>
    <row r="93" spans="2:22" ht="18" customHeight="1">
      <c r="B93" s="195"/>
      <c r="C93" s="195"/>
      <c r="E93" s="7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V93" s="7"/>
    </row>
    <row r="94" spans="2:22" ht="18" customHeight="1">
      <c r="B94" s="195"/>
      <c r="C94" s="195"/>
      <c r="E94" s="7"/>
      <c r="F94" s="136" t="s">
        <v>986</v>
      </c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V94" s="7"/>
    </row>
    <row r="95" spans="2:22" ht="18" customHeight="1" thickBot="1">
      <c r="B95" s="195"/>
      <c r="C95" s="195"/>
      <c r="E95" s="7"/>
      <c r="F95" s="136"/>
      <c r="G95" s="136" t="s">
        <v>987</v>
      </c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V95" s="7"/>
    </row>
    <row r="96" spans="2:22" ht="30.75" customHeight="1" thickTop="1" thickBot="1">
      <c r="B96" s="195"/>
      <c r="C96" s="195"/>
      <c r="E96" s="7"/>
      <c r="F96" s="136"/>
      <c r="G96" s="390" t="s">
        <v>988</v>
      </c>
      <c r="H96" s="390"/>
      <c r="I96" s="390"/>
      <c r="J96" s="390"/>
      <c r="K96" s="390"/>
      <c r="L96" s="390"/>
      <c r="M96" s="390"/>
      <c r="N96" s="136"/>
      <c r="O96" s="136"/>
      <c r="P96" s="136"/>
      <c r="Q96" s="136"/>
      <c r="R96" s="136"/>
      <c r="S96" s="136"/>
      <c r="T96" s="136"/>
      <c r="V96" s="7"/>
    </row>
    <row r="97" spans="2:22" ht="30.75" customHeight="1" thickTop="1">
      <c r="B97" s="195" t="str">
        <f>HYPERLINK("#LAYOUT_p!lay보PFAM2A01","PFAM2A01")</f>
        <v>PFAM2A01</v>
      </c>
      <c r="C97" s="195" t="str">
        <f>HYPERLINK("#LAYOUT_p!lay보PFAM2A01_T","PFAM2A01_T")</f>
        <v>PFAM2A01_T</v>
      </c>
      <c r="E97" s="7"/>
      <c r="F97" s="136"/>
      <c r="G97" s="142" t="s">
        <v>7</v>
      </c>
      <c r="H97" s="444" t="s">
        <v>989</v>
      </c>
      <c r="I97" s="444"/>
      <c r="J97" s="444"/>
      <c r="K97" s="444"/>
      <c r="L97" s="444"/>
      <c r="M97" s="142"/>
      <c r="N97" s="136"/>
      <c r="O97" s="136"/>
      <c r="P97" s="136"/>
      <c r="Q97" s="136"/>
      <c r="R97" s="136"/>
      <c r="S97" s="136"/>
      <c r="T97" s="136"/>
      <c r="V97" s="7"/>
    </row>
    <row r="98" spans="2:22" ht="18" customHeight="1">
      <c r="B98" s="195" t="str">
        <f>HYPERLINK("#LAYOUT_p!lay보PFAM2A02","PFAM2A02")</f>
        <v>PFAM2A02</v>
      </c>
      <c r="C98" s="195" t="str">
        <f>HYPERLINK("#LAYOUT_p!lay보PFAM2A02_T","PFAM2A02_T")</f>
        <v>PFAM2A02_T</v>
      </c>
      <c r="E98" s="7"/>
      <c r="F98" s="136"/>
      <c r="G98" s="143" t="s">
        <v>8</v>
      </c>
      <c r="H98" s="445" t="s">
        <v>513</v>
      </c>
      <c r="I98" s="445"/>
      <c r="J98" s="445"/>
      <c r="K98" s="445"/>
      <c r="L98" s="445"/>
      <c r="M98" s="143"/>
      <c r="N98" s="136"/>
      <c r="O98" s="136"/>
      <c r="P98" s="136"/>
      <c r="Q98" s="136"/>
      <c r="R98" s="136"/>
      <c r="S98" s="136"/>
      <c r="T98" s="136"/>
      <c r="V98" s="7"/>
    </row>
    <row r="99" spans="2:22" ht="18" customHeight="1">
      <c r="B99" s="195" t="str">
        <f>HYPERLINK("#LAYOUT_p!lay보PFAM2A03","PFAM2A03")</f>
        <v>PFAM2A03</v>
      </c>
      <c r="C99" s="195" t="str">
        <f>HYPERLINK("#LAYOUT_p!lay보PFAM2A03_T","PFAM2A03_T")</f>
        <v>PFAM2A03_T</v>
      </c>
      <c r="E99" s="7"/>
      <c r="F99" s="136"/>
      <c r="G99" s="144" t="s">
        <v>9</v>
      </c>
      <c r="H99" s="445" t="s">
        <v>514</v>
      </c>
      <c r="I99" s="445"/>
      <c r="J99" s="445"/>
      <c r="K99" s="445"/>
      <c r="L99" s="445"/>
      <c r="M99" s="145"/>
      <c r="N99" s="136"/>
      <c r="O99" s="136"/>
      <c r="P99" s="136"/>
      <c r="Q99" s="136"/>
      <c r="R99" s="136"/>
      <c r="S99" s="136"/>
      <c r="T99" s="136"/>
      <c r="V99" s="7"/>
    </row>
    <row r="100" spans="2:22" ht="18" customHeight="1">
      <c r="B100" s="195" t="str">
        <f>HYPERLINK("#LAYOUT_p!lay보PFAM2A04","PFAM2A04")</f>
        <v>PFAM2A04</v>
      </c>
      <c r="C100" s="195" t="str">
        <f>HYPERLINK("#LAYOUT_p!lay보PFAM2A04_T","PFAM2A04_T")</f>
        <v>PFAM2A04_T</v>
      </c>
      <c r="E100" s="7"/>
      <c r="F100" s="136"/>
      <c r="G100" s="145" t="s">
        <v>10</v>
      </c>
      <c r="H100" s="445" t="s">
        <v>515</v>
      </c>
      <c r="I100" s="445"/>
      <c r="J100" s="445"/>
      <c r="K100" s="445"/>
      <c r="L100" s="445"/>
      <c r="M100" s="57"/>
      <c r="N100" s="136"/>
      <c r="O100" s="136"/>
      <c r="P100" s="136"/>
      <c r="Q100" s="136"/>
      <c r="R100" s="136"/>
      <c r="S100" s="136"/>
      <c r="T100" s="136"/>
      <c r="V100" s="7"/>
    </row>
    <row r="101" spans="2:22" ht="18" customHeight="1" thickBot="1">
      <c r="B101" s="195"/>
      <c r="C101" s="195"/>
      <c r="E101" s="7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V101" s="7"/>
    </row>
    <row r="102" spans="2:22" ht="18" customHeight="1" thickTop="1">
      <c r="B102" s="195"/>
      <c r="C102" s="195"/>
      <c r="E102" s="7"/>
      <c r="F102" s="136"/>
      <c r="G102" s="442" t="s">
        <v>990</v>
      </c>
      <c r="H102" s="442"/>
      <c r="I102" s="442"/>
      <c r="J102" s="442"/>
      <c r="K102" s="442"/>
      <c r="L102" s="442"/>
      <c r="M102" s="442"/>
      <c r="N102" s="136"/>
      <c r="O102" s="136"/>
      <c r="P102" s="136"/>
      <c r="Q102" s="136"/>
      <c r="R102" s="136"/>
      <c r="S102" s="136"/>
      <c r="T102" s="136"/>
      <c r="V102" s="7"/>
    </row>
    <row r="103" spans="2:22" ht="18" customHeight="1">
      <c r="B103" s="195"/>
      <c r="C103" s="195"/>
      <c r="E103" s="7"/>
      <c r="F103" s="136"/>
      <c r="G103" s="315" t="s">
        <v>968</v>
      </c>
      <c r="H103" s="443" t="s">
        <v>991</v>
      </c>
      <c r="I103" s="443"/>
      <c r="J103" s="443"/>
      <c r="K103" s="443"/>
      <c r="L103" s="443"/>
      <c r="M103" s="443"/>
      <c r="N103" s="136"/>
      <c r="O103" s="136"/>
      <c r="P103" s="136"/>
      <c r="Q103" s="136"/>
      <c r="R103" s="136"/>
      <c r="S103" s="136"/>
      <c r="T103" s="136"/>
      <c r="V103" s="7"/>
    </row>
    <row r="104" spans="2:22" ht="18" customHeight="1">
      <c r="B104" s="195"/>
      <c r="C104" s="195"/>
      <c r="E104" s="7"/>
      <c r="F104" s="136"/>
      <c r="G104" s="316"/>
      <c r="H104" s="436" t="s">
        <v>992</v>
      </c>
      <c r="I104" s="436"/>
      <c r="J104" s="436"/>
      <c r="K104" s="436"/>
      <c r="L104" s="436"/>
      <c r="M104" s="436"/>
      <c r="N104" s="136"/>
      <c r="O104" s="136"/>
      <c r="P104" s="136"/>
      <c r="Q104" s="136"/>
      <c r="R104" s="136"/>
      <c r="S104" s="136"/>
      <c r="T104" s="136"/>
      <c r="V104" s="7"/>
    </row>
    <row r="105" spans="2:22" ht="18" customHeight="1">
      <c r="B105" s="195"/>
      <c r="C105" s="195"/>
      <c r="E105" s="7"/>
      <c r="F105" s="136"/>
      <c r="G105" s="316"/>
      <c r="H105" s="436" t="s">
        <v>993</v>
      </c>
      <c r="I105" s="436"/>
      <c r="J105" s="436"/>
      <c r="K105" s="436"/>
      <c r="L105" s="436"/>
      <c r="M105" s="436"/>
      <c r="N105" s="136"/>
      <c r="O105" s="136"/>
      <c r="P105" s="136"/>
      <c r="Q105" s="136"/>
      <c r="R105" s="136"/>
      <c r="S105" s="136"/>
      <c r="T105" s="136"/>
      <c r="V105" s="7"/>
    </row>
    <row r="106" spans="2:22" ht="18" customHeight="1">
      <c r="B106" s="195"/>
      <c r="C106" s="195"/>
      <c r="E106" s="7"/>
      <c r="F106" s="136"/>
      <c r="G106" s="316"/>
      <c r="H106" s="436" t="s">
        <v>994</v>
      </c>
      <c r="I106" s="436"/>
      <c r="J106" s="436"/>
      <c r="K106" s="436"/>
      <c r="L106" s="436"/>
      <c r="M106" s="436"/>
      <c r="N106" s="136"/>
      <c r="O106" s="136"/>
      <c r="P106" s="136"/>
      <c r="Q106" s="136"/>
      <c r="R106" s="136"/>
      <c r="S106" s="136"/>
      <c r="T106" s="136"/>
      <c r="V106" s="7"/>
    </row>
    <row r="107" spans="2:22" ht="18" customHeight="1">
      <c r="B107" s="195"/>
      <c r="C107" s="195"/>
      <c r="E107" s="7"/>
      <c r="F107" s="136"/>
      <c r="G107" s="316"/>
      <c r="H107" s="436" t="s">
        <v>995</v>
      </c>
      <c r="I107" s="436"/>
      <c r="J107" s="436"/>
      <c r="K107" s="436"/>
      <c r="L107" s="436"/>
      <c r="M107" s="436"/>
      <c r="N107" s="136"/>
      <c r="O107" s="136"/>
      <c r="P107" s="136"/>
      <c r="Q107" s="136"/>
      <c r="R107" s="136"/>
      <c r="S107" s="136"/>
      <c r="T107" s="136"/>
      <c r="V107" s="7"/>
    </row>
    <row r="108" spans="2:22" ht="18" customHeight="1">
      <c r="B108" s="195"/>
      <c r="C108" s="195"/>
      <c r="E108" s="7"/>
      <c r="F108" s="136"/>
      <c r="G108" s="316"/>
      <c r="H108" s="436" t="s">
        <v>996</v>
      </c>
      <c r="I108" s="436"/>
      <c r="J108" s="436"/>
      <c r="K108" s="436"/>
      <c r="L108" s="436"/>
      <c r="M108" s="436"/>
      <c r="N108" s="136"/>
      <c r="O108" s="136"/>
      <c r="P108" s="136"/>
      <c r="Q108" s="136"/>
      <c r="R108" s="136"/>
      <c r="S108" s="136"/>
      <c r="T108" s="136"/>
      <c r="V108" s="7"/>
    </row>
    <row r="109" spans="2:22" ht="18" customHeight="1">
      <c r="B109" s="195"/>
      <c r="C109" s="195"/>
      <c r="E109" s="7"/>
      <c r="F109" s="136"/>
      <c r="G109" s="317"/>
      <c r="H109" s="437" t="s">
        <v>997</v>
      </c>
      <c r="I109" s="437"/>
      <c r="J109" s="437"/>
      <c r="K109" s="437"/>
      <c r="L109" s="437"/>
      <c r="M109" s="437"/>
      <c r="N109" s="136"/>
      <c r="O109" s="136"/>
      <c r="P109" s="136"/>
      <c r="Q109" s="136"/>
      <c r="R109" s="136"/>
      <c r="S109" s="136"/>
      <c r="T109" s="136"/>
      <c r="V109" s="7"/>
    </row>
    <row r="110" spans="2:22" ht="18" customHeight="1">
      <c r="B110" s="195"/>
      <c r="C110" s="195"/>
      <c r="E110" s="7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V110" s="7"/>
    </row>
    <row r="111" spans="2:22" ht="18" customHeight="1">
      <c r="B111" s="195"/>
      <c r="C111" s="195"/>
      <c r="E111" s="7"/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V111" s="7"/>
    </row>
    <row r="112" spans="2:22" ht="18" customHeight="1">
      <c r="B112" s="195"/>
      <c r="C112" s="195"/>
      <c r="E112" s="7"/>
      <c r="F112" s="136" t="s">
        <v>998</v>
      </c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V112" s="7"/>
    </row>
    <row r="113" spans="2:22" ht="18" customHeight="1" thickBot="1">
      <c r="B113" s="195"/>
      <c r="C113" s="195"/>
      <c r="E113" s="7"/>
      <c r="F113" s="136"/>
      <c r="G113" s="136" t="s">
        <v>756</v>
      </c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V113" s="7"/>
    </row>
    <row r="114" spans="2:22" ht="18" customHeight="1" thickTop="1" thickBot="1">
      <c r="B114" s="195"/>
      <c r="C114" s="195"/>
      <c r="E114" s="7"/>
      <c r="F114" s="136"/>
      <c r="G114" s="401" t="s">
        <v>999</v>
      </c>
      <c r="H114" s="402"/>
      <c r="I114" s="368" t="s">
        <v>1000</v>
      </c>
      <c r="J114" s="368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V114" s="7"/>
    </row>
    <row r="115" spans="2:22" ht="18" customHeight="1" thickTop="1">
      <c r="B115" s="195" t="str">
        <f>HYPERLINK("#LAYOUT_p!lay보PFAM4A01","PFAM4A01")</f>
        <v>PFAM4A01</v>
      </c>
      <c r="C115" s="195" t="str">
        <f>HYPERLINK("#LAYOUT_p!lay보PFAM4A03","PFAM4A03")</f>
        <v>PFAM4A03</v>
      </c>
      <c r="E115" s="7"/>
      <c r="F115" s="136"/>
      <c r="G115" s="399" t="s">
        <v>1593</v>
      </c>
      <c r="H115" s="400"/>
      <c r="I115" s="399" t="s">
        <v>1594</v>
      </c>
      <c r="J115" s="399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V115" s="7"/>
    </row>
    <row r="116" spans="2:22" ht="18" customHeight="1">
      <c r="B116" s="195" t="str">
        <f>HYPERLINK("#LAYOUT_p!lay보PFAM4A02","PFAM4A02")</f>
        <v>PFAM4A02</v>
      </c>
      <c r="C116" s="195" t="str">
        <f>HYPERLINK("#LAYOUT_p!lay보PFAM4A04","PFAM4A04")</f>
        <v>PFAM4A04</v>
      </c>
      <c r="E116" s="7"/>
      <c r="F116" s="136"/>
      <c r="G116" s="403" t="s">
        <v>1595</v>
      </c>
      <c r="H116" s="404"/>
      <c r="I116" s="405" t="s">
        <v>1595</v>
      </c>
      <c r="J116" s="405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V116" s="7"/>
    </row>
    <row r="117" spans="2:22" ht="18" customHeight="1">
      <c r="B117" s="195"/>
      <c r="C117" s="195"/>
      <c r="E117" s="7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V117" s="7"/>
    </row>
    <row r="118" spans="2:22" ht="18" customHeight="1">
      <c r="B118" s="195"/>
      <c r="C118" s="195"/>
      <c r="E118" s="7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V118" s="7"/>
    </row>
    <row r="119" spans="2:22" ht="18" customHeight="1" thickBot="1">
      <c r="B119" s="355" t="str">
        <f>HYPERLINK("#LAYOUT_p!lay보PFAM3A00","PFAM3A00")</f>
        <v>PFAM3A00</v>
      </c>
      <c r="C119" s="355"/>
      <c r="E119" s="7"/>
      <c r="F119" s="136" t="s">
        <v>1001</v>
      </c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V119" s="7"/>
    </row>
    <row r="120" spans="2:22" ht="18" customHeight="1" thickTop="1">
      <c r="B120" s="195"/>
      <c r="C120" s="195"/>
      <c r="E120" s="7"/>
      <c r="F120" s="136"/>
      <c r="G120" s="36"/>
      <c r="H120" s="37"/>
      <c r="I120" s="37"/>
      <c r="J120" s="37"/>
      <c r="K120" s="37"/>
      <c r="L120" s="37"/>
      <c r="M120" s="37"/>
      <c r="N120" s="38"/>
      <c r="O120" s="136"/>
      <c r="P120" s="136"/>
      <c r="Q120" s="136"/>
      <c r="R120" s="136"/>
      <c r="S120" s="136"/>
      <c r="T120" s="136"/>
      <c r="V120" s="7"/>
    </row>
    <row r="121" spans="2:22" ht="18" customHeight="1">
      <c r="B121" s="195"/>
      <c r="C121" s="195"/>
      <c r="E121" s="7"/>
      <c r="F121" s="136"/>
      <c r="G121" s="40"/>
      <c r="H121" s="11" t="s">
        <v>124</v>
      </c>
      <c r="I121" s="11" t="s">
        <v>125</v>
      </c>
      <c r="J121" s="11" t="s">
        <v>126</v>
      </c>
      <c r="K121" s="11" t="s">
        <v>127</v>
      </c>
      <c r="L121" s="11" t="s">
        <v>128</v>
      </c>
      <c r="M121" s="41" t="s">
        <v>129</v>
      </c>
      <c r="N121" s="42"/>
      <c r="O121" s="136"/>
      <c r="P121" s="136"/>
      <c r="Q121" s="136"/>
      <c r="R121" s="136"/>
      <c r="S121" s="136"/>
      <c r="T121" s="136"/>
      <c r="V121" s="7"/>
    </row>
    <row r="122" spans="2:22" ht="18" customHeight="1">
      <c r="B122" s="195"/>
      <c r="C122" s="195"/>
      <c r="E122" s="7"/>
      <c r="F122" s="136"/>
      <c r="G122" s="40"/>
      <c r="H122" s="11" t="s">
        <v>591</v>
      </c>
      <c r="I122" s="11" t="s">
        <v>592</v>
      </c>
      <c r="J122" s="11" t="s">
        <v>593</v>
      </c>
      <c r="K122" s="11" t="s">
        <v>594</v>
      </c>
      <c r="L122" s="11" t="s">
        <v>595</v>
      </c>
      <c r="M122" s="41" t="s">
        <v>6</v>
      </c>
      <c r="N122" s="42"/>
      <c r="O122" s="136"/>
      <c r="P122" s="136"/>
      <c r="Q122" s="136"/>
      <c r="R122" s="136"/>
      <c r="S122" s="136"/>
      <c r="T122" s="136"/>
      <c r="V122" s="7"/>
    </row>
    <row r="123" spans="2:22" ht="18" customHeight="1">
      <c r="B123" s="195"/>
      <c r="C123" s="195"/>
      <c r="E123" s="7"/>
      <c r="F123" s="136"/>
      <c r="G123" s="40"/>
      <c r="H123" s="43"/>
      <c r="I123" s="43"/>
      <c r="J123" s="43"/>
      <c r="K123" s="43"/>
      <c r="L123" s="43"/>
      <c r="M123" s="44"/>
      <c r="N123" s="42"/>
      <c r="O123" s="136"/>
      <c r="P123" s="136"/>
      <c r="Q123" s="136"/>
      <c r="R123" s="136"/>
      <c r="S123" s="136"/>
      <c r="T123" s="136"/>
      <c r="V123" s="7"/>
    </row>
    <row r="124" spans="2:22" ht="18" customHeight="1">
      <c r="B124" s="195"/>
      <c r="C124" s="195"/>
      <c r="E124" s="7"/>
      <c r="F124" s="136"/>
      <c r="G124" s="40"/>
      <c r="H124" s="45"/>
      <c r="I124" s="45"/>
      <c r="J124" s="45"/>
      <c r="K124" s="45"/>
      <c r="L124" s="45"/>
      <c r="M124" s="46"/>
      <c r="N124" s="42"/>
      <c r="O124" s="136"/>
      <c r="P124" s="136"/>
      <c r="Q124" s="136"/>
      <c r="R124" s="136"/>
      <c r="S124" s="136"/>
      <c r="T124" s="136"/>
      <c r="V124" s="7"/>
    </row>
    <row r="125" spans="2:22" ht="18" customHeight="1" thickBot="1">
      <c r="B125" s="195"/>
      <c r="C125" s="195"/>
      <c r="E125" s="7"/>
      <c r="F125" s="136"/>
      <c r="G125" s="47"/>
      <c r="H125" s="48"/>
      <c r="I125" s="48"/>
      <c r="J125" s="48"/>
      <c r="K125" s="48"/>
      <c r="L125" s="48"/>
      <c r="M125" s="48"/>
      <c r="N125" s="49"/>
      <c r="O125" s="136"/>
      <c r="P125" s="136"/>
      <c r="Q125" s="136"/>
      <c r="R125" s="136"/>
      <c r="S125" s="136"/>
      <c r="T125" s="136"/>
      <c r="V125" s="7"/>
    </row>
    <row r="126" spans="2:22" ht="18" customHeight="1" thickTop="1">
      <c r="B126" s="195"/>
      <c r="C126" s="195"/>
      <c r="E126" s="7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V126" s="7"/>
    </row>
    <row r="127" spans="2:22" ht="18" customHeight="1">
      <c r="B127" s="195"/>
      <c r="C127" s="195"/>
      <c r="E127" s="7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V127" s="7"/>
    </row>
    <row r="128" spans="2:22" ht="18" customHeight="1" thickBot="1">
      <c r="B128" s="355" t="str">
        <f>HYPERLINK("#LAYOUT_p!lay보PFAM3B00","PFAM3B00")</f>
        <v>PFAM3B00</v>
      </c>
      <c r="C128" s="355"/>
      <c r="E128" s="7"/>
      <c r="F128" s="136" t="s">
        <v>1002</v>
      </c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V128" s="7"/>
    </row>
    <row r="129" spans="2:22" ht="18" customHeight="1" thickTop="1">
      <c r="B129" s="195"/>
      <c r="C129" s="195"/>
      <c r="E129" s="7"/>
      <c r="F129" s="136"/>
      <c r="G129" s="36"/>
      <c r="H129" s="37"/>
      <c r="I129" s="37"/>
      <c r="J129" s="37"/>
      <c r="K129" s="37"/>
      <c r="L129" s="37"/>
      <c r="M129" s="37"/>
      <c r="N129" s="38"/>
      <c r="O129" s="136"/>
      <c r="P129" s="136"/>
      <c r="Q129" s="136"/>
      <c r="R129" s="136"/>
      <c r="S129" s="136"/>
      <c r="T129" s="136"/>
      <c r="V129" s="7"/>
    </row>
    <row r="130" spans="2:22" ht="18" customHeight="1">
      <c r="B130" s="195"/>
      <c r="C130" s="195"/>
      <c r="E130" s="7"/>
      <c r="F130" s="136"/>
      <c r="G130" s="40"/>
      <c r="H130" s="11" t="s">
        <v>131</v>
      </c>
      <c r="I130" s="11" t="s">
        <v>132</v>
      </c>
      <c r="J130" s="11" t="s">
        <v>126</v>
      </c>
      <c r="K130" s="11" t="s">
        <v>133</v>
      </c>
      <c r="L130" s="11" t="s">
        <v>640</v>
      </c>
      <c r="M130" s="41" t="s">
        <v>129</v>
      </c>
      <c r="N130" s="42"/>
      <c r="O130" s="136"/>
      <c r="P130" s="136"/>
      <c r="Q130" s="136"/>
      <c r="R130" s="136"/>
      <c r="S130" s="136"/>
      <c r="T130" s="136"/>
      <c r="V130" s="7"/>
    </row>
    <row r="131" spans="2:22" ht="18" customHeight="1">
      <c r="B131" s="195"/>
      <c r="C131" s="195"/>
      <c r="E131" s="7"/>
      <c r="F131" s="136"/>
      <c r="G131" s="40"/>
      <c r="H131" s="11" t="s">
        <v>591</v>
      </c>
      <c r="I131" s="11" t="s">
        <v>592</v>
      </c>
      <c r="J131" s="11" t="s">
        <v>593</v>
      </c>
      <c r="K131" s="11" t="s">
        <v>594</v>
      </c>
      <c r="L131" s="11" t="s">
        <v>595</v>
      </c>
      <c r="M131" s="41" t="s">
        <v>6</v>
      </c>
      <c r="N131" s="42"/>
      <c r="O131" s="136"/>
      <c r="P131" s="136"/>
      <c r="Q131" s="136"/>
      <c r="R131" s="136"/>
      <c r="S131" s="136"/>
      <c r="T131" s="136"/>
      <c r="V131" s="7"/>
    </row>
    <row r="132" spans="2:22" ht="18" customHeight="1">
      <c r="B132" s="195"/>
      <c r="C132" s="195"/>
      <c r="E132" s="7"/>
      <c r="F132" s="136"/>
      <c r="G132" s="40"/>
      <c r="H132" s="43"/>
      <c r="I132" s="43"/>
      <c r="J132" s="43"/>
      <c r="K132" s="43"/>
      <c r="L132" s="43"/>
      <c r="M132" s="44"/>
      <c r="N132" s="42"/>
      <c r="O132" s="136"/>
      <c r="P132" s="136"/>
      <c r="Q132" s="136"/>
      <c r="R132" s="136"/>
      <c r="S132" s="136"/>
      <c r="T132" s="136"/>
      <c r="V132" s="7"/>
    </row>
    <row r="133" spans="2:22" ht="18" customHeight="1">
      <c r="B133" s="195"/>
      <c r="C133" s="195"/>
      <c r="E133" s="7"/>
      <c r="F133" s="136"/>
      <c r="G133" s="40"/>
      <c r="H133" s="45"/>
      <c r="I133" s="45"/>
      <c r="J133" s="45"/>
      <c r="K133" s="45"/>
      <c r="L133" s="45"/>
      <c r="M133" s="46"/>
      <c r="N133" s="42"/>
      <c r="O133" s="136"/>
      <c r="P133" s="136"/>
      <c r="Q133" s="136"/>
      <c r="R133" s="136"/>
      <c r="S133" s="136"/>
      <c r="T133" s="136"/>
      <c r="V133" s="7"/>
    </row>
    <row r="134" spans="2:22" ht="18" customHeight="1" thickBot="1">
      <c r="B134" s="195"/>
      <c r="C134" s="195"/>
      <c r="E134" s="7"/>
      <c r="F134" s="136"/>
      <c r="G134" s="47"/>
      <c r="H134" s="48"/>
      <c r="I134" s="48"/>
      <c r="J134" s="48"/>
      <c r="K134" s="48"/>
      <c r="L134" s="48"/>
      <c r="M134" s="48"/>
      <c r="N134" s="49"/>
      <c r="O134" s="136"/>
      <c r="P134" s="136"/>
      <c r="Q134" s="136"/>
      <c r="R134" s="136"/>
      <c r="S134" s="136"/>
      <c r="T134" s="136"/>
      <c r="V134" s="7"/>
    </row>
    <row r="135" spans="2:22" ht="18" customHeight="1" thickTop="1">
      <c r="B135" s="195"/>
      <c r="C135" s="195"/>
      <c r="E135" s="7"/>
      <c r="F135" s="136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V135" s="7"/>
    </row>
    <row r="136" spans="2:22" ht="18" customHeight="1">
      <c r="B136" s="195"/>
      <c r="C136" s="195"/>
      <c r="E136" s="7"/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V136" s="7"/>
    </row>
    <row r="137" spans="2:22" ht="18" customHeight="1" thickBot="1">
      <c r="B137" s="355" t="str">
        <f>HYPERLINK("#LAYOUT_p!lay보PFAM3C00","PFAM3C00")</f>
        <v>PFAM3C00</v>
      </c>
      <c r="C137" s="355"/>
      <c r="E137" s="7"/>
      <c r="F137" s="136" t="s">
        <v>1003</v>
      </c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V137" s="7"/>
    </row>
    <row r="138" spans="2:22" ht="18" customHeight="1" thickTop="1">
      <c r="B138" s="195"/>
      <c r="C138" s="195"/>
      <c r="E138" s="7"/>
      <c r="F138" s="136"/>
      <c r="G138" s="36"/>
      <c r="H138" s="37"/>
      <c r="I138" s="37"/>
      <c r="J138" s="37"/>
      <c r="K138" s="37"/>
      <c r="L138" s="37"/>
      <c r="M138" s="37"/>
      <c r="N138" s="38"/>
      <c r="O138" s="136"/>
      <c r="P138" s="136"/>
      <c r="Q138" s="136"/>
      <c r="R138" s="136"/>
      <c r="S138" s="136"/>
      <c r="T138" s="136"/>
      <c r="V138" s="7"/>
    </row>
    <row r="139" spans="2:22" ht="18" customHeight="1">
      <c r="B139" s="195"/>
      <c r="C139" s="195"/>
      <c r="E139" s="7"/>
      <c r="F139" s="136"/>
      <c r="G139" s="40"/>
      <c r="H139" s="11" t="s">
        <v>131</v>
      </c>
      <c r="I139" s="11" t="s">
        <v>132</v>
      </c>
      <c r="J139" s="11" t="s">
        <v>126</v>
      </c>
      <c r="K139" s="11" t="s">
        <v>133</v>
      </c>
      <c r="L139" s="11" t="s">
        <v>640</v>
      </c>
      <c r="M139" s="41" t="s">
        <v>129</v>
      </c>
      <c r="N139" s="42"/>
      <c r="O139" s="136"/>
      <c r="P139" s="136"/>
      <c r="Q139" s="136"/>
      <c r="R139" s="136"/>
      <c r="S139" s="136"/>
      <c r="T139" s="136"/>
      <c r="V139" s="7"/>
    </row>
    <row r="140" spans="2:22" ht="18" customHeight="1">
      <c r="B140" s="195"/>
      <c r="C140" s="195"/>
      <c r="E140" s="7"/>
      <c r="F140" s="136"/>
      <c r="G140" s="40"/>
      <c r="H140" s="11" t="s">
        <v>591</v>
      </c>
      <c r="I140" s="11" t="s">
        <v>592</v>
      </c>
      <c r="J140" s="11" t="s">
        <v>593</v>
      </c>
      <c r="K140" s="11" t="s">
        <v>594</v>
      </c>
      <c r="L140" s="11" t="s">
        <v>595</v>
      </c>
      <c r="M140" s="41" t="s">
        <v>6</v>
      </c>
      <c r="N140" s="42"/>
      <c r="O140" s="136"/>
      <c r="P140" s="136"/>
      <c r="Q140" s="136"/>
      <c r="R140" s="136"/>
      <c r="S140" s="136"/>
      <c r="T140" s="136"/>
      <c r="V140" s="7"/>
    </row>
    <row r="141" spans="2:22" ht="18" customHeight="1">
      <c r="B141" s="195"/>
      <c r="C141" s="195"/>
      <c r="E141" s="7"/>
      <c r="F141" s="136"/>
      <c r="G141" s="40"/>
      <c r="H141" s="43"/>
      <c r="I141" s="43"/>
      <c r="J141" s="43"/>
      <c r="K141" s="43"/>
      <c r="L141" s="43"/>
      <c r="M141" s="44"/>
      <c r="N141" s="42"/>
      <c r="O141" s="136"/>
      <c r="P141" s="136"/>
      <c r="Q141" s="136"/>
      <c r="R141" s="136"/>
      <c r="S141" s="136"/>
      <c r="T141" s="136"/>
      <c r="V141" s="7"/>
    </row>
    <row r="142" spans="2:22" ht="18" customHeight="1">
      <c r="B142" s="195"/>
      <c r="C142" s="195"/>
      <c r="E142" s="7"/>
      <c r="F142" s="136"/>
      <c r="G142" s="40"/>
      <c r="H142" s="45"/>
      <c r="I142" s="45"/>
      <c r="J142" s="45"/>
      <c r="K142" s="45"/>
      <c r="L142" s="45"/>
      <c r="M142" s="46"/>
      <c r="N142" s="42"/>
      <c r="O142" s="136"/>
      <c r="P142" s="136"/>
      <c r="Q142" s="136"/>
      <c r="R142" s="136"/>
      <c r="S142" s="136"/>
      <c r="T142" s="136"/>
      <c r="V142" s="7"/>
    </row>
    <row r="143" spans="2:22" ht="18" customHeight="1" thickBot="1">
      <c r="B143" s="195"/>
      <c r="C143" s="195"/>
      <c r="E143" s="7"/>
      <c r="F143" s="136"/>
      <c r="G143" s="47"/>
      <c r="H143" s="48"/>
      <c r="I143" s="48"/>
      <c r="J143" s="48"/>
      <c r="K143" s="48"/>
      <c r="L143" s="48"/>
      <c r="M143" s="48"/>
      <c r="N143" s="49"/>
      <c r="O143" s="136"/>
      <c r="P143" s="136"/>
      <c r="Q143" s="136"/>
      <c r="R143" s="136"/>
      <c r="S143" s="136"/>
      <c r="T143" s="136"/>
      <c r="V143" s="7"/>
    </row>
    <row r="144" spans="2:22" ht="18" customHeight="1" thickTop="1">
      <c r="B144" s="195"/>
      <c r="C144" s="195"/>
      <c r="E144" s="7"/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V144" s="7"/>
    </row>
    <row r="145" spans="2:22" ht="18" customHeight="1">
      <c r="B145" s="195"/>
      <c r="C145" s="195"/>
      <c r="E145" s="7"/>
      <c r="F145" s="136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V145" s="7"/>
    </row>
    <row r="146" spans="2:22" ht="18" customHeight="1">
      <c r="B146" s="355" t="str">
        <f>HYPERLINK("#LAYOUT_p!lay보PFAM3D00","PFAM3D00")</f>
        <v>PFAM3D00</v>
      </c>
      <c r="C146" s="355"/>
      <c r="E146" s="7"/>
      <c r="F146" s="136" t="s">
        <v>1004</v>
      </c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V146" s="7"/>
    </row>
    <row r="147" spans="2:22" ht="18" customHeight="1">
      <c r="B147" s="195"/>
      <c r="C147" s="195"/>
      <c r="E147" s="7"/>
      <c r="F147" s="136"/>
      <c r="G147" s="370" t="s">
        <v>884</v>
      </c>
      <c r="H147" s="370"/>
      <c r="I147" s="370" t="s">
        <v>885</v>
      </c>
      <c r="J147" s="370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V147" s="7"/>
    </row>
    <row r="148" spans="2:22" ht="18" customHeight="1">
      <c r="B148" s="195"/>
      <c r="C148" s="195"/>
      <c r="E148" s="7"/>
      <c r="F148" s="136"/>
      <c r="G148" s="370" t="s">
        <v>886</v>
      </c>
      <c r="H148" s="370"/>
      <c r="I148" s="370" t="s">
        <v>887</v>
      </c>
      <c r="J148" s="370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V148" s="7"/>
    </row>
    <row r="149" spans="2:22" ht="18" customHeight="1">
      <c r="B149" s="195"/>
      <c r="C149" s="195"/>
      <c r="E149" s="7"/>
      <c r="F149" s="136"/>
      <c r="G149" s="370" t="s">
        <v>888</v>
      </c>
      <c r="H149" s="370"/>
      <c r="I149" s="28"/>
      <c r="J149" s="28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V149" s="7"/>
    </row>
    <row r="150" spans="2:22" ht="18" customHeight="1">
      <c r="B150" s="195"/>
      <c r="C150" s="195"/>
      <c r="E150" s="7"/>
      <c r="F150" s="136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V150" s="7"/>
    </row>
    <row r="151" spans="2:22" ht="18" customHeight="1">
      <c r="B151" s="195"/>
      <c r="C151" s="195"/>
      <c r="E151" s="7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V151" s="7"/>
    </row>
    <row r="152" spans="2:22" ht="18" customHeight="1">
      <c r="B152" s="195"/>
      <c r="C152" s="195"/>
      <c r="E152" s="7"/>
      <c r="F152" s="136" t="s">
        <v>1005</v>
      </c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V152" s="7"/>
    </row>
    <row r="153" spans="2:22" ht="18" customHeight="1">
      <c r="B153" s="195"/>
      <c r="C153" s="195"/>
      <c r="E153" s="7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V153" s="7"/>
    </row>
    <row r="154" spans="2:22" ht="18" customHeight="1">
      <c r="B154" s="195"/>
      <c r="C154" s="195"/>
      <c r="E154" s="7"/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V154" s="7"/>
    </row>
    <row r="155" spans="2:22" ht="18" customHeight="1">
      <c r="B155" s="355" t="str">
        <f>HYPERLINK("#LAYOUT_p!lay보PMDA1A00","PMDA1A00")</f>
        <v>PMDA1A00</v>
      </c>
      <c r="C155" s="355"/>
      <c r="E155" s="7"/>
      <c r="F155" s="136" t="s">
        <v>1006</v>
      </c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V155" s="7"/>
    </row>
    <row r="156" spans="2:22" ht="18" customHeight="1">
      <c r="B156" s="195"/>
      <c r="C156" s="195"/>
      <c r="E156" s="7"/>
      <c r="F156" s="136"/>
      <c r="G156" s="6" t="s">
        <v>1585</v>
      </c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V156" s="7"/>
    </row>
    <row r="157" spans="2:22" ht="18" customHeight="1">
      <c r="B157" s="195"/>
      <c r="C157" s="195"/>
      <c r="E157" s="7"/>
      <c r="F157" s="136"/>
      <c r="G157" s="6" t="s">
        <v>1586</v>
      </c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V157" s="7"/>
    </row>
    <row r="158" spans="2:22" ht="18" customHeight="1">
      <c r="B158" s="195"/>
      <c r="C158" s="195"/>
      <c r="E158" s="7"/>
      <c r="F158" s="136"/>
      <c r="G158" s="6" t="s">
        <v>1636</v>
      </c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V158" s="7"/>
    </row>
    <row r="159" spans="2:22" ht="18" customHeight="1">
      <c r="B159" s="195"/>
      <c r="C159" s="195"/>
      <c r="E159" s="7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V159" s="7"/>
    </row>
    <row r="160" spans="2:22" ht="18" customHeight="1">
      <c r="B160" s="195"/>
      <c r="C160" s="195"/>
      <c r="E160" s="7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V160" s="7"/>
    </row>
    <row r="161" spans="2:22" ht="18" customHeight="1" thickBot="1">
      <c r="B161" s="195"/>
      <c r="C161" s="195"/>
      <c r="E161" s="7"/>
      <c r="F161" s="136" t="s">
        <v>1007</v>
      </c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V161" s="7"/>
    </row>
    <row r="162" spans="2:22" ht="31.5" thickTop="1" thickBot="1">
      <c r="B162" s="195"/>
      <c r="C162" s="195"/>
      <c r="E162" s="7"/>
      <c r="F162" s="136"/>
      <c r="G162" s="368" t="s">
        <v>574</v>
      </c>
      <c r="H162" s="368"/>
      <c r="I162" s="368"/>
      <c r="J162" s="368"/>
      <c r="K162" s="368"/>
      <c r="L162" s="369"/>
      <c r="M162" s="9" t="s">
        <v>86</v>
      </c>
      <c r="N162" s="9" t="s">
        <v>87</v>
      </c>
      <c r="O162" s="9" t="s">
        <v>88</v>
      </c>
      <c r="P162" s="9" t="s">
        <v>89</v>
      </c>
      <c r="Q162" s="19" t="s">
        <v>90</v>
      </c>
      <c r="R162" s="136"/>
      <c r="S162" s="136"/>
      <c r="T162" s="136"/>
      <c r="V162" s="7"/>
    </row>
    <row r="163" spans="2:22" ht="18" customHeight="1" thickTop="1">
      <c r="B163" s="355" t="str">
        <f>HYPERLINK("#LAYOUT_p!lay보PMDA1B01","PMDA1B01")</f>
        <v>PMDA1B01</v>
      </c>
      <c r="C163" s="355"/>
      <c r="E163" s="7"/>
      <c r="F163" s="136"/>
      <c r="G163" s="372" t="s">
        <v>609</v>
      </c>
      <c r="H163" s="372"/>
      <c r="I163" s="372"/>
      <c r="J163" s="372"/>
      <c r="K163" s="372"/>
      <c r="L163" s="373"/>
      <c r="M163" s="20" t="s">
        <v>591</v>
      </c>
      <c r="N163" s="20" t="s">
        <v>592</v>
      </c>
      <c r="O163" s="20" t="s">
        <v>593</v>
      </c>
      <c r="P163" s="20" t="s">
        <v>594</v>
      </c>
      <c r="Q163" s="21"/>
      <c r="R163" s="136"/>
      <c r="S163" s="136"/>
      <c r="T163" s="136"/>
      <c r="V163" s="7"/>
    </row>
    <row r="164" spans="2:22" ht="18" customHeight="1">
      <c r="B164" s="355" t="str">
        <f>HYPERLINK("#LAYOUT_p!lay보PMDA1B02","PMDA1B02")</f>
        <v>PMDA1B02</v>
      </c>
      <c r="C164" s="355"/>
      <c r="E164" s="7"/>
      <c r="F164" s="136"/>
      <c r="G164" s="362" t="s">
        <v>610</v>
      </c>
      <c r="H164" s="362"/>
      <c r="I164" s="362"/>
      <c r="J164" s="362"/>
      <c r="K164" s="362"/>
      <c r="L164" s="363"/>
      <c r="M164" s="22" t="s">
        <v>591</v>
      </c>
      <c r="N164" s="22" t="s">
        <v>592</v>
      </c>
      <c r="O164" s="22" t="s">
        <v>593</v>
      </c>
      <c r="P164" s="22" t="s">
        <v>594</v>
      </c>
      <c r="Q164" s="23"/>
      <c r="R164" s="136"/>
      <c r="S164" s="136"/>
      <c r="T164" s="136"/>
      <c r="V164" s="7"/>
    </row>
    <row r="165" spans="2:22" ht="18" customHeight="1">
      <c r="B165" s="355" t="str">
        <f>HYPERLINK("#LAYOUT_p!lay보PMDA1B03","PMDA1B03")</f>
        <v>PMDA1B03</v>
      </c>
      <c r="C165" s="355"/>
      <c r="E165" s="7"/>
      <c r="F165" s="136"/>
      <c r="G165" s="362" t="s">
        <v>611</v>
      </c>
      <c r="H165" s="362"/>
      <c r="I165" s="362"/>
      <c r="J165" s="362"/>
      <c r="K165" s="362"/>
      <c r="L165" s="363"/>
      <c r="M165" s="22" t="s">
        <v>591</v>
      </c>
      <c r="N165" s="22" t="s">
        <v>592</v>
      </c>
      <c r="O165" s="22" t="s">
        <v>593</v>
      </c>
      <c r="P165" s="22" t="s">
        <v>594</v>
      </c>
      <c r="Q165" s="23"/>
      <c r="R165" s="136"/>
      <c r="S165" s="136"/>
      <c r="T165" s="136"/>
      <c r="V165" s="7"/>
    </row>
    <row r="166" spans="2:22" ht="18" customHeight="1">
      <c r="B166" s="355" t="str">
        <f>HYPERLINK("#LAYOUT_p!lay보PMDA1B04","PMDA1B04")</f>
        <v>PMDA1B04</v>
      </c>
      <c r="C166" s="355"/>
      <c r="E166" s="7"/>
      <c r="F166" s="136"/>
      <c r="G166" s="362" t="s">
        <v>612</v>
      </c>
      <c r="H166" s="362"/>
      <c r="I166" s="362"/>
      <c r="J166" s="362"/>
      <c r="K166" s="362"/>
      <c r="L166" s="363"/>
      <c r="M166" s="22" t="s">
        <v>591</v>
      </c>
      <c r="N166" s="22" t="s">
        <v>592</v>
      </c>
      <c r="O166" s="22" t="s">
        <v>593</v>
      </c>
      <c r="P166" s="22" t="s">
        <v>594</v>
      </c>
      <c r="Q166" s="23"/>
      <c r="R166" s="136"/>
      <c r="S166" s="136"/>
      <c r="T166" s="136"/>
      <c r="V166" s="7"/>
    </row>
    <row r="167" spans="2:22" ht="18" customHeight="1">
      <c r="B167" s="355" t="str">
        <f>HYPERLINK("#LAYOUT_p!lay보PMDA1B05","PMDA1B05")</f>
        <v>PMDA1B05</v>
      </c>
      <c r="C167" s="355"/>
      <c r="E167" s="7"/>
      <c r="F167" s="136"/>
      <c r="G167" s="362" t="s">
        <v>613</v>
      </c>
      <c r="H167" s="362"/>
      <c r="I167" s="362"/>
      <c r="J167" s="362"/>
      <c r="K167" s="362"/>
      <c r="L167" s="363"/>
      <c r="M167" s="22" t="s">
        <v>591</v>
      </c>
      <c r="N167" s="22" t="s">
        <v>592</v>
      </c>
      <c r="O167" s="22" t="s">
        <v>593</v>
      </c>
      <c r="P167" s="22" t="s">
        <v>594</v>
      </c>
      <c r="Q167" s="23"/>
      <c r="R167" s="136"/>
      <c r="S167" s="136"/>
      <c r="T167" s="136"/>
      <c r="V167" s="7"/>
    </row>
    <row r="168" spans="2:22" ht="18" customHeight="1">
      <c r="B168" s="355" t="str">
        <f>HYPERLINK("#LAYOUT_p!lay보PMDA1B06","PMDA1B06")</f>
        <v>PMDA1B06</v>
      </c>
      <c r="C168" s="355"/>
      <c r="E168" s="7"/>
      <c r="F168" s="136"/>
      <c r="G168" s="362" t="s">
        <v>614</v>
      </c>
      <c r="H168" s="362"/>
      <c r="I168" s="362"/>
      <c r="J168" s="362"/>
      <c r="K168" s="362"/>
      <c r="L168" s="363"/>
      <c r="M168" s="22" t="s">
        <v>591</v>
      </c>
      <c r="N168" s="22" t="s">
        <v>592</v>
      </c>
      <c r="O168" s="22" t="s">
        <v>593</v>
      </c>
      <c r="P168" s="22" t="s">
        <v>594</v>
      </c>
      <c r="Q168" s="23"/>
      <c r="R168" s="136"/>
      <c r="S168" s="136"/>
      <c r="T168" s="136"/>
      <c r="V168" s="7"/>
    </row>
    <row r="169" spans="2:22" ht="18" customHeight="1">
      <c r="B169" s="355" t="str">
        <f>HYPERLINK("#LAYOUT_p!lay보PMDA1B07","PMDA1B07")</f>
        <v>PMDA1B07</v>
      </c>
      <c r="C169" s="355"/>
      <c r="E169" s="7"/>
      <c r="F169" s="136"/>
      <c r="G169" s="362" t="s">
        <v>615</v>
      </c>
      <c r="H169" s="362"/>
      <c r="I169" s="362"/>
      <c r="J169" s="362"/>
      <c r="K169" s="362"/>
      <c r="L169" s="363"/>
      <c r="M169" s="22" t="s">
        <v>591</v>
      </c>
      <c r="N169" s="22" t="s">
        <v>592</v>
      </c>
      <c r="O169" s="22" t="s">
        <v>593</v>
      </c>
      <c r="P169" s="22" t="s">
        <v>594</v>
      </c>
      <c r="Q169" s="23"/>
      <c r="R169" s="136"/>
      <c r="S169" s="136"/>
      <c r="T169" s="136"/>
      <c r="V169" s="7"/>
    </row>
    <row r="170" spans="2:22" ht="18" customHeight="1">
      <c r="B170" s="355" t="str">
        <f>HYPERLINK("#LAYOUT_p!lay보PMDA1B08","PMDA1B08")</f>
        <v>PMDA1B08</v>
      </c>
      <c r="C170" s="355"/>
      <c r="E170" s="7"/>
      <c r="F170" s="136"/>
      <c r="G170" s="362" t="s">
        <v>616</v>
      </c>
      <c r="H170" s="362"/>
      <c r="I170" s="362"/>
      <c r="J170" s="362"/>
      <c r="K170" s="362"/>
      <c r="L170" s="363"/>
      <c r="M170" s="22" t="s">
        <v>591</v>
      </c>
      <c r="N170" s="22" t="s">
        <v>592</v>
      </c>
      <c r="O170" s="22" t="s">
        <v>593</v>
      </c>
      <c r="P170" s="22" t="s">
        <v>594</v>
      </c>
      <c r="Q170" s="23"/>
      <c r="R170" s="136"/>
      <c r="S170" s="136"/>
      <c r="T170" s="136"/>
      <c r="V170" s="7"/>
    </row>
    <row r="171" spans="2:22" ht="18" customHeight="1">
      <c r="B171" s="355" t="str">
        <f>HYPERLINK("#LAYOUT_p!lay보PMDA1B09","PMDA1B09")</f>
        <v>PMDA1B09</v>
      </c>
      <c r="C171" s="355"/>
      <c r="E171" s="7"/>
      <c r="F171" s="136"/>
      <c r="G171" s="362" t="s">
        <v>617</v>
      </c>
      <c r="H171" s="362"/>
      <c r="I171" s="362"/>
      <c r="J171" s="362"/>
      <c r="K171" s="362"/>
      <c r="L171" s="363"/>
      <c r="M171" s="22" t="s">
        <v>591</v>
      </c>
      <c r="N171" s="22" t="s">
        <v>592</v>
      </c>
      <c r="O171" s="22" t="s">
        <v>593</v>
      </c>
      <c r="P171" s="22" t="s">
        <v>594</v>
      </c>
      <c r="Q171" s="23"/>
      <c r="R171" s="136"/>
      <c r="S171" s="136"/>
      <c r="T171" s="136"/>
      <c r="V171" s="7"/>
    </row>
    <row r="172" spans="2:22" ht="18" customHeight="1">
      <c r="B172" s="355" t="str">
        <f>HYPERLINK("#LAYOUT_p!lay보PMDA1B10","PMDA1B10")</f>
        <v>PMDA1B10</v>
      </c>
      <c r="C172" s="355"/>
      <c r="E172" s="7"/>
      <c r="F172" s="136"/>
      <c r="G172" s="362" t="s">
        <v>618</v>
      </c>
      <c r="H172" s="362"/>
      <c r="I172" s="362"/>
      <c r="J172" s="362"/>
      <c r="K172" s="362"/>
      <c r="L172" s="363"/>
      <c r="M172" s="22" t="s">
        <v>591</v>
      </c>
      <c r="N172" s="22" t="s">
        <v>592</v>
      </c>
      <c r="O172" s="22" t="s">
        <v>593</v>
      </c>
      <c r="P172" s="22" t="s">
        <v>594</v>
      </c>
      <c r="Q172" s="23"/>
      <c r="R172" s="136"/>
      <c r="S172" s="136"/>
      <c r="T172" s="136"/>
      <c r="V172" s="7"/>
    </row>
    <row r="173" spans="2:22" ht="18" customHeight="1">
      <c r="B173" s="355" t="str">
        <f>HYPERLINK("#LAYOUT_p!lay보PMDA1B11","PMDA1B11")</f>
        <v>PMDA1B11</v>
      </c>
      <c r="C173" s="355"/>
      <c r="E173" s="7"/>
      <c r="F173" s="136"/>
      <c r="G173" s="362" t="s">
        <v>619</v>
      </c>
      <c r="H173" s="362"/>
      <c r="I173" s="362"/>
      <c r="J173" s="362"/>
      <c r="K173" s="362"/>
      <c r="L173" s="363"/>
      <c r="M173" s="22" t="s">
        <v>591</v>
      </c>
      <c r="N173" s="22" t="s">
        <v>592</v>
      </c>
      <c r="O173" s="22" t="s">
        <v>593</v>
      </c>
      <c r="P173" s="22" t="s">
        <v>594</v>
      </c>
      <c r="Q173" s="23"/>
      <c r="R173" s="136"/>
      <c r="S173" s="136"/>
      <c r="T173" s="136"/>
      <c r="V173" s="7"/>
    </row>
    <row r="174" spans="2:22" ht="18" customHeight="1">
      <c r="B174" s="195" t="str">
        <f>HYPERLINK("#LAYOUT_p!lay보PMDA1B13","PMDA1B13")</f>
        <v>PMDA1B13</v>
      </c>
      <c r="C174" s="195" t="str">
        <f>HYPERLINK("#LAYOUT_p!lay보PMDA1B13_T","PMDA1B13_T")</f>
        <v>PMDA1B13_T</v>
      </c>
      <c r="E174" s="7"/>
      <c r="F174" s="136"/>
      <c r="G174" s="362" t="s">
        <v>1589</v>
      </c>
      <c r="H174" s="362"/>
      <c r="I174" s="362"/>
      <c r="J174" s="362"/>
      <c r="K174" s="362"/>
      <c r="L174" s="363"/>
      <c r="M174" s="22" t="s">
        <v>591</v>
      </c>
      <c r="N174" s="22" t="s">
        <v>592</v>
      </c>
      <c r="O174" s="22" t="s">
        <v>593</v>
      </c>
      <c r="P174" s="22" t="s">
        <v>594</v>
      </c>
      <c r="Q174" s="24" t="s">
        <v>620</v>
      </c>
      <c r="R174" s="136"/>
      <c r="S174" s="136"/>
      <c r="T174" s="136"/>
      <c r="V174" s="7"/>
    </row>
    <row r="175" spans="2:22" ht="18" customHeight="1">
      <c r="B175" s="195"/>
      <c r="C175" s="195"/>
      <c r="E175" s="7"/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V175" s="7"/>
    </row>
    <row r="176" spans="2:22" ht="18" customHeight="1">
      <c r="B176" s="195"/>
      <c r="C176" s="195"/>
      <c r="E176" s="7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V176" s="7"/>
    </row>
    <row r="177" spans="2:22" ht="18" customHeight="1" thickBot="1">
      <c r="B177" s="195"/>
      <c r="C177" s="195"/>
      <c r="E177" s="7"/>
      <c r="F177" s="136" t="s">
        <v>1008</v>
      </c>
      <c r="G177" s="136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V177" s="7"/>
    </row>
    <row r="178" spans="2:22" ht="31.5" thickTop="1" thickBot="1">
      <c r="B178" s="195"/>
      <c r="C178" s="195"/>
      <c r="E178" s="7"/>
      <c r="F178" s="136"/>
      <c r="G178" s="368" t="s">
        <v>574</v>
      </c>
      <c r="H178" s="368"/>
      <c r="I178" s="368"/>
      <c r="J178" s="368"/>
      <c r="K178" s="368"/>
      <c r="L178" s="369"/>
      <c r="M178" s="9" t="s">
        <v>622</v>
      </c>
      <c r="N178" s="9" t="s">
        <v>623</v>
      </c>
      <c r="O178" s="9" t="s">
        <v>107</v>
      </c>
      <c r="P178" s="10" t="s">
        <v>108</v>
      </c>
      <c r="Q178" s="136"/>
      <c r="R178" s="136"/>
      <c r="S178" s="136"/>
      <c r="T178" s="136"/>
      <c r="V178" s="7"/>
    </row>
    <row r="179" spans="2:22" ht="18" customHeight="1" thickTop="1">
      <c r="B179" s="355" t="str">
        <f>HYPERLINK("#LAYOUT_p!lay보PMDA1C01","PMDA1C01")</f>
        <v>PMDA1C01</v>
      </c>
      <c r="C179" s="355"/>
      <c r="E179" s="7"/>
      <c r="F179" s="136"/>
      <c r="G179" s="372" t="s">
        <v>1009</v>
      </c>
      <c r="H179" s="372"/>
      <c r="I179" s="372"/>
      <c r="J179" s="372"/>
      <c r="K179" s="372"/>
      <c r="L179" s="373"/>
      <c r="M179" s="20" t="s">
        <v>591</v>
      </c>
      <c r="N179" s="20" t="s">
        <v>592</v>
      </c>
      <c r="O179" s="20" t="s">
        <v>593</v>
      </c>
      <c r="P179" s="25" t="s">
        <v>594</v>
      </c>
      <c r="Q179" s="136"/>
      <c r="R179" s="136"/>
      <c r="S179" s="136"/>
      <c r="T179" s="136"/>
      <c r="V179" s="7"/>
    </row>
    <row r="180" spans="2:22" ht="18" customHeight="1">
      <c r="B180" s="355" t="str">
        <f>HYPERLINK("#LAYOUT_p!lay보PMDA1C02","PMDA1C02")</f>
        <v>PMDA1C02</v>
      </c>
      <c r="C180" s="355"/>
      <c r="E180" s="7"/>
      <c r="F180" s="136"/>
      <c r="G180" s="362" t="s">
        <v>625</v>
      </c>
      <c r="H180" s="362"/>
      <c r="I180" s="362"/>
      <c r="J180" s="362"/>
      <c r="K180" s="362"/>
      <c r="L180" s="363"/>
      <c r="M180" s="22" t="s">
        <v>591</v>
      </c>
      <c r="N180" s="22" t="s">
        <v>592</v>
      </c>
      <c r="O180" s="22" t="s">
        <v>593</v>
      </c>
      <c r="P180" s="24" t="s">
        <v>594</v>
      </c>
      <c r="Q180" s="136"/>
      <c r="R180" s="136"/>
      <c r="S180" s="136"/>
      <c r="T180" s="136"/>
      <c r="V180" s="7"/>
    </row>
    <row r="181" spans="2:22" ht="18" customHeight="1">
      <c r="B181" s="355" t="str">
        <f>HYPERLINK("#LAYOUT_p!lay보PMDA1C03","PMDA1C03")</f>
        <v>PMDA1C03</v>
      </c>
      <c r="C181" s="355"/>
      <c r="E181" s="7"/>
      <c r="F181" s="136"/>
      <c r="G181" s="362" t="s">
        <v>626</v>
      </c>
      <c r="H181" s="362"/>
      <c r="I181" s="362"/>
      <c r="J181" s="362"/>
      <c r="K181" s="362"/>
      <c r="L181" s="363"/>
      <c r="M181" s="22" t="s">
        <v>591</v>
      </c>
      <c r="N181" s="22" t="s">
        <v>592</v>
      </c>
      <c r="O181" s="22" t="s">
        <v>593</v>
      </c>
      <c r="P181" s="24" t="s">
        <v>594</v>
      </c>
      <c r="Q181" s="136"/>
      <c r="R181" s="136"/>
      <c r="S181" s="136"/>
      <c r="T181" s="136"/>
      <c r="V181" s="7"/>
    </row>
    <row r="182" spans="2:22" ht="18" customHeight="1">
      <c r="B182" s="355" t="str">
        <f>HYPERLINK("#LAYOUT_p!lay보PMDA1C04","PMDA1C04")</f>
        <v>PMDA1C04</v>
      </c>
      <c r="C182" s="355"/>
      <c r="E182" s="7"/>
      <c r="F182" s="136"/>
      <c r="G182" s="362" t="s">
        <v>627</v>
      </c>
      <c r="H182" s="362"/>
      <c r="I182" s="362"/>
      <c r="J182" s="362"/>
      <c r="K182" s="362"/>
      <c r="L182" s="363"/>
      <c r="M182" s="22" t="s">
        <v>591</v>
      </c>
      <c r="N182" s="22" t="s">
        <v>592</v>
      </c>
      <c r="O182" s="22" t="s">
        <v>593</v>
      </c>
      <c r="P182" s="24" t="s">
        <v>594</v>
      </c>
      <c r="Q182" s="136"/>
      <c r="R182" s="136"/>
      <c r="S182" s="136"/>
      <c r="T182" s="136"/>
      <c r="V182" s="7"/>
    </row>
    <row r="183" spans="2:22" ht="18" customHeight="1">
      <c r="B183" s="355" t="str">
        <f>HYPERLINK("#LAYOUT_p!lay보PMDA1C05","PMDA1C05")</f>
        <v>PMDA1C05</v>
      </c>
      <c r="C183" s="355"/>
      <c r="E183" s="7"/>
      <c r="F183" s="136"/>
      <c r="G183" s="362" t="s">
        <v>628</v>
      </c>
      <c r="H183" s="362"/>
      <c r="I183" s="362"/>
      <c r="J183" s="362"/>
      <c r="K183" s="362"/>
      <c r="L183" s="363"/>
      <c r="M183" s="22" t="s">
        <v>591</v>
      </c>
      <c r="N183" s="22" t="s">
        <v>592</v>
      </c>
      <c r="O183" s="22" t="s">
        <v>593</v>
      </c>
      <c r="P183" s="24" t="s">
        <v>594</v>
      </c>
      <c r="Q183" s="136"/>
      <c r="R183" s="136"/>
      <c r="S183" s="136"/>
      <c r="T183" s="136"/>
      <c r="V183" s="7"/>
    </row>
    <row r="184" spans="2:22" ht="18" customHeight="1">
      <c r="B184" s="355" t="str">
        <f>HYPERLINK("#LAYOUT_p!lay보PMDA1C06","PMDA1C06")</f>
        <v>PMDA1C06</v>
      </c>
      <c r="C184" s="355"/>
      <c r="E184" s="7"/>
      <c r="F184" s="136"/>
      <c r="G184" s="362" t="s">
        <v>629</v>
      </c>
      <c r="H184" s="362"/>
      <c r="I184" s="362"/>
      <c r="J184" s="362"/>
      <c r="K184" s="362"/>
      <c r="L184" s="363"/>
      <c r="M184" s="26" t="s">
        <v>591</v>
      </c>
      <c r="N184" s="26" t="s">
        <v>592</v>
      </c>
      <c r="O184" s="26" t="s">
        <v>593</v>
      </c>
      <c r="P184" s="27" t="s">
        <v>594</v>
      </c>
      <c r="Q184" s="136"/>
      <c r="R184" s="136"/>
      <c r="S184" s="136"/>
      <c r="T184" s="136"/>
      <c r="V184" s="7"/>
    </row>
    <row r="185" spans="2:22" ht="18" customHeight="1">
      <c r="B185" s="355" t="str">
        <f>HYPERLINK("#LAYOUT_p!lay보PMDA1C07","PMDA1C07")</f>
        <v>PMDA1C07</v>
      </c>
      <c r="C185" s="355"/>
      <c r="E185" s="7"/>
      <c r="F185" s="136"/>
      <c r="G185" s="362" t="s">
        <v>630</v>
      </c>
      <c r="H185" s="362"/>
      <c r="I185" s="362"/>
      <c r="J185" s="362"/>
      <c r="K185" s="362"/>
      <c r="L185" s="363"/>
      <c r="M185" s="26" t="s">
        <v>591</v>
      </c>
      <c r="N185" s="26" t="s">
        <v>592</v>
      </c>
      <c r="O185" s="26" t="s">
        <v>593</v>
      </c>
      <c r="P185" s="27" t="s">
        <v>594</v>
      </c>
      <c r="Q185" s="136"/>
      <c r="R185" s="136"/>
      <c r="S185" s="136"/>
      <c r="T185" s="136"/>
      <c r="V185" s="7"/>
    </row>
    <row r="186" spans="2:22" ht="18" customHeight="1">
      <c r="B186" s="355" t="str">
        <f>HYPERLINK("#LAYOUT_p!lay보PMDA1C08","PMDA1C08")</f>
        <v>PMDA1C08</v>
      </c>
      <c r="C186" s="355"/>
      <c r="E186" s="7"/>
      <c r="F186" s="136"/>
      <c r="G186" s="362" t="s">
        <v>631</v>
      </c>
      <c r="H186" s="362"/>
      <c r="I186" s="362"/>
      <c r="J186" s="362"/>
      <c r="K186" s="362"/>
      <c r="L186" s="363"/>
      <c r="M186" s="22" t="s">
        <v>591</v>
      </c>
      <c r="N186" s="22" t="s">
        <v>592</v>
      </c>
      <c r="O186" s="22" t="s">
        <v>593</v>
      </c>
      <c r="P186" s="24" t="s">
        <v>594</v>
      </c>
      <c r="Q186" s="136"/>
      <c r="R186" s="136"/>
      <c r="S186" s="136"/>
      <c r="T186" s="136"/>
      <c r="V186" s="7"/>
    </row>
    <row r="187" spans="2:22" ht="18" customHeight="1">
      <c r="B187" s="355" t="str">
        <f>HYPERLINK("#LAYOUT_p!lay보PMDA1C09","PMDA1C09")</f>
        <v>PMDA1C09</v>
      </c>
      <c r="C187" s="355"/>
      <c r="E187" s="7"/>
      <c r="F187" s="136"/>
      <c r="G187" s="362" t="s">
        <v>632</v>
      </c>
      <c r="H187" s="362"/>
      <c r="I187" s="362"/>
      <c r="J187" s="362"/>
      <c r="K187" s="362"/>
      <c r="L187" s="363"/>
      <c r="M187" s="22" t="s">
        <v>591</v>
      </c>
      <c r="N187" s="22" t="s">
        <v>592</v>
      </c>
      <c r="O187" s="22" t="s">
        <v>593</v>
      </c>
      <c r="P187" s="24" t="s">
        <v>594</v>
      </c>
      <c r="Q187" s="136"/>
      <c r="R187" s="136"/>
      <c r="S187" s="136"/>
      <c r="T187" s="136"/>
      <c r="V187" s="7"/>
    </row>
    <row r="188" spans="2:22" ht="18" customHeight="1">
      <c r="B188" s="355" t="str">
        <f>HYPERLINK("#LAYOUT_p!lay보PMDA1C10","PMDA1C10")</f>
        <v>PMDA1C10</v>
      </c>
      <c r="C188" s="355"/>
      <c r="E188" s="7"/>
      <c r="F188" s="136"/>
      <c r="G188" s="362" t="s">
        <v>633</v>
      </c>
      <c r="H188" s="362"/>
      <c r="I188" s="362"/>
      <c r="J188" s="362"/>
      <c r="K188" s="362"/>
      <c r="L188" s="363"/>
      <c r="M188" s="22" t="s">
        <v>591</v>
      </c>
      <c r="N188" s="22" t="s">
        <v>592</v>
      </c>
      <c r="O188" s="22" t="s">
        <v>593</v>
      </c>
      <c r="P188" s="24" t="s">
        <v>594</v>
      </c>
      <c r="Q188" s="136"/>
      <c r="R188" s="136"/>
      <c r="S188" s="136"/>
      <c r="T188" s="136"/>
      <c r="V188" s="7"/>
    </row>
    <row r="189" spans="2:22" ht="18" customHeight="1">
      <c r="B189" s="355" t="str">
        <f>HYPERLINK("#LAYOUT_p!lay보PMDA1C11","PMDA1C11")</f>
        <v>PMDA1C11</v>
      </c>
      <c r="C189" s="355"/>
      <c r="E189" s="7"/>
      <c r="F189" s="136"/>
      <c r="G189" s="362" t="s">
        <v>634</v>
      </c>
      <c r="H189" s="362"/>
      <c r="I189" s="362"/>
      <c r="J189" s="362"/>
      <c r="K189" s="362"/>
      <c r="L189" s="363"/>
      <c r="M189" s="26" t="s">
        <v>591</v>
      </c>
      <c r="N189" s="26" t="s">
        <v>592</v>
      </c>
      <c r="O189" s="26" t="s">
        <v>593</v>
      </c>
      <c r="P189" s="27" t="s">
        <v>594</v>
      </c>
      <c r="Q189" s="136"/>
      <c r="R189" s="136"/>
      <c r="S189" s="136"/>
      <c r="T189" s="136"/>
      <c r="V189" s="7"/>
    </row>
    <row r="190" spans="2:22" ht="18" customHeight="1">
      <c r="B190" s="355" t="str">
        <f>HYPERLINK("#LAYOUT_p!lay보PMDA1C12","PMDA1C12")</f>
        <v>PMDA1C12</v>
      </c>
      <c r="C190" s="355"/>
      <c r="E190" s="7"/>
      <c r="F190" s="136"/>
      <c r="G190" s="362" t="s">
        <v>635</v>
      </c>
      <c r="H190" s="362"/>
      <c r="I190" s="362"/>
      <c r="J190" s="362"/>
      <c r="K190" s="362"/>
      <c r="L190" s="363"/>
      <c r="M190" s="22" t="s">
        <v>591</v>
      </c>
      <c r="N190" s="22" t="s">
        <v>592</v>
      </c>
      <c r="O190" s="22" t="s">
        <v>593</v>
      </c>
      <c r="P190" s="24" t="s">
        <v>594</v>
      </c>
      <c r="Q190" s="136"/>
      <c r="R190" s="136"/>
      <c r="S190" s="136"/>
      <c r="T190" s="136"/>
      <c r="V190" s="7"/>
    </row>
    <row r="191" spans="2:22" ht="18" customHeight="1">
      <c r="B191" s="355" t="str">
        <f>HYPERLINK("#LAYOUT_p!lay보PMDA1C13","PMDA1C13")</f>
        <v>PMDA1C13</v>
      </c>
      <c r="C191" s="355"/>
      <c r="E191" s="7"/>
      <c r="F191" s="136"/>
      <c r="G191" s="362" t="s">
        <v>636</v>
      </c>
      <c r="H191" s="362"/>
      <c r="I191" s="362"/>
      <c r="J191" s="362"/>
      <c r="K191" s="362"/>
      <c r="L191" s="363"/>
      <c r="M191" s="26" t="s">
        <v>591</v>
      </c>
      <c r="N191" s="26" t="s">
        <v>592</v>
      </c>
      <c r="O191" s="26" t="s">
        <v>593</v>
      </c>
      <c r="P191" s="27" t="s">
        <v>594</v>
      </c>
      <c r="Q191" s="136"/>
      <c r="R191" s="136"/>
      <c r="S191" s="136"/>
      <c r="T191" s="136"/>
      <c r="V191" s="7"/>
    </row>
    <row r="192" spans="2:22" ht="18" customHeight="1">
      <c r="B192" s="355" t="str">
        <f>HYPERLINK("#LAYOUT_p!lay보PMDA1C14","PMDA1C14")</f>
        <v>PMDA1C14</v>
      </c>
      <c r="C192" s="355"/>
      <c r="E192" s="7"/>
      <c r="F192" s="136"/>
      <c r="G192" s="362" t="s">
        <v>637</v>
      </c>
      <c r="H192" s="362"/>
      <c r="I192" s="362"/>
      <c r="J192" s="362"/>
      <c r="K192" s="362"/>
      <c r="L192" s="363"/>
      <c r="M192" s="22" t="s">
        <v>591</v>
      </c>
      <c r="N192" s="22" t="s">
        <v>592</v>
      </c>
      <c r="O192" s="22" t="s">
        <v>593</v>
      </c>
      <c r="P192" s="24" t="s">
        <v>594</v>
      </c>
      <c r="Q192" s="136"/>
      <c r="R192" s="136"/>
      <c r="S192" s="136"/>
      <c r="T192" s="136"/>
      <c r="V192" s="7"/>
    </row>
    <row r="193" spans="2:22" ht="18" customHeight="1">
      <c r="B193" s="355" t="str">
        <f>HYPERLINK("#LAYOUT_p!lay보PMDA1C15","PMDA1C15")</f>
        <v>PMDA1C15</v>
      </c>
      <c r="C193" s="355"/>
      <c r="E193" s="7"/>
      <c r="F193" s="136"/>
      <c r="G193" s="362" t="s">
        <v>638</v>
      </c>
      <c r="H193" s="362"/>
      <c r="I193" s="362"/>
      <c r="J193" s="362"/>
      <c r="K193" s="362"/>
      <c r="L193" s="363"/>
      <c r="M193" s="22" t="s">
        <v>591</v>
      </c>
      <c r="N193" s="22" t="s">
        <v>592</v>
      </c>
      <c r="O193" s="22" t="s">
        <v>593</v>
      </c>
      <c r="P193" s="24" t="s">
        <v>594</v>
      </c>
      <c r="Q193" s="136"/>
      <c r="R193" s="136"/>
      <c r="S193" s="136"/>
      <c r="T193" s="136"/>
      <c r="V193" s="7"/>
    </row>
    <row r="194" spans="2:22" ht="18" customHeight="1">
      <c r="B194" s="195"/>
      <c r="C194" s="195"/>
      <c r="E194" s="7"/>
      <c r="F194" s="136"/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V194" s="7"/>
    </row>
    <row r="195" spans="2:22" ht="18" customHeight="1">
      <c r="B195" s="195"/>
      <c r="C195" s="195"/>
      <c r="E195" s="7"/>
      <c r="F195" s="136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V195" s="7"/>
    </row>
    <row r="196" spans="2:22" ht="18" customHeight="1" thickBot="1">
      <c r="B196" s="195"/>
      <c r="C196" s="195"/>
      <c r="E196" s="7"/>
      <c r="F196" s="136" t="s">
        <v>1010</v>
      </c>
      <c r="G196" s="136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V196" s="7"/>
    </row>
    <row r="197" spans="2:22" ht="31.5" thickTop="1" thickBot="1">
      <c r="B197" s="195"/>
      <c r="C197" s="195"/>
      <c r="E197" s="7"/>
      <c r="F197" s="136"/>
      <c r="G197" s="397" t="s">
        <v>643</v>
      </c>
      <c r="H197" s="397"/>
      <c r="I197" s="397"/>
      <c r="J197" s="397"/>
      <c r="K197" s="397"/>
      <c r="L197" s="398"/>
      <c r="M197" s="9" t="s">
        <v>622</v>
      </c>
      <c r="N197" s="9" t="s">
        <v>623</v>
      </c>
      <c r="O197" s="9" t="s">
        <v>107</v>
      </c>
      <c r="P197" s="10" t="s">
        <v>108</v>
      </c>
      <c r="Q197" s="136"/>
      <c r="R197" s="136"/>
      <c r="S197" s="136"/>
      <c r="T197" s="136"/>
      <c r="V197" s="7"/>
    </row>
    <row r="198" spans="2:22" ht="18" customHeight="1" thickTop="1">
      <c r="B198" s="355" t="str">
        <f>HYPERLINK("#LAYOUT_p!lay보PPSY1A01","PPSY1A01")</f>
        <v>PPSY1A01</v>
      </c>
      <c r="C198" s="355"/>
      <c r="E198" s="7"/>
      <c r="F198" s="136"/>
      <c r="G198" s="366" t="s">
        <v>668</v>
      </c>
      <c r="H198" s="366"/>
      <c r="I198" s="366"/>
      <c r="J198" s="366"/>
      <c r="K198" s="366"/>
      <c r="L198" s="367"/>
      <c r="M198" s="20" t="s">
        <v>591</v>
      </c>
      <c r="N198" s="20" t="s">
        <v>592</v>
      </c>
      <c r="O198" s="20" t="s">
        <v>593</v>
      </c>
      <c r="P198" s="25" t="s">
        <v>594</v>
      </c>
      <c r="Q198" s="136"/>
      <c r="R198" s="136"/>
      <c r="S198" s="136"/>
      <c r="T198" s="136"/>
      <c r="V198" s="7"/>
    </row>
    <row r="199" spans="2:22" ht="18" customHeight="1">
      <c r="B199" s="355" t="str">
        <f>HYPERLINK("#LAYOUT_p!lay보PPSY1A02","PPSY1A02")</f>
        <v>PPSY1A02</v>
      </c>
      <c r="C199" s="355"/>
      <c r="E199" s="7"/>
      <c r="F199" s="136"/>
      <c r="G199" s="362" t="s">
        <v>669</v>
      </c>
      <c r="H199" s="362"/>
      <c r="I199" s="362"/>
      <c r="J199" s="362"/>
      <c r="K199" s="362"/>
      <c r="L199" s="363"/>
      <c r="M199" s="22" t="s">
        <v>591</v>
      </c>
      <c r="N199" s="22" t="s">
        <v>592</v>
      </c>
      <c r="O199" s="22" t="s">
        <v>593</v>
      </c>
      <c r="P199" s="24" t="s">
        <v>594</v>
      </c>
      <c r="Q199" s="136"/>
      <c r="R199" s="136"/>
      <c r="S199" s="136"/>
      <c r="T199" s="136"/>
      <c r="V199" s="7"/>
    </row>
    <row r="200" spans="2:22" ht="18" customHeight="1">
      <c r="B200" s="355" t="str">
        <f>HYPERLINK("#LAYOUT_p!lay보PPSY1A03","PPSY1A03")</f>
        <v>PPSY1A03</v>
      </c>
      <c r="C200" s="355"/>
      <c r="E200" s="7"/>
      <c r="F200" s="136"/>
      <c r="G200" s="362" t="s">
        <v>670</v>
      </c>
      <c r="H200" s="362"/>
      <c r="I200" s="362"/>
      <c r="J200" s="362"/>
      <c r="K200" s="362"/>
      <c r="L200" s="363"/>
      <c r="M200" s="22" t="s">
        <v>591</v>
      </c>
      <c r="N200" s="22" t="s">
        <v>592</v>
      </c>
      <c r="O200" s="22" t="s">
        <v>593</v>
      </c>
      <c r="P200" s="24" t="s">
        <v>594</v>
      </c>
      <c r="Q200" s="136"/>
      <c r="R200" s="136"/>
      <c r="S200" s="136"/>
      <c r="T200" s="136"/>
      <c r="V200" s="7"/>
    </row>
    <row r="201" spans="2:22" ht="18" customHeight="1">
      <c r="B201" s="355" t="str">
        <f>HYPERLINK("#LAYOUT_p!lay보PPSY1A04","PPSY1A04")</f>
        <v>PPSY1A04</v>
      </c>
      <c r="C201" s="355"/>
      <c r="E201" s="7"/>
      <c r="F201" s="136"/>
      <c r="G201" s="362" t="s">
        <v>671</v>
      </c>
      <c r="H201" s="362"/>
      <c r="I201" s="362"/>
      <c r="J201" s="362"/>
      <c r="K201" s="362"/>
      <c r="L201" s="363"/>
      <c r="M201" s="22" t="s">
        <v>591</v>
      </c>
      <c r="N201" s="22" t="s">
        <v>592</v>
      </c>
      <c r="O201" s="22" t="s">
        <v>593</v>
      </c>
      <c r="P201" s="24" t="s">
        <v>594</v>
      </c>
      <c r="Q201" s="136"/>
      <c r="R201" s="136"/>
      <c r="S201" s="136"/>
      <c r="T201" s="136"/>
      <c r="V201" s="7"/>
    </row>
    <row r="202" spans="2:22" ht="18" customHeight="1">
      <c r="B202" s="355" t="str">
        <f>HYPERLINK("#LAYOUT_p!lay보PPSY1A05","PPSY1A05")</f>
        <v>PPSY1A05</v>
      </c>
      <c r="C202" s="355"/>
      <c r="E202" s="7"/>
      <c r="F202" s="136"/>
      <c r="G202" s="362" t="s">
        <v>672</v>
      </c>
      <c r="H202" s="362"/>
      <c r="I202" s="362"/>
      <c r="J202" s="362"/>
      <c r="K202" s="362"/>
      <c r="L202" s="363"/>
      <c r="M202" s="22" t="s">
        <v>591</v>
      </c>
      <c r="N202" s="22" t="s">
        <v>592</v>
      </c>
      <c r="O202" s="22" t="s">
        <v>593</v>
      </c>
      <c r="P202" s="24" t="s">
        <v>594</v>
      </c>
      <c r="Q202" s="136"/>
      <c r="R202" s="136"/>
      <c r="S202" s="136"/>
      <c r="T202" s="136"/>
      <c r="V202" s="7"/>
    </row>
    <row r="203" spans="2:22" ht="18" customHeight="1">
      <c r="B203" s="195"/>
      <c r="C203" s="195"/>
      <c r="E203" s="7"/>
      <c r="F203" s="136"/>
      <c r="G203" s="136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V203" s="7"/>
    </row>
    <row r="204" spans="2:22" ht="18" customHeight="1">
      <c r="B204" s="195"/>
      <c r="C204" s="195"/>
      <c r="E204" s="7"/>
      <c r="F204" s="136"/>
      <c r="G204" s="136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V204" s="7"/>
    </row>
    <row r="205" spans="2:22" ht="18" customHeight="1" thickBot="1">
      <c r="B205" s="195"/>
      <c r="C205" s="195"/>
      <c r="E205" s="7"/>
      <c r="F205" s="136" t="s">
        <v>1011</v>
      </c>
      <c r="G205" s="136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V205" s="7"/>
    </row>
    <row r="206" spans="2:22" ht="31.5" thickTop="1" thickBot="1">
      <c r="B206" s="195"/>
      <c r="C206" s="195"/>
      <c r="E206" s="7"/>
      <c r="F206" s="136"/>
      <c r="G206" s="397" t="s">
        <v>574</v>
      </c>
      <c r="H206" s="397"/>
      <c r="I206" s="397"/>
      <c r="J206" s="397"/>
      <c r="K206" s="397"/>
      <c r="L206" s="398"/>
      <c r="M206" s="9" t="s">
        <v>674</v>
      </c>
      <c r="N206" s="9" t="s">
        <v>675</v>
      </c>
      <c r="O206" s="9" t="s">
        <v>676</v>
      </c>
      <c r="P206" s="10" t="s">
        <v>677</v>
      </c>
      <c r="Q206" s="136"/>
      <c r="R206" s="136"/>
      <c r="S206" s="136"/>
      <c r="T206" s="136"/>
      <c r="V206" s="7"/>
    </row>
    <row r="207" spans="2:22" ht="18" customHeight="1" thickTop="1">
      <c r="B207" s="355" t="str">
        <f>HYPERLINK("#LAYOUT_p!lay보PPSY2A01","PPSY2A01")</f>
        <v>PPSY2A01</v>
      </c>
      <c r="C207" s="355"/>
      <c r="E207" s="7"/>
      <c r="F207" s="136"/>
      <c r="G207" s="366" t="s">
        <v>678</v>
      </c>
      <c r="H207" s="366"/>
      <c r="I207" s="366"/>
      <c r="J207" s="366"/>
      <c r="K207" s="366"/>
      <c r="L207" s="367"/>
      <c r="M207" s="20" t="s">
        <v>591</v>
      </c>
      <c r="N207" s="20" t="s">
        <v>592</v>
      </c>
      <c r="O207" s="20" t="s">
        <v>593</v>
      </c>
      <c r="P207" s="25" t="s">
        <v>594</v>
      </c>
      <c r="Q207" s="136"/>
      <c r="R207" s="136"/>
      <c r="S207" s="136"/>
      <c r="T207" s="136"/>
      <c r="V207" s="7"/>
    </row>
    <row r="208" spans="2:22" ht="18" customHeight="1">
      <c r="B208" s="355" t="str">
        <f>HYPERLINK("#LAYOUT_p!lay보PPSY2A02","PPSY2A02")</f>
        <v>PPSY2A02</v>
      </c>
      <c r="C208" s="355"/>
      <c r="E208" s="7"/>
      <c r="F208" s="136"/>
      <c r="G208" s="366" t="s">
        <v>679</v>
      </c>
      <c r="H208" s="366"/>
      <c r="I208" s="366"/>
      <c r="J208" s="366"/>
      <c r="K208" s="366"/>
      <c r="L208" s="367"/>
      <c r="M208" s="31" t="s">
        <v>591</v>
      </c>
      <c r="N208" s="31" t="s">
        <v>592</v>
      </c>
      <c r="O208" s="31" t="s">
        <v>593</v>
      </c>
      <c r="P208" s="32" t="s">
        <v>594</v>
      </c>
      <c r="Q208" s="136"/>
      <c r="R208" s="136"/>
      <c r="S208" s="136"/>
      <c r="T208" s="136"/>
      <c r="V208" s="7"/>
    </row>
    <row r="209" spans="2:22" ht="18" customHeight="1">
      <c r="B209" s="195"/>
      <c r="C209" s="195"/>
      <c r="E209" s="7"/>
      <c r="F209" s="136"/>
      <c r="G209" s="136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V209" s="7"/>
    </row>
    <row r="210" spans="2:22" ht="18" customHeight="1">
      <c r="B210" s="195"/>
      <c r="C210" s="195"/>
      <c r="E210" s="7"/>
      <c r="F210" s="136"/>
      <c r="G210" s="136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V210" s="7"/>
    </row>
    <row r="211" spans="2:22" ht="18" customHeight="1" thickBot="1">
      <c r="B211" s="195"/>
      <c r="C211" s="195"/>
      <c r="E211" s="7"/>
      <c r="F211" s="136" t="s">
        <v>1012</v>
      </c>
      <c r="G211" s="136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V211" s="7"/>
    </row>
    <row r="212" spans="2:22" ht="31.5" thickTop="1" thickBot="1">
      <c r="B212" s="195"/>
      <c r="C212" s="195"/>
      <c r="E212" s="7"/>
      <c r="F212" s="136"/>
      <c r="G212" s="397" t="s">
        <v>643</v>
      </c>
      <c r="H212" s="397"/>
      <c r="I212" s="397"/>
      <c r="J212" s="397"/>
      <c r="K212" s="397"/>
      <c r="L212" s="398"/>
      <c r="M212" s="9" t="s">
        <v>622</v>
      </c>
      <c r="N212" s="9" t="s">
        <v>623</v>
      </c>
      <c r="O212" s="9" t="s">
        <v>107</v>
      </c>
      <c r="P212" s="10" t="s">
        <v>108</v>
      </c>
      <c r="Q212" s="136"/>
      <c r="R212" s="136"/>
      <c r="S212" s="136"/>
      <c r="T212" s="136"/>
      <c r="V212" s="7"/>
    </row>
    <row r="213" spans="2:22" ht="31.5" customHeight="1" thickTop="1">
      <c r="B213" s="355" t="str">
        <f>HYPERLINK("#LAYOUT_p!lay보PPSY2A03","PPSY2A03")</f>
        <v>PPSY2A03</v>
      </c>
      <c r="C213" s="355"/>
      <c r="E213" s="7"/>
      <c r="F213" s="136"/>
      <c r="G213" s="366" t="s">
        <v>681</v>
      </c>
      <c r="H213" s="366"/>
      <c r="I213" s="366"/>
      <c r="J213" s="366"/>
      <c r="K213" s="366"/>
      <c r="L213" s="367"/>
      <c r="M213" s="20" t="s">
        <v>591</v>
      </c>
      <c r="N213" s="20" t="s">
        <v>592</v>
      </c>
      <c r="O213" s="20" t="s">
        <v>593</v>
      </c>
      <c r="P213" s="25" t="s">
        <v>594</v>
      </c>
      <c r="Q213" s="136"/>
      <c r="R213" s="136"/>
      <c r="S213" s="136"/>
      <c r="T213" s="136"/>
      <c r="V213" s="7"/>
    </row>
    <row r="214" spans="2:22" ht="31.5" customHeight="1">
      <c r="B214" s="355" t="str">
        <f>HYPERLINK("#LAYOUT_p!lay보PPSY2A04","PPSY2A04")</f>
        <v>PPSY2A04</v>
      </c>
      <c r="C214" s="355"/>
      <c r="E214" s="7"/>
      <c r="F214" s="136"/>
      <c r="G214" s="366" t="s">
        <v>682</v>
      </c>
      <c r="H214" s="366"/>
      <c r="I214" s="366"/>
      <c r="J214" s="366"/>
      <c r="K214" s="366"/>
      <c r="L214" s="367"/>
      <c r="M214" s="31" t="s">
        <v>591</v>
      </c>
      <c r="N214" s="31" t="s">
        <v>592</v>
      </c>
      <c r="O214" s="31" t="s">
        <v>593</v>
      </c>
      <c r="P214" s="32" t="s">
        <v>594</v>
      </c>
      <c r="Q214" s="136"/>
      <c r="R214" s="136"/>
      <c r="S214" s="136"/>
      <c r="T214" s="136"/>
      <c r="V214" s="7"/>
    </row>
    <row r="215" spans="2:22" ht="18" customHeight="1">
      <c r="B215" s="195"/>
      <c r="C215" s="195"/>
      <c r="E215" s="7"/>
      <c r="F215" s="136"/>
      <c r="G215" s="136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V215" s="7"/>
    </row>
    <row r="216" spans="2:22" ht="18" customHeight="1">
      <c r="B216" s="195"/>
      <c r="C216" s="195"/>
      <c r="E216" s="7"/>
      <c r="F216" s="136"/>
      <c r="G216" s="136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V216" s="7"/>
    </row>
    <row r="217" spans="2:22" ht="18" customHeight="1" thickBot="1">
      <c r="B217" s="195"/>
      <c r="C217" s="195"/>
      <c r="E217" s="7"/>
      <c r="F217" s="136" t="s">
        <v>1013</v>
      </c>
      <c r="G217" s="136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V217" s="7"/>
    </row>
    <row r="218" spans="2:22" ht="31.5" thickTop="1" thickBot="1">
      <c r="B218" s="195"/>
      <c r="C218" s="195"/>
      <c r="E218" s="7"/>
      <c r="F218" s="136"/>
      <c r="G218" s="397" t="s">
        <v>643</v>
      </c>
      <c r="H218" s="397"/>
      <c r="I218" s="397"/>
      <c r="J218" s="397"/>
      <c r="K218" s="397"/>
      <c r="L218" s="398"/>
      <c r="M218" s="9" t="s">
        <v>622</v>
      </c>
      <c r="N218" s="9" t="s">
        <v>623</v>
      </c>
      <c r="O218" s="9" t="s">
        <v>107</v>
      </c>
      <c r="P218" s="10" t="s">
        <v>108</v>
      </c>
      <c r="Q218" s="136"/>
      <c r="R218" s="136"/>
      <c r="S218" s="136"/>
      <c r="T218" s="136"/>
      <c r="V218" s="7"/>
    </row>
    <row r="219" spans="2:22" ht="18" customHeight="1" thickTop="1">
      <c r="B219" s="355" t="str">
        <f>HYPERLINK("#LAYOUT_p!lay보PPSY3A01","PPSY3A01")</f>
        <v>PPSY3A01</v>
      </c>
      <c r="C219" s="355"/>
      <c r="E219" s="7"/>
      <c r="F219" s="136"/>
      <c r="G219" s="366" t="s">
        <v>684</v>
      </c>
      <c r="H219" s="366"/>
      <c r="I219" s="366"/>
      <c r="J219" s="366"/>
      <c r="K219" s="366"/>
      <c r="L219" s="367"/>
      <c r="M219" s="20" t="s">
        <v>591</v>
      </c>
      <c r="N219" s="20" t="s">
        <v>592</v>
      </c>
      <c r="O219" s="20" t="s">
        <v>593</v>
      </c>
      <c r="P219" s="25" t="s">
        <v>594</v>
      </c>
      <c r="Q219" s="136"/>
      <c r="R219" s="136"/>
      <c r="S219" s="136"/>
      <c r="T219" s="136"/>
      <c r="V219" s="7"/>
    </row>
    <row r="220" spans="2:22" ht="18" customHeight="1">
      <c r="B220" s="355" t="str">
        <f>HYPERLINK("#LAYOUT_p!lay보PPSY3A02","PPSY3A02")</f>
        <v>PPSY3A02</v>
      </c>
      <c r="C220" s="355"/>
      <c r="E220" s="7"/>
      <c r="F220" s="136"/>
      <c r="G220" s="366" t="s">
        <v>685</v>
      </c>
      <c r="H220" s="366"/>
      <c r="I220" s="366"/>
      <c r="J220" s="366"/>
      <c r="K220" s="366"/>
      <c r="L220" s="367"/>
      <c r="M220" s="22" t="s">
        <v>591</v>
      </c>
      <c r="N220" s="22" t="s">
        <v>592</v>
      </c>
      <c r="O220" s="22" t="s">
        <v>593</v>
      </c>
      <c r="P220" s="24" t="s">
        <v>594</v>
      </c>
      <c r="Q220" s="136"/>
      <c r="R220" s="136"/>
      <c r="S220" s="136"/>
      <c r="T220" s="136"/>
      <c r="V220" s="7"/>
    </row>
    <row r="221" spans="2:22" ht="18" customHeight="1">
      <c r="B221" s="355" t="str">
        <f>HYPERLINK("#LAYOUT_p!lay보PPSY3A03","PPSY3A03")</f>
        <v>PPSY3A03</v>
      </c>
      <c r="C221" s="355"/>
      <c r="E221" s="7"/>
      <c r="F221" s="136"/>
      <c r="G221" s="366" t="s">
        <v>686</v>
      </c>
      <c r="H221" s="366"/>
      <c r="I221" s="366"/>
      <c r="J221" s="366"/>
      <c r="K221" s="366"/>
      <c r="L221" s="367"/>
      <c r="M221" s="22" t="s">
        <v>591</v>
      </c>
      <c r="N221" s="22" t="s">
        <v>592</v>
      </c>
      <c r="O221" s="22" t="s">
        <v>593</v>
      </c>
      <c r="P221" s="24" t="s">
        <v>594</v>
      </c>
      <c r="Q221" s="136"/>
      <c r="R221" s="136"/>
      <c r="S221" s="136"/>
      <c r="T221" s="136"/>
      <c r="V221" s="7"/>
    </row>
    <row r="222" spans="2:22" ht="18" customHeight="1">
      <c r="B222" s="355" t="str">
        <f>HYPERLINK("#LAYOUT_p!lay보PPSY3A04","PPSY3A04")</f>
        <v>PPSY3A04</v>
      </c>
      <c r="C222" s="355"/>
      <c r="E222" s="7"/>
      <c r="F222" s="136"/>
      <c r="G222" s="366" t="s">
        <v>687</v>
      </c>
      <c r="H222" s="366"/>
      <c r="I222" s="366"/>
      <c r="J222" s="366"/>
      <c r="K222" s="366"/>
      <c r="L222" s="367"/>
      <c r="M222" s="22" t="s">
        <v>591</v>
      </c>
      <c r="N222" s="22" t="s">
        <v>592</v>
      </c>
      <c r="O222" s="22" t="s">
        <v>593</v>
      </c>
      <c r="P222" s="24" t="s">
        <v>594</v>
      </c>
      <c r="Q222" s="136"/>
      <c r="R222" s="136"/>
      <c r="S222" s="136"/>
      <c r="T222" s="136"/>
      <c r="V222" s="7"/>
    </row>
    <row r="223" spans="2:22" ht="18" customHeight="1">
      <c r="B223" s="355" t="str">
        <f>HYPERLINK("#LAYOUT_p!lay보PPSY3A05","PPSY3A05")</f>
        <v>PPSY3A05</v>
      </c>
      <c r="C223" s="355"/>
      <c r="E223" s="7"/>
      <c r="F223" s="136"/>
      <c r="G223" s="366" t="s">
        <v>688</v>
      </c>
      <c r="H223" s="366"/>
      <c r="I223" s="366"/>
      <c r="J223" s="366"/>
      <c r="K223" s="366"/>
      <c r="L223" s="367"/>
      <c r="M223" s="22" t="s">
        <v>591</v>
      </c>
      <c r="N223" s="22" t="s">
        <v>592</v>
      </c>
      <c r="O223" s="22" t="s">
        <v>593</v>
      </c>
      <c r="P223" s="24" t="s">
        <v>594</v>
      </c>
      <c r="Q223" s="136"/>
      <c r="R223" s="136"/>
      <c r="S223" s="136"/>
      <c r="T223" s="136"/>
      <c r="V223" s="7"/>
    </row>
    <row r="224" spans="2:22" ht="18" customHeight="1">
      <c r="B224" s="355" t="str">
        <f>HYPERLINK("#LAYOUT_p!lay보PPSY3A06","PPSY3A06")</f>
        <v>PPSY3A06</v>
      </c>
      <c r="C224" s="355"/>
      <c r="E224" s="7"/>
      <c r="F224" s="136"/>
      <c r="G224" s="366" t="s">
        <v>689</v>
      </c>
      <c r="H224" s="366"/>
      <c r="I224" s="366"/>
      <c r="J224" s="366"/>
      <c r="K224" s="366"/>
      <c r="L224" s="367"/>
      <c r="M224" s="22" t="s">
        <v>591</v>
      </c>
      <c r="N224" s="22" t="s">
        <v>592</v>
      </c>
      <c r="O224" s="22" t="s">
        <v>593</v>
      </c>
      <c r="P224" s="24" t="s">
        <v>594</v>
      </c>
      <c r="Q224" s="136"/>
      <c r="R224" s="136"/>
      <c r="S224" s="136"/>
      <c r="T224" s="136"/>
      <c r="V224" s="7"/>
    </row>
    <row r="225" spans="2:22" ht="18" customHeight="1">
      <c r="B225" s="355" t="str">
        <f>HYPERLINK("#LAYOUT_p!lay보PPSY3A07","PPSY3A07")</f>
        <v>PPSY3A07</v>
      </c>
      <c r="C225" s="355"/>
      <c r="E225" s="7"/>
      <c r="F225" s="136"/>
      <c r="G225" s="366" t="s">
        <v>690</v>
      </c>
      <c r="H225" s="366"/>
      <c r="I225" s="366"/>
      <c r="J225" s="366"/>
      <c r="K225" s="366"/>
      <c r="L225" s="367"/>
      <c r="M225" s="22" t="s">
        <v>591</v>
      </c>
      <c r="N225" s="22" t="s">
        <v>592</v>
      </c>
      <c r="O225" s="22" t="s">
        <v>593</v>
      </c>
      <c r="P225" s="24" t="s">
        <v>594</v>
      </c>
      <c r="Q225" s="136"/>
      <c r="R225" s="136"/>
      <c r="S225" s="136"/>
      <c r="T225" s="136"/>
      <c r="V225" s="7"/>
    </row>
    <row r="226" spans="2:22" ht="18" customHeight="1">
      <c r="B226" s="355" t="str">
        <f>HYPERLINK("#LAYOUT_p!lay보PPSY3A08","PPSY3A08")</f>
        <v>PPSY3A08</v>
      </c>
      <c r="C226" s="355"/>
      <c r="E226" s="7"/>
      <c r="F226" s="136"/>
      <c r="G226" s="366" t="s">
        <v>691</v>
      </c>
      <c r="H226" s="366"/>
      <c r="I226" s="366"/>
      <c r="J226" s="366"/>
      <c r="K226" s="366"/>
      <c r="L226" s="367"/>
      <c r="M226" s="22" t="s">
        <v>591</v>
      </c>
      <c r="N226" s="22" t="s">
        <v>592</v>
      </c>
      <c r="O226" s="22" t="s">
        <v>593</v>
      </c>
      <c r="P226" s="24" t="s">
        <v>594</v>
      </c>
      <c r="Q226" s="136"/>
      <c r="R226" s="136"/>
      <c r="S226" s="136"/>
      <c r="T226" s="136"/>
      <c r="V226" s="7"/>
    </row>
    <row r="227" spans="2:22" ht="18" customHeight="1">
      <c r="B227" s="355" t="str">
        <f>HYPERLINK("#LAYOUT_p!lay보PPSY3A09","PPSY3A09")</f>
        <v>PPSY3A09</v>
      </c>
      <c r="C227" s="355"/>
      <c r="E227" s="7"/>
      <c r="F227" s="136"/>
      <c r="G227" s="366" t="s">
        <v>692</v>
      </c>
      <c r="H227" s="366"/>
      <c r="I227" s="366"/>
      <c r="J227" s="366"/>
      <c r="K227" s="366"/>
      <c r="L227" s="367"/>
      <c r="M227" s="22" t="s">
        <v>591</v>
      </c>
      <c r="N227" s="22" t="s">
        <v>592</v>
      </c>
      <c r="O227" s="22" t="s">
        <v>593</v>
      </c>
      <c r="P227" s="24" t="s">
        <v>594</v>
      </c>
      <c r="Q227" s="136"/>
      <c r="R227" s="136"/>
      <c r="S227" s="136"/>
      <c r="T227" s="136"/>
      <c r="V227" s="7"/>
    </row>
    <row r="228" spans="2:22" ht="18" customHeight="1">
      <c r="B228" s="355" t="str">
        <f>HYPERLINK("#LAYOUT_p!lay보PPSY3A10","PPSY3A10")</f>
        <v>PPSY3A10</v>
      </c>
      <c r="C228" s="355"/>
      <c r="E228" s="7"/>
      <c r="F228" s="136"/>
      <c r="G228" s="366" t="s">
        <v>693</v>
      </c>
      <c r="H228" s="366"/>
      <c r="I228" s="366"/>
      <c r="J228" s="366"/>
      <c r="K228" s="366"/>
      <c r="L228" s="367"/>
      <c r="M228" s="22" t="s">
        <v>591</v>
      </c>
      <c r="N228" s="22" t="s">
        <v>592</v>
      </c>
      <c r="O228" s="22" t="s">
        <v>593</v>
      </c>
      <c r="P228" s="24" t="s">
        <v>594</v>
      </c>
      <c r="Q228" s="136"/>
      <c r="R228" s="136"/>
      <c r="S228" s="136"/>
      <c r="T228" s="136"/>
      <c r="V228" s="7"/>
    </row>
    <row r="229" spans="2:22" ht="18" customHeight="1">
      <c r="B229" s="195"/>
      <c r="C229" s="195"/>
      <c r="E229" s="7"/>
      <c r="F229" s="136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V229" s="7"/>
    </row>
    <row r="230" spans="2:22" ht="18" customHeight="1">
      <c r="B230" s="195"/>
      <c r="C230" s="195"/>
      <c r="E230" s="7"/>
      <c r="F230" s="136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V230" s="7"/>
    </row>
    <row r="231" spans="2:22" ht="18" customHeight="1" thickBot="1">
      <c r="B231" s="195"/>
      <c r="C231" s="195"/>
      <c r="E231" s="7"/>
      <c r="F231" s="136" t="s">
        <v>1014</v>
      </c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V231" s="7"/>
    </row>
    <row r="232" spans="2:22" ht="18" customHeight="1" thickTop="1" thickBot="1">
      <c r="B232" s="195"/>
      <c r="C232" s="195"/>
      <c r="E232" s="7"/>
      <c r="F232" s="136"/>
      <c r="G232" s="368" t="s">
        <v>899</v>
      </c>
      <c r="H232" s="368"/>
      <c r="I232" s="409"/>
      <c r="J232" s="52" t="s">
        <v>900</v>
      </c>
      <c r="K232" s="418" t="s">
        <v>899</v>
      </c>
      <c r="L232" s="368"/>
      <c r="M232" s="409"/>
      <c r="N232" s="53" t="s">
        <v>900</v>
      </c>
      <c r="O232" s="136"/>
      <c r="P232" s="136"/>
      <c r="Q232" s="136"/>
      <c r="R232" s="136"/>
      <c r="S232" s="136"/>
      <c r="T232" s="136"/>
      <c r="V232" s="7"/>
    </row>
    <row r="233" spans="2:22" ht="18" customHeight="1" thickTop="1">
      <c r="B233" s="195" t="str">
        <f>HYPERLINK("#LAYOUT_p!lay보PPSY4A01","PPSY4A01")</f>
        <v>PPSY4A01</v>
      </c>
      <c r="C233" s="195" t="str">
        <f>HYPERLINK("#LAYOUT_p!lay보PPSY4A02","PPSY4A02")</f>
        <v>PPSY4A02</v>
      </c>
      <c r="E233" s="7"/>
      <c r="F233" s="136"/>
      <c r="G233" s="420" t="s">
        <v>384</v>
      </c>
      <c r="H233" s="420"/>
      <c r="I233" s="421"/>
      <c r="J233" s="54"/>
      <c r="K233" s="419" t="s">
        <v>387</v>
      </c>
      <c r="L233" s="420"/>
      <c r="M233" s="421"/>
      <c r="N233" s="55"/>
      <c r="O233" s="136"/>
      <c r="P233" s="136"/>
      <c r="Q233" s="136"/>
      <c r="R233" s="136"/>
      <c r="S233" s="136"/>
      <c r="T233" s="136"/>
      <c r="V233" s="7"/>
    </row>
    <row r="234" spans="2:22" ht="18" customHeight="1">
      <c r="B234" s="195" t="str">
        <f>HYPERLINK("#LAYOUT_p!lay보PPSY4A03","PPSY4A03")</f>
        <v>PPSY4A03</v>
      </c>
      <c r="C234" s="195" t="str">
        <f>HYPERLINK("#LAYOUT_p!lay보PPSY4A04","PPSY4A04")</f>
        <v>PPSY4A04</v>
      </c>
      <c r="E234" s="7"/>
      <c r="F234" s="136"/>
      <c r="G234" s="411" t="s">
        <v>388</v>
      </c>
      <c r="H234" s="411"/>
      <c r="I234" s="412"/>
      <c r="J234" s="56"/>
      <c r="K234" s="410" t="s">
        <v>389</v>
      </c>
      <c r="L234" s="411"/>
      <c r="M234" s="412"/>
      <c r="N234" s="57"/>
      <c r="O234" s="136"/>
      <c r="P234" s="136"/>
      <c r="Q234" s="136"/>
      <c r="R234" s="136"/>
      <c r="S234" s="136"/>
      <c r="T234" s="136"/>
      <c r="V234" s="7"/>
    </row>
    <row r="235" spans="2:22" ht="18" customHeight="1">
      <c r="B235" s="195" t="str">
        <f>HYPERLINK("#LAYOUT_p!lay보PPSY4A05","PPSY4A05")</f>
        <v>PPSY4A05</v>
      </c>
      <c r="C235" s="195" t="str">
        <f>HYPERLINK("#LAYOUT_p!lay보PPSY4A06","PPSY4A06")</f>
        <v>PPSY4A06</v>
      </c>
      <c r="E235" s="7"/>
      <c r="F235" s="136"/>
      <c r="G235" s="411" t="s">
        <v>390</v>
      </c>
      <c r="H235" s="411"/>
      <c r="I235" s="412"/>
      <c r="J235" s="56"/>
      <c r="K235" s="410" t="s">
        <v>391</v>
      </c>
      <c r="L235" s="411"/>
      <c r="M235" s="412"/>
      <c r="N235" s="57"/>
      <c r="O235" s="136"/>
      <c r="P235" s="136"/>
      <c r="Q235" s="136"/>
      <c r="R235" s="136"/>
      <c r="S235" s="136"/>
      <c r="T235" s="136"/>
      <c r="V235" s="7"/>
    </row>
    <row r="236" spans="2:22" ht="18" customHeight="1">
      <c r="B236" s="195" t="str">
        <f>HYPERLINK("#LAYOUT_p!lay보PPSY4A07","PPSY4A07")</f>
        <v>PPSY4A07</v>
      </c>
      <c r="C236" s="195" t="str">
        <f>HYPERLINK("#LAYOUT_p!lay보PPSY4A08","PPSY4A08")</f>
        <v>PPSY4A08</v>
      </c>
      <c r="E236" s="7"/>
      <c r="F236" s="136"/>
      <c r="G236" s="411" t="s">
        <v>392</v>
      </c>
      <c r="H236" s="411"/>
      <c r="I236" s="412"/>
      <c r="J236" s="56"/>
      <c r="K236" s="410" t="s">
        <v>393</v>
      </c>
      <c r="L236" s="411"/>
      <c r="M236" s="412"/>
      <c r="N236" s="57"/>
      <c r="O236" s="136"/>
      <c r="P236" s="136"/>
      <c r="Q236" s="136"/>
      <c r="R236" s="136"/>
      <c r="S236" s="136"/>
      <c r="T236" s="136"/>
      <c r="V236" s="7"/>
    </row>
    <row r="237" spans="2:22" ht="18" customHeight="1">
      <c r="B237" s="195" t="str">
        <f>HYPERLINK("#LAYOUT_p!lay보PPSY4A09","PPSY4A09")</f>
        <v>PPSY4A09</v>
      </c>
      <c r="C237" s="195" t="str">
        <f>HYPERLINK("#LAYOUT_p!lay보PPSY4A10","PPSY4A10")</f>
        <v>PPSY4A10</v>
      </c>
      <c r="E237" s="7"/>
      <c r="F237" s="136"/>
      <c r="G237" s="411" t="s">
        <v>394</v>
      </c>
      <c r="H237" s="411"/>
      <c r="I237" s="412"/>
      <c r="J237" s="56"/>
      <c r="K237" s="410" t="s">
        <v>395</v>
      </c>
      <c r="L237" s="411"/>
      <c r="M237" s="412"/>
      <c r="N237" s="57"/>
      <c r="O237" s="136"/>
      <c r="P237" s="136"/>
      <c r="Q237" s="136"/>
      <c r="R237" s="136"/>
      <c r="S237" s="136"/>
      <c r="T237" s="136"/>
      <c r="V237" s="7"/>
    </row>
    <row r="238" spans="2:22" ht="18" customHeight="1">
      <c r="B238" s="195" t="str">
        <f>HYPERLINK("#LAYOUT_p!lay보PPSY4A11","PPSY4A11")</f>
        <v>PPSY4A11</v>
      </c>
      <c r="C238" s="195" t="str">
        <f>HYPERLINK("#LAYOUT_p!lay보PPSY4A12","PPSY4A12")</f>
        <v>PPSY4A12</v>
      </c>
      <c r="E238" s="7"/>
      <c r="F238" s="136"/>
      <c r="G238" s="411" t="s">
        <v>396</v>
      </c>
      <c r="H238" s="411"/>
      <c r="I238" s="412"/>
      <c r="J238" s="56"/>
      <c r="K238" s="410" t="s">
        <v>397</v>
      </c>
      <c r="L238" s="411"/>
      <c r="M238" s="412"/>
      <c r="N238" s="57"/>
      <c r="O238" s="136"/>
      <c r="P238" s="136"/>
      <c r="Q238" s="136"/>
      <c r="R238" s="136"/>
      <c r="S238" s="136"/>
      <c r="T238" s="136"/>
      <c r="V238" s="7"/>
    </row>
    <row r="239" spans="2:22" ht="18" customHeight="1">
      <c r="B239" s="195" t="str">
        <f>HYPERLINK("#LAYOUT_p!lay보PPSY4A13","PPSY4A13")</f>
        <v>PPSY4A13</v>
      </c>
      <c r="C239" s="195" t="str">
        <f>HYPERLINK("#LAYOUT_p!lay보PPSY4A14","PPSY4A14")</f>
        <v>PPSY4A14</v>
      </c>
      <c r="E239" s="7"/>
      <c r="F239" s="136"/>
      <c r="G239" s="411" t="s">
        <v>398</v>
      </c>
      <c r="H239" s="411"/>
      <c r="I239" s="412"/>
      <c r="J239" s="56"/>
      <c r="K239" s="410" t="s">
        <v>399</v>
      </c>
      <c r="L239" s="411"/>
      <c r="M239" s="412"/>
      <c r="N239" s="57"/>
      <c r="O239" s="136"/>
      <c r="P239" s="136"/>
      <c r="Q239" s="136"/>
      <c r="R239" s="136"/>
      <c r="S239" s="136"/>
      <c r="T239" s="136"/>
      <c r="V239" s="7"/>
    </row>
    <row r="240" spans="2:22" ht="18" customHeight="1">
      <c r="B240" s="195" t="str">
        <f>HYPERLINK("#LAYOUT_p!lay보PPSY4A15","PPSY4A15")</f>
        <v>PPSY4A15</v>
      </c>
      <c r="C240" s="195" t="str">
        <f>HYPERLINK("#LAYOUT_p!lay보PPSY4A16","PPSY4A16")</f>
        <v>PPSY4A16</v>
      </c>
      <c r="E240" s="7"/>
      <c r="F240" s="136"/>
      <c r="G240" s="411" t="s">
        <v>400</v>
      </c>
      <c r="H240" s="411"/>
      <c r="I240" s="412"/>
      <c r="J240" s="56"/>
      <c r="K240" s="410" t="s">
        <v>401</v>
      </c>
      <c r="L240" s="411"/>
      <c r="M240" s="412"/>
      <c r="N240" s="57"/>
      <c r="O240" s="136"/>
      <c r="P240" s="136"/>
      <c r="Q240" s="136"/>
      <c r="R240" s="136"/>
      <c r="S240" s="136"/>
      <c r="T240" s="136"/>
      <c r="V240" s="7"/>
    </row>
    <row r="241" spans="2:22" ht="18" customHeight="1">
      <c r="B241" s="195" t="str">
        <f>HYPERLINK("#LAYOUT_p!lay보PPSY4A17","PPSY4A17")</f>
        <v>PPSY4A17</v>
      </c>
      <c r="C241" s="195" t="str">
        <f>HYPERLINK("#LAYOUT_p!lay보PPSY4A18","PPSY4A18")</f>
        <v>PPSY4A18</v>
      </c>
      <c r="E241" s="7"/>
      <c r="F241" s="136"/>
      <c r="G241" s="411" t="s">
        <v>402</v>
      </c>
      <c r="H241" s="411"/>
      <c r="I241" s="412"/>
      <c r="J241" s="56"/>
      <c r="K241" s="410" t="s">
        <v>403</v>
      </c>
      <c r="L241" s="411"/>
      <c r="M241" s="412"/>
      <c r="N241" s="57"/>
      <c r="O241" s="136"/>
      <c r="P241" s="136"/>
      <c r="Q241" s="136"/>
      <c r="R241" s="136"/>
      <c r="S241" s="136"/>
      <c r="T241" s="136"/>
      <c r="V241" s="7"/>
    </row>
    <row r="242" spans="2:22" ht="18" customHeight="1">
      <c r="B242" s="195" t="str">
        <f>HYPERLINK("#LAYOUT_p!lay보PPSY4A19","PPSY4A19")</f>
        <v>PPSY4A19</v>
      </c>
      <c r="C242" s="195" t="str">
        <f>HYPERLINK("#LAYOUT_p!lay보PPSY4A20","PPSY4A20")</f>
        <v>PPSY4A20</v>
      </c>
      <c r="E242" s="7"/>
      <c r="F242" s="136"/>
      <c r="G242" s="411" t="s">
        <v>404</v>
      </c>
      <c r="H242" s="411"/>
      <c r="I242" s="412"/>
      <c r="J242" s="56"/>
      <c r="K242" s="410" t="s">
        <v>405</v>
      </c>
      <c r="L242" s="411"/>
      <c r="M242" s="412"/>
      <c r="N242" s="57"/>
      <c r="O242" s="136"/>
      <c r="P242" s="136"/>
      <c r="Q242" s="136"/>
      <c r="R242" s="136"/>
      <c r="S242" s="136"/>
      <c r="T242" s="136"/>
      <c r="V242" s="7"/>
    </row>
    <row r="243" spans="2:22" ht="18" customHeight="1">
      <c r="B243" s="195" t="str">
        <f>HYPERLINK("#LAYOUT_p!lay보PPSY4A21","PPSY4A21")</f>
        <v>PPSY4A21</v>
      </c>
      <c r="C243" s="195" t="str">
        <f>HYPERLINK("#LAYOUT_p!lay보PPSY4A22","PPSY4A22")</f>
        <v>PPSY4A22</v>
      </c>
      <c r="E243" s="7"/>
      <c r="F243" s="136"/>
      <c r="G243" s="411" t="s">
        <v>406</v>
      </c>
      <c r="H243" s="411"/>
      <c r="I243" s="412"/>
      <c r="J243" s="56"/>
      <c r="K243" s="410" t="s">
        <v>407</v>
      </c>
      <c r="L243" s="411"/>
      <c r="M243" s="412"/>
      <c r="N243" s="57"/>
      <c r="O243" s="136"/>
      <c r="P243" s="136"/>
      <c r="Q243" s="136"/>
      <c r="R243" s="136"/>
      <c r="S243" s="136"/>
      <c r="T243" s="136"/>
      <c r="V243" s="7"/>
    </row>
    <row r="244" spans="2:22" ht="18" customHeight="1">
      <c r="B244" s="195" t="str">
        <f>HYPERLINK("#LAYOUT_p!lay보PPSY4A23","PPSY4A23")</f>
        <v>PPSY4A23</v>
      </c>
      <c r="C244" s="195" t="str">
        <f>HYPERLINK("#LAYOUT_p!lay보PPSY4A24","PPSY4A24")</f>
        <v>PPSY4A24</v>
      </c>
      <c r="E244" s="7"/>
      <c r="F244" s="136"/>
      <c r="G244" s="411" t="s">
        <v>408</v>
      </c>
      <c r="H244" s="411"/>
      <c r="I244" s="412"/>
      <c r="J244" s="56"/>
      <c r="K244" s="410" t="s">
        <v>409</v>
      </c>
      <c r="L244" s="411"/>
      <c r="M244" s="412"/>
      <c r="N244" s="57"/>
      <c r="O244" s="136"/>
      <c r="P244" s="136"/>
      <c r="Q244" s="136"/>
      <c r="R244" s="136"/>
      <c r="S244" s="136"/>
      <c r="T244" s="136"/>
      <c r="V244" s="7"/>
    </row>
    <row r="245" spans="2:22" ht="18" customHeight="1">
      <c r="B245" s="195" t="str">
        <f>HYPERLINK("#LAYOUT_p!lay보PPSY4A25","PPSY4A25")</f>
        <v>PPSY4A25</v>
      </c>
      <c r="C245" s="195" t="str">
        <f>HYPERLINK("#LAYOUT_p!lay보PPSY4A26","PPSY4A26")</f>
        <v>PPSY4A26</v>
      </c>
      <c r="E245" s="7"/>
      <c r="F245" s="136"/>
      <c r="G245" s="411" t="s">
        <v>410</v>
      </c>
      <c r="H245" s="411"/>
      <c r="I245" s="412"/>
      <c r="J245" s="56"/>
      <c r="K245" s="410" t="s">
        <v>411</v>
      </c>
      <c r="L245" s="411"/>
      <c r="M245" s="412"/>
      <c r="N245" s="57"/>
      <c r="O245" s="136"/>
      <c r="P245" s="136"/>
      <c r="Q245" s="136"/>
      <c r="R245" s="136"/>
      <c r="S245" s="136"/>
      <c r="T245" s="136"/>
      <c r="V245" s="7"/>
    </row>
    <row r="246" spans="2:22" ht="18" customHeight="1">
      <c r="B246" s="195" t="str">
        <f>HYPERLINK("#LAYOUT_p!lay보PPSY4A27","PPSY4A27")</f>
        <v>PPSY4A27</v>
      </c>
      <c r="C246" s="195" t="str">
        <f>HYPERLINK("#LAYOUT_p!lay보PPSY4A28","PPSY4A28")</f>
        <v>PPSY4A28</v>
      </c>
      <c r="E246" s="7"/>
      <c r="F246" s="136"/>
      <c r="G246" s="411" t="s">
        <v>412</v>
      </c>
      <c r="H246" s="411"/>
      <c r="I246" s="412"/>
      <c r="J246" s="56"/>
      <c r="K246" s="410" t="s">
        <v>413</v>
      </c>
      <c r="L246" s="411"/>
      <c r="M246" s="412"/>
      <c r="N246" s="57"/>
      <c r="O246" s="136"/>
      <c r="P246" s="136"/>
      <c r="Q246" s="136"/>
      <c r="R246" s="136"/>
      <c r="S246" s="136"/>
      <c r="T246" s="136"/>
      <c r="V246" s="7"/>
    </row>
    <row r="247" spans="2:22" ht="18" customHeight="1">
      <c r="B247" s="195" t="str">
        <f>HYPERLINK("#LAYOUT_p!lay보PPSY4A29","PPSY4A29")</f>
        <v>PPSY4A29</v>
      </c>
      <c r="C247" s="195" t="str">
        <f>HYPERLINK("#LAYOUT_p!lay보PPSY4A30","PPSY4A30")</f>
        <v>PPSY4A30</v>
      </c>
      <c r="E247" s="7"/>
      <c r="F247" s="136"/>
      <c r="G247" s="411" t="s">
        <v>414</v>
      </c>
      <c r="H247" s="411"/>
      <c r="I247" s="412"/>
      <c r="J247" s="56"/>
      <c r="K247" s="410" t="s">
        <v>415</v>
      </c>
      <c r="L247" s="411"/>
      <c r="M247" s="412"/>
      <c r="N247" s="57"/>
      <c r="O247" s="136"/>
      <c r="P247" s="136"/>
      <c r="Q247" s="136"/>
      <c r="R247" s="136"/>
      <c r="S247" s="136"/>
      <c r="T247" s="136"/>
      <c r="V247" s="7"/>
    </row>
    <row r="248" spans="2:22" ht="18" customHeight="1">
      <c r="B248" s="195"/>
      <c r="C248" s="195"/>
      <c r="E248" s="7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V248" s="7"/>
    </row>
    <row r="249" spans="2:22" ht="18" customHeight="1">
      <c r="B249" s="195"/>
      <c r="C249" s="195"/>
      <c r="E249" s="7"/>
      <c r="F249" s="136"/>
      <c r="G249" s="136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V249" s="7"/>
    </row>
    <row r="250" spans="2:22" ht="18" customHeight="1" thickBot="1">
      <c r="B250" s="195"/>
      <c r="C250" s="195"/>
      <c r="E250" s="7"/>
      <c r="F250" s="136" t="s">
        <v>1015</v>
      </c>
      <c r="G250" s="136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V250" s="7"/>
    </row>
    <row r="251" spans="2:22" ht="31.5" thickTop="1" thickBot="1">
      <c r="B251" s="195"/>
      <c r="C251" s="195"/>
      <c r="E251" s="7"/>
      <c r="F251" s="136"/>
      <c r="G251" s="397" t="s">
        <v>643</v>
      </c>
      <c r="H251" s="397"/>
      <c r="I251" s="397"/>
      <c r="J251" s="397"/>
      <c r="K251" s="397"/>
      <c r="L251" s="398"/>
      <c r="M251" s="9" t="s">
        <v>622</v>
      </c>
      <c r="N251" s="9" t="s">
        <v>623</v>
      </c>
      <c r="O251" s="9" t="s">
        <v>107</v>
      </c>
      <c r="P251" s="10" t="s">
        <v>108</v>
      </c>
      <c r="Q251" s="136"/>
      <c r="R251" s="136"/>
      <c r="S251" s="136"/>
      <c r="T251" s="136"/>
      <c r="V251" s="7"/>
    </row>
    <row r="252" spans="2:22" ht="18" customHeight="1" thickTop="1">
      <c r="B252" s="355" t="str">
        <f>HYPERLINK("#LAYOUT_p!lay보PPSY5A01","PPSY5A01")</f>
        <v>PPSY5A01</v>
      </c>
      <c r="C252" s="355"/>
      <c r="E252" s="7"/>
      <c r="F252" s="136"/>
      <c r="G252" s="366" t="s">
        <v>747</v>
      </c>
      <c r="H252" s="366"/>
      <c r="I252" s="366"/>
      <c r="J252" s="366"/>
      <c r="K252" s="366"/>
      <c r="L252" s="367"/>
      <c r="M252" s="20" t="s">
        <v>591</v>
      </c>
      <c r="N252" s="20" t="s">
        <v>592</v>
      </c>
      <c r="O252" s="20" t="s">
        <v>593</v>
      </c>
      <c r="P252" s="25" t="s">
        <v>594</v>
      </c>
      <c r="Q252" s="136"/>
      <c r="R252" s="136"/>
      <c r="S252" s="136"/>
      <c r="T252" s="136"/>
      <c r="V252" s="7"/>
    </row>
    <row r="253" spans="2:22" ht="31.5" customHeight="1">
      <c r="B253" s="355" t="str">
        <f>HYPERLINK("#LAYOUT_p!lay보PPSY5A02","PPSY5A02")</f>
        <v>PPSY5A02</v>
      </c>
      <c r="C253" s="355"/>
      <c r="E253" s="7"/>
      <c r="F253" s="136"/>
      <c r="G253" s="366" t="s">
        <v>748</v>
      </c>
      <c r="H253" s="366"/>
      <c r="I253" s="366"/>
      <c r="J253" s="366"/>
      <c r="K253" s="366"/>
      <c r="L253" s="367"/>
      <c r="M253" s="22" t="s">
        <v>591</v>
      </c>
      <c r="N253" s="22" t="s">
        <v>592</v>
      </c>
      <c r="O253" s="22" t="s">
        <v>593</v>
      </c>
      <c r="P253" s="24" t="s">
        <v>594</v>
      </c>
      <c r="Q253" s="136"/>
      <c r="R253" s="136"/>
      <c r="S253" s="136"/>
      <c r="T253" s="136"/>
      <c r="V253" s="7"/>
    </row>
    <row r="254" spans="2:22" ht="18" customHeight="1">
      <c r="B254" s="355" t="str">
        <f>HYPERLINK("#LAYOUT_p!lay보PPSY5A03","PPSY5A03")</f>
        <v>PPSY5A03</v>
      </c>
      <c r="C254" s="355"/>
      <c r="E254" s="7"/>
      <c r="F254" s="136"/>
      <c r="G254" s="366" t="s">
        <v>749</v>
      </c>
      <c r="H254" s="366"/>
      <c r="I254" s="366"/>
      <c r="J254" s="366"/>
      <c r="K254" s="366"/>
      <c r="L254" s="367"/>
      <c r="M254" s="22" t="s">
        <v>591</v>
      </c>
      <c r="N254" s="22" t="s">
        <v>592</v>
      </c>
      <c r="O254" s="22" t="s">
        <v>593</v>
      </c>
      <c r="P254" s="24" t="s">
        <v>594</v>
      </c>
      <c r="Q254" s="136"/>
      <c r="R254" s="136"/>
      <c r="S254" s="136"/>
      <c r="T254" s="136"/>
      <c r="V254" s="7"/>
    </row>
    <row r="255" spans="2:22" ht="18" customHeight="1">
      <c r="B255" s="355" t="str">
        <f>HYPERLINK("#LAYOUT_p!lay보PPSY5A04","PPSY5A04")</f>
        <v>PPSY5A04</v>
      </c>
      <c r="C255" s="355"/>
      <c r="E255" s="7"/>
      <c r="F255" s="136"/>
      <c r="G255" s="366" t="s">
        <v>750</v>
      </c>
      <c r="H255" s="366"/>
      <c r="I255" s="366"/>
      <c r="J255" s="366"/>
      <c r="K255" s="366"/>
      <c r="L255" s="367"/>
      <c r="M255" s="22" t="s">
        <v>591</v>
      </c>
      <c r="N255" s="22" t="s">
        <v>592</v>
      </c>
      <c r="O255" s="22" t="s">
        <v>593</v>
      </c>
      <c r="P255" s="24" t="s">
        <v>594</v>
      </c>
      <c r="Q255" s="136"/>
      <c r="R255" s="136"/>
      <c r="S255" s="136"/>
      <c r="T255" s="136"/>
      <c r="V255" s="7"/>
    </row>
    <row r="256" spans="2:22" ht="18" customHeight="1">
      <c r="B256" s="355" t="str">
        <f>HYPERLINK("#LAYOUT_p!lay보PPSY5A05","PPSY5A05")</f>
        <v>PPSY5A05</v>
      </c>
      <c r="C256" s="355"/>
      <c r="E256" s="7"/>
      <c r="F256" s="136"/>
      <c r="G256" s="366" t="s">
        <v>751</v>
      </c>
      <c r="H256" s="366"/>
      <c r="I256" s="366"/>
      <c r="J256" s="366"/>
      <c r="K256" s="366"/>
      <c r="L256" s="367"/>
      <c r="M256" s="22" t="s">
        <v>591</v>
      </c>
      <c r="N256" s="22" t="s">
        <v>592</v>
      </c>
      <c r="O256" s="22" t="s">
        <v>593</v>
      </c>
      <c r="P256" s="24" t="s">
        <v>594</v>
      </c>
      <c r="Q256" s="136"/>
      <c r="R256" s="136"/>
      <c r="S256" s="136"/>
      <c r="T256" s="136"/>
      <c r="V256" s="7"/>
    </row>
    <row r="257" spans="2:22" ht="18" customHeight="1">
      <c r="B257" s="355" t="str">
        <f>HYPERLINK("#LAYOUT_p!lay보PPSY5A06","PPSY5A06")</f>
        <v>PPSY5A06</v>
      </c>
      <c r="C257" s="355"/>
      <c r="E257" s="7"/>
      <c r="F257" s="136"/>
      <c r="G257" s="366" t="s">
        <v>752</v>
      </c>
      <c r="H257" s="366"/>
      <c r="I257" s="366"/>
      <c r="J257" s="366"/>
      <c r="K257" s="366"/>
      <c r="L257" s="367"/>
      <c r="M257" s="22" t="s">
        <v>591</v>
      </c>
      <c r="N257" s="22" t="s">
        <v>592</v>
      </c>
      <c r="O257" s="22" t="s">
        <v>593</v>
      </c>
      <c r="P257" s="24" t="s">
        <v>594</v>
      </c>
      <c r="Q257" s="136"/>
      <c r="R257" s="136"/>
      <c r="S257" s="136"/>
      <c r="T257" s="136"/>
      <c r="V257" s="7"/>
    </row>
    <row r="258" spans="2:22" ht="18" customHeight="1">
      <c r="B258" s="355" t="str">
        <f>HYPERLINK("#LAYOUT_p!lay보PPSY5A07","PPSY5A07")</f>
        <v>PPSY5A07</v>
      </c>
      <c r="C258" s="355"/>
      <c r="E258" s="7"/>
      <c r="F258" s="136"/>
      <c r="G258" s="366" t="s">
        <v>753</v>
      </c>
      <c r="H258" s="366"/>
      <c r="I258" s="366"/>
      <c r="J258" s="366"/>
      <c r="K258" s="366"/>
      <c r="L258" s="367"/>
      <c r="M258" s="22" t="s">
        <v>591</v>
      </c>
      <c r="N258" s="22" t="s">
        <v>592</v>
      </c>
      <c r="O258" s="22" t="s">
        <v>593</v>
      </c>
      <c r="P258" s="24" t="s">
        <v>594</v>
      </c>
      <c r="Q258" s="136"/>
      <c r="R258" s="136"/>
      <c r="S258" s="136"/>
      <c r="T258" s="136"/>
      <c r="V258" s="7"/>
    </row>
    <row r="259" spans="2:22" ht="18" customHeight="1">
      <c r="B259" s="355" t="str">
        <f>HYPERLINK("#LAYOUT_p!lay보PPSY5A08","PPSY5A08")</f>
        <v>PPSY5A08</v>
      </c>
      <c r="C259" s="355"/>
      <c r="E259" s="7"/>
      <c r="F259" s="136"/>
      <c r="G259" s="366" t="s">
        <v>754</v>
      </c>
      <c r="H259" s="366"/>
      <c r="I259" s="366"/>
      <c r="J259" s="366"/>
      <c r="K259" s="366"/>
      <c r="L259" s="367"/>
      <c r="M259" s="22" t="s">
        <v>591</v>
      </c>
      <c r="N259" s="22" t="s">
        <v>592</v>
      </c>
      <c r="O259" s="22" t="s">
        <v>593</v>
      </c>
      <c r="P259" s="24" t="s">
        <v>594</v>
      </c>
      <c r="Q259" s="136"/>
      <c r="R259" s="136"/>
      <c r="S259" s="136"/>
      <c r="T259" s="136"/>
      <c r="V259" s="7"/>
    </row>
    <row r="260" spans="2:22" ht="18" customHeight="1">
      <c r="B260" s="195"/>
      <c r="C260" s="195"/>
      <c r="E260" s="7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V260" s="7"/>
    </row>
    <row r="261" spans="2:22" ht="18" customHeight="1">
      <c r="B261" s="195"/>
      <c r="C261" s="195"/>
      <c r="E261" s="7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V261" s="7"/>
    </row>
    <row r="262" spans="2:22" ht="18" customHeight="1">
      <c r="B262" s="355" t="str">
        <f>HYPERLINK("#LAYOUT_p!lay보PPHY1A00","PPHY1A00")</f>
        <v>PPHY1A00</v>
      </c>
      <c r="C262" s="355"/>
      <c r="E262" s="7"/>
      <c r="F262" s="136" t="s">
        <v>1016</v>
      </c>
      <c r="G262" s="136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V262" s="7"/>
    </row>
    <row r="263" spans="2:22" ht="18" customHeight="1">
      <c r="B263" s="195"/>
      <c r="C263" s="195"/>
      <c r="E263" s="7"/>
      <c r="F263" s="136"/>
      <c r="G263" s="396" t="s">
        <v>814</v>
      </c>
      <c r="H263" s="396"/>
      <c r="I263" s="396" t="s">
        <v>815</v>
      </c>
      <c r="J263" s="39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V263" s="7"/>
    </row>
    <row r="264" spans="2:22" ht="18" customHeight="1">
      <c r="B264" s="195"/>
      <c r="C264" s="195"/>
      <c r="E264" s="7"/>
      <c r="F264" s="136"/>
      <c r="G264" s="396" t="s">
        <v>816</v>
      </c>
      <c r="H264" s="396"/>
      <c r="I264" s="396" t="s">
        <v>817</v>
      </c>
      <c r="J264" s="39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V264" s="7"/>
    </row>
    <row r="265" spans="2:22" ht="18" customHeight="1">
      <c r="B265" s="195"/>
      <c r="C265" s="195"/>
      <c r="E265" s="7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V265" s="7"/>
    </row>
    <row r="266" spans="2:22" ht="18" customHeight="1">
      <c r="B266" s="195"/>
      <c r="C266" s="195"/>
      <c r="E266" s="7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V266" s="7"/>
    </row>
    <row r="267" spans="2:22" ht="18" customHeight="1">
      <c r="B267" s="355" t="str">
        <f>HYPERLINK("#LAYOUT_p!lay보PPHY1B00","PPHY1B00")</f>
        <v>PPHY1B00</v>
      </c>
      <c r="C267" s="355"/>
      <c r="E267" s="7"/>
      <c r="F267" s="136" t="s">
        <v>1017</v>
      </c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V267" s="7"/>
    </row>
    <row r="268" spans="2:22" ht="18" customHeight="1">
      <c r="B268" s="195"/>
      <c r="C268" s="195"/>
      <c r="E268" s="7"/>
      <c r="F268" s="136"/>
      <c r="G268" s="6" t="s">
        <v>819</v>
      </c>
      <c r="H268" s="6" t="s">
        <v>820</v>
      </c>
      <c r="I268" s="6" t="s">
        <v>821</v>
      </c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V268" s="7"/>
    </row>
    <row r="269" spans="2:22" ht="18" customHeight="1">
      <c r="B269" s="195"/>
      <c r="C269" s="195"/>
      <c r="E269" s="7"/>
      <c r="F269" s="136"/>
      <c r="G269" s="6" t="s">
        <v>822</v>
      </c>
      <c r="H269" s="6" t="s">
        <v>823</v>
      </c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V269" s="7"/>
    </row>
    <row r="270" spans="2:22" ht="18" customHeight="1">
      <c r="B270" s="195"/>
      <c r="C270" s="195"/>
      <c r="E270" s="7"/>
      <c r="F270" s="136"/>
      <c r="G270" s="136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V270" s="7"/>
    </row>
    <row r="271" spans="2:22" ht="18" customHeight="1">
      <c r="B271" s="195"/>
      <c r="C271" s="195"/>
      <c r="E271" s="7"/>
      <c r="F271" s="136"/>
      <c r="G271" s="136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V271" s="7"/>
    </row>
    <row r="272" spans="2:22" ht="18" customHeight="1">
      <c r="B272" s="355" t="str">
        <f>HYPERLINK("#LAYOUT_p!lay보PPHY1C00","PPHY1C00")</f>
        <v>PPHY1C00</v>
      </c>
      <c r="C272" s="355"/>
      <c r="E272" s="7"/>
      <c r="F272" s="136" t="s">
        <v>1018</v>
      </c>
      <c r="G272" s="136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V272" s="7"/>
    </row>
    <row r="273" spans="2:22" ht="18" customHeight="1">
      <c r="B273" s="195"/>
      <c r="C273" s="195"/>
      <c r="E273" s="7"/>
      <c r="F273" s="136"/>
      <c r="G273" s="6" t="s">
        <v>1596</v>
      </c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V273" s="7"/>
    </row>
    <row r="274" spans="2:22" ht="18" customHeight="1">
      <c r="B274" s="195"/>
      <c r="C274" s="195"/>
      <c r="E274" s="7"/>
      <c r="F274" s="136"/>
      <c r="G274" s="136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V274" s="7"/>
    </row>
    <row r="275" spans="2:22" ht="18" customHeight="1">
      <c r="B275" s="195"/>
      <c r="C275" s="195"/>
      <c r="E275" s="7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V275" s="7"/>
    </row>
    <row r="276" spans="2:22" ht="18" customHeight="1">
      <c r="B276" s="195"/>
      <c r="C276" s="195"/>
      <c r="E276" s="7"/>
      <c r="F276" s="136" t="s">
        <v>1019</v>
      </c>
      <c r="G276" s="136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V276" s="7"/>
    </row>
    <row r="277" spans="2:22" ht="18" customHeight="1">
      <c r="B277" s="355" t="str">
        <f>HYPERLINK("#LAYOUT_p!lay보PPHY2A00","PPHY2A00")</f>
        <v>PPHY2A00</v>
      </c>
      <c r="C277" s="355"/>
      <c r="E277" s="7"/>
      <c r="F277" s="136"/>
      <c r="G277" s="407" t="s">
        <v>1597</v>
      </c>
      <c r="H277" s="407"/>
      <c r="I277" s="407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V277" s="7"/>
    </row>
    <row r="278" spans="2:22" ht="18" customHeight="1">
      <c r="B278" s="355" t="str">
        <f>HYPERLINK("#LAYOUT_p!lay보PPHY2B00","PPHY2B00")</f>
        <v>PPHY2B00</v>
      </c>
      <c r="C278" s="355"/>
      <c r="E278" s="7"/>
      <c r="F278" s="136"/>
      <c r="G278" s="407" t="s">
        <v>1598</v>
      </c>
      <c r="H278" s="407"/>
      <c r="I278" s="407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V278" s="7"/>
    </row>
    <row r="279" spans="2:22" ht="18" customHeight="1">
      <c r="B279" s="195"/>
      <c r="C279" s="195"/>
      <c r="E279" s="7"/>
      <c r="F279" s="136"/>
      <c r="G279" s="146"/>
      <c r="H279" s="146"/>
      <c r="I279" s="14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V279" s="7"/>
    </row>
    <row r="280" spans="2:22" ht="18" customHeight="1">
      <c r="B280" s="195"/>
      <c r="C280" s="195"/>
      <c r="E280" s="7"/>
      <c r="F280" s="136"/>
      <c r="G280" s="146"/>
      <c r="H280" s="146"/>
      <c r="I280" s="14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V280" s="7"/>
    </row>
    <row r="281" spans="2:22" ht="18" customHeight="1">
      <c r="B281" s="355" t="str">
        <f>HYPERLINK("#LAYOUT_p!lay보PBRP1","PBRP1")</f>
        <v>PBRP1</v>
      </c>
      <c r="C281" s="355"/>
      <c r="E281" s="7"/>
      <c r="F281" s="136" t="s">
        <v>1020</v>
      </c>
      <c r="G281" s="146"/>
      <c r="H281" s="146"/>
      <c r="I281" s="14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V281" s="7"/>
    </row>
    <row r="282" spans="2:22" ht="18" customHeight="1">
      <c r="B282" s="355" t="str">
        <f>HYPERLINK("#LAYOUT_p!lay보PBRP2","PBRP2")</f>
        <v>PBRP2</v>
      </c>
      <c r="C282" s="355"/>
      <c r="E282" s="7"/>
      <c r="F282" s="136"/>
      <c r="G282" s="136" t="s">
        <v>1627</v>
      </c>
      <c r="H282" s="146"/>
      <c r="I282" s="14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V282" s="7"/>
    </row>
    <row r="283" spans="2:22" ht="18" customHeight="1">
      <c r="B283" s="355" t="str">
        <f>HYPERLINK("#LAYOUT_p!lay보PBRP3","PBRP3")</f>
        <v>PBRP3</v>
      </c>
      <c r="C283" s="355"/>
      <c r="E283" s="7"/>
      <c r="F283" s="136"/>
      <c r="G283" s="136" t="s">
        <v>1628</v>
      </c>
      <c r="H283" s="146"/>
      <c r="I283" s="14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V283" s="7"/>
    </row>
    <row r="284" spans="2:22" ht="18" customHeight="1">
      <c r="B284" s="195"/>
      <c r="C284" s="195"/>
      <c r="E284" s="7"/>
      <c r="F284" s="136"/>
      <c r="G284" s="146"/>
      <c r="H284" s="146"/>
      <c r="I284" s="14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V284" s="7"/>
    </row>
    <row r="285" spans="2:22" ht="18" customHeight="1">
      <c r="B285" s="195"/>
      <c r="C285" s="195"/>
      <c r="E285" s="7"/>
      <c r="F285" s="136"/>
      <c r="G285" s="146"/>
      <c r="H285" s="146"/>
      <c r="I285" s="14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V285" s="7"/>
    </row>
    <row r="286" spans="2:22" ht="18" customHeight="1" thickBot="1">
      <c r="B286" s="195"/>
      <c r="C286" s="195"/>
      <c r="E286" s="7"/>
      <c r="F286" s="136" t="s">
        <v>1021</v>
      </c>
      <c r="G286" s="146"/>
      <c r="H286" s="146"/>
      <c r="I286" s="14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V286" s="7"/>
    </row>
    <row r="287" spans="2:22" ht="31.5" thickTop="1" thickBot="1">
      <c r="B287" s="195"/>
      <c r="C287" s="195"/>
      <c r="E287" s="7"/>
      <c r="F287" s="136"/>
      <c r="G287" s="390" t="s">
        <v>1022</v>
      </c>
      <c r="H287" s="390"/>
      <c r="I287" s="391"/>
      <c r="J287" s="147" t="s">
        <v>534</v>
      </c>
      <c r="K287" s="147" t="s">
        <v>535</v>
      </c>
      <c r="L287" s="147" t="s">
        <v>536</v>
      </c>
      <c r="M287" s="147" t="s">
        <v>375</v>
      </c>
      <c r="N287" s="147" t="s">
        <v>1023</v>
      </c>
      <c r="O287" s="147" t="s">
        <v>1024</v>
      </c>
      <c r="P287" s="147" t="s">
        <v>1025</v>
      </c>
      <c r="Q287" s="147" t="s">
        <v>129</v>
      </c>
      <c r="R287" s="148" t="s">
        <v>90</v>
      </c>
      <c r="S287" s="136"/>
      <c r="T287" s="136"/>
      <c r="V287" s="7"/>
    </row>
    <row r="288" spans="2:22" ht="18" customHeight="1" thickTop="1">
      <c r="B288" s="355" t="str">
        <f>HYPERLINK("#LAYOUT_p!lay보PSCHOOL1","PSCHOOL1")</f>
        <v>PSCHOOL1</v>
      </c>
      <c r="C288" s="355"/>
      <c r="E288" s="7"/>
      <c r="F288" s="136"/>
      <c r="G288" s="55" t="s">
        <v>7</v>
      </c>
      <c r="H288" s="420" t="s">
        <v>154</v>
      </c>
      <c r="I288" s="433"/>
      <c r="J288" s="20" t="s">
        <v>591</v>
      </c>
      <c r="K288" s="20" t="s">
        <v>592</v>
      </c>
      <c r="L288" s="20" t="s">
        <v>593</v>
      </c>
      <c r="M288" s="20" t="s">
        <v>594</v>
      </c>
      <c r="N288" s="20" t="s">
        <v>595</v>
      </c>
      <c r="O288" s="20" t="s">
        <v>596</v>
      </c>
      <c r="P288" s="20" t="s">
        <v>597</v>
      </c>
      <c r="Q288" s="20" t="s">
        <v>662</v>
      </c>
      <c r="R288" s="25" t="s">
        <v>1026</v>
      </c>
      <c r="S288" s="136"/>
      <c r="T288" s="136"/>
      <c r="V288" s="7"/>
    </row>
    <row r="289" spans="2:22" ht="18" customHeight="1">
      <c r="B289" s="355" t="str">
        <f>HYPERLINK("#LAYOUT_p!lay보PSCHOOL2","PSCHOOL2")</f>
        <v>PSCHOOL2</v>
      </c>
      <c r="C289" s="355"/>
      <c r="E289" s="7"/>
      <c r="F289" s="136"/>
      <c r="G289" s="57" t="s">
        <v>8</v>
      </c>
      <c r="H289" s="411" t="s">
        <v>159</v>
      </c>
      <c r="I289" s="434"/>
      <c r="J289" s="22" t="s">
        <v>591</v>
      </c>
      <c r="K289" s="22" t="s">
        <v>592</v>
      </c>
      <c r="L289" s="22" t="s">
        <v>593</v>
      </c>
      <c r="M289" s="22" t="s">
        <v>594</v>
      </c>
      <c r="N289" s="22" t="s">
        <v>595</v>
      </c>
      <c r="O289" s="22" t="s">
        <v>596</v>
      </c>
      <c r="P289" s="22" t="s">
        <v>597</v>
      </c>
      <c r="Q289" s="22" t="s">
        <v>662</v>
      </c>
      <c r="R289" s="24" t="s">
        <v>1026</v>
      </c>
      <c r="S289" s="136"/>
      <c r="T289" s="136"/>
      <c r="V289" s="7"/>
    </row>
    <row r="290" spans="2:22" ht="18" customHeight="1">
      <c r="B290" s="355" t="str">
        <f>HYPERLINK("#LAYOUT_p!lay보PSCHOOL3","PSCHOOL3")</f>
        <v>PSCHOOL3</v>
      </c>
      <c r="C290" s="355"/>
      <c r="E290" s="7"/>
      <c r="F290" s="136"/>
      <c r="G290" s="143" t="s">
        <v>9</v>
      </c>
      <c r="H290" s="431" t="s">
        <v>1027</v>
      </c>
      <c r="I290" s="432"/>
      <c r="J290" s="149" t="s">
        <v>591</v>
      </c>
      <c r="K290" s="149" t="s">
        <v>592</v>
      </c>
      <c r="L290" s="149" t="s">
        <v>593</v>
      </c>
      <c r="M290" s="149" t="s">
        <v>594</v>
      </c>
      <c r="N290" s="149" t="s">
        <v>595</v>
      </c>
      <c r="O290" s="149" t="s">
        <v>596</v>
      </c>
      <c r="P290" s="149" t="s">
        <v>597</v>
      </c>
      <c r="Q290" s="149" t="s">
        <v>662</v>
      </c>
      <c r="R290" s="150" t="s">
        <v>1026</v>
      </c>
      <c r="S290" s="136"/>
      <c r="T290" s="136"/>
      <c r="V290" s="7"/>
    </row>
    <row r="291" spans="2:22" ht="18" customHeight="1">
      <c r="B291" s="195"/>
      <c r="C291" s="195"/>
      <c r="E291" s="7"/>
      <c r="F291" s="136"/>
      <c r="G291" s="146"/>
      <c r="H291" s="146"/>
      <c r="I291" s="14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V291" s="7"/>
    </row>
    <row r="292" spans="2:22" ht="18" customHeight="1">
      <c r="B292" s="195"/>
      <c r="C292" s="195"/>
      <c r="E292" s="7"/>
      <c r="F292" s="136"/>
      <c r="G292" s="146"/>
      <c r="H292" s="146"/>
      <c r="I292" s="14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V292" s="7"/>
    </row>
    <row r="293" spans="2:22" ht="30.75" customHeight="1">
      <c r="B293" s="195"/>
      <c r="C293" s="195"/>
      <c r="E293" s="7"/>
      <c r="F293" s="407" t="s">
        <v>1028</v>
      </c>
      <c r="G293" s="407"/>
      <c r="H293" s="407"/>
      <c r="I293" s="407"/>
      <c r="J293" s="407"/>
      <c r="K293" s="407"/>
      <c r="L293" s="407"/>
      <c r="M293" s="407"/>
      <c r="N293" s="407"/>
      <c r="O293" s="407"/>
      <c r="P293" s="407"/>
      <c r="Q293" s="407"/>
      <c r="R293" s="407"/>
      <c r="S293" s="407"/>
      <c r="T293" s="407"/>
      <c r="U293" s="407"/>
      <c r="V293" s="7"/>
    </row>
    <row r="294" spans="2:22" ht="18" customHeight="1" thickBot="1">
      <c r="B294" s="195"/>
      <c r="C294" s="195"/>
      <c r="E294" s="7"/>
      <c r="F294" s="136"/>
      <c r="G294" s="136" t="s">
        <v>1029</v>
      </c>
      <c r="H294" s="146"/>
      <c r="I294" s="14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V294" s="7"/>
    </row>
    <row r="295" spans="2:22" ht="18" customHeight="1" thickTop="1" thickBot="1">
      <c r="B295" s="195"/>
      <c r="C295" s="195"/>
      <c r="E295" s="7"/>
      <c r="F295" s="136"/>
      <c r="G295" s="390" t="s">
        <v>1022</v>
      </c>
      <c r="H295" s="390"/>
      <c r="I295" s="391"/>
      <c r="J295" s="9" t="s">
        <v>487</v>
      </c>
      <c r="K295" s="9" t="s">
        <v>488</v>
      </c>
      <c r="L295" s="10" t="s">
        <v>1030</v>
      </c>
      <c r="M295" s="136"/>
      <c r="N295" s="136"/>
      <c r="O295" s="136"/>
      <c r="P295" s="136"/>
      <c r="Q295" s="136"/>
      <c r="R295" s="136"/>
      <c r="S295" s="136"/>
      <c r="T295" s="136"/>
      <c r="V295" s="7"/>
    </row>
    <row r="296" spans="2:22" ht="18" customHeight="1" thickTop="1">
      <c r="B296" s="355" t="str">
        <f>HYPERLINK("#LAYOUT_p!lay보PWORKW1","PWORKW1")</f>
        <v>PWORKW1</v>
      </c>
      <c r="C296" s="355"/>
      <c r="E296" s="7"/>
      <c r="F296" s="136"/>
      <c r="G296" s="55" t="s">
        <v>7</v>
      </c>
      <c r="H296" s="420" t="s">
        <v>154</v>
      </c>
      <c r="I296" s="433"/>
      <c r="J296" s="20" t="s">
        <v>591</v>
      </c>
      <c r="K296" s="20" t="s">
        <v>592</v>
      </c>
      <c r="L296" s="25" t="s">
        <v>593</v>
      </c>
      <c r="M296" s="136"/>
      <c r="N296" s="136"/>
      <c r="O296" s="136"/>
      <c r="P296" s="136"/>
      <c r="Q296" s="136"/>
      <c r="R296" s="136"/>
      <c r="S296" s="136"/>
      <c r="T296" s="136"/>
      <c r="V296" s="7"/>
    </row>
    <row r="297" spans="2:22" ht="18" customHeight="1">
      <c r="B297" s="355" t="str">
        <f>HYPERLINK("#LAYOUT_p!lay보PWORKW2","PWORKW2")</f>
        <v>PWORKW2</v>
      </c>
      <c r="C297" s="355"/>
      <c r="E297" s="7"/>
      <c r="F297" s="136"/>
      <c r="G297" s="57" t="s">
        <v>8</v>
      </c>
      <c r="H297" s="411" t="s">
        <v>159</v>
      </c>
      <c r="I297" s="434"/>
      <c r="J297" s="22" t="s">
        <v>591</v>
      </c>
      <c r="K297" s="22" t="s">
        <v>592</v>
      </c>
      <c r="L297" s="24" t="s">
        <v>593</v>
      </c>
      <c r="M297" s="136"/>
      <c r="N297" s="136"/>
      <c r="O297" s="136"/>
      <c r="P297" s="136"/>
      <c r="Q297" s="136"/>
      <c r="R297" s="136"/>
      <c r="S297" s="136"/>
      <c r="T297" s="136"/>
      <c r="V297" s="7"/>
    </row>
    <row r="298" spans="2:22" ht="18" customHeight="1">
      <c r="B298" s="355" t="str">
        <f>HYPERLINK("#LAYOUT_p!lay보PWORKW3","PWORKW3")</f>
        <v>PWORKW3</v>
      </c>
      <c r="C298" s="355"/>
      <c r="E298" s="7"/>
      <c r="F298" s="136"/>
      <c r="G298" s="143" t="s">
        <v>9</v>
      </c>
      <c r="H298" s="431" t="s">
        <v>1027</v>
      </c>
      <c r="I298" s="432"/>
      <c r="J298" s="149" t="s">
        <v>591</v>
      </c>
      <c r="K298" s="149" t="s">
        <v>592</v>
      </c>
      <c r="L298" s="150" t="s">
        <v>593</v>
      </c>
      <c r="M298" s="136"/>
      <c r="N298" s="136"/>
      <c r="O298" s="136"/>
      <c r="P298" s="136"/>
      <c r="Q298" s="136"/>
      <c r="R298" s="136"/>
      <c r="S298" s="136"/>
      <c r="T298" s="136"/>
      <c r="V298" s="7"/>
    </row>
    <row r="299" spans="2:22" ht="18" customHeight="1">
      <c r="B299" s="195"/>
      <c r="C299" s="195"/>
      <c r="E299" s="7"/>
      <c r="F299" s="136"/>
      <c r="G299" s="146"/>
      <c r="H299" s="146"/>
      <c r="I299" s="14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V299" s="7"/>
    </row>
    <row r="300" spans="2:22" ht="18" customHeight="1">
      <c r="B300" s="195"/>
      <c r="C300" s="195"/>
      <c r="E300" s="7"/>
      <c r="F300" s="136"/>
      <c r="G300" s="146"/>
      <c r="H300" s="146"/>
      <c r="I300" s="14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V300" s="7"/>
    </row>
    <row r="301" spans="2:22" ht="18" customHeight="1" thickBot="1">
      <c r="B301" s="195"/>
      <c r="C301" s="195"/>
      <c r="E301" s="7"/>
      <c r="F301" s="136" t="s">
        <v>1031</v>
      </c>
      <c r="G301" s="146"/>
      <c r="H301" s="146"/>
      <c r="I301" s="14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V301" s="7"/>
    </row>
    <row r="302" spans="2:22" ht="31.5" thickTop="1" thickBot="1">
      <c r="B302" s="195"/>
      <c r="C302" s="195"/>
      <c r="E302" s="7"/>
      <c r="F302" s="136"/>
      <c r="G302" s="390" t="s">
        <v>1022</v>
      </c>
      <c r="H302" s="390"/>
      <c r="I302" s="391"/>
      <c r="J302" s="147" t="s">
        <v>540</v>
      </c>
      <c r="K302" s="147" t="s">
        <v>1032</v>
      </c>
      <c r="L302" s="147" t="s">
        <v>542</v>
      </c>
      <c r="M302" s="147" t="s">
        <v>543</v>
      </c>
      <c r="N302" s="147" t="s">
        <v>544</v>
      </c>
      <c r="O302" s="147" t="s">
        <v>1033</v>
      </c>
      <c r="P302" s="147" t="s">
        <v>546</v>
      </c>
      <c r="Q302" s="147" t="s">
        <v>547</v>
      </c>
      <c r="R302" s="147" t="s">
        <v>1034</v>
      </c>
      <c r="S302" s="147" t="s">
        <v>1035</v>
      </c>
      <c r="T302" s="148" t="s">
        <v>1637</v>
      </c>
      <c r="V302" s="7"/>
    </row>
    <row r="303" spans="2:22" ht="18" customHeight="1" thickTop="1">
      <c r="B303" s="195" t="str">
        <f>HYPERLINK("#LAYOUT_p!lay보PJOB1","PJOB1")</f>
        <v>PJOB1</v>
      </c>
      <c r="C303" s="195" t="str">
        <f>HYPERLINK("#LAYOUT_p!lay보PJOB1_T","PJOB1_T")</f>
        <v>PJOB1_T</v>
      </c>
      <c r="E303" s="7"/>
      <c r="F303" s="136"/>
      <c r="G303" s="55" t="s">
        <v>7</v>
      </c>
      <c r="H303" s="420" t="s">
        <v>154</v>
      </c>
      <c r="I303" s="433"/>
      <c r="J303" s="20" t="s">
        <v>591</v>
      </c>
      <c r="K303" s="20" t="s">
        <v>592</v>
      </c>
      <c r="L303" s="20" t="s">
        <v>593</v>
      </c>
      <c r="M303" s="20" t="s">
        <v>594</v>
      </c>
      <c r="N303" s="20" t="s">
        <v>595</v>
      </c>
      <c r="O303" s="20" t="s">
        <v>596</v>
      </c>
      <c r="P303" s="20" t="s">
        <v>597</v>
      </c>
      <c r="Q303" s="20" t="s">
        <v>662</v>
      </c>
      <c r="R303" s="20" t="s">
        <v>1036</v>
      </c>
      <c r="S303" s="20" t="s">
        <v>1026</v>
      </c>
      <c r="T303" s="25" t="s">
        <v>1037</v>
      </c>
      <c r="V303" s="7"/>
    </row>
    <row r="304" spans="2:22" ht="18" customHeight="1">
      <c r="B304" s="195" t="str">
        <f>HYPERLINK("#LAYOUT_p!lay보PJOB2","PJOB2")</f>
        <v>PJOB2</v>
      </c>
      <c r="C304" s="195" t="str">
        <f>HYPERLINK("#LAYOUT_p!lay보PJOB2_T","PJOB2_T")</f>
        <v>PJOB2_T</v>
      </c>
      <c r="E304" s="7"/>
      <c r="F304" s="136"/>
      <c r="G304" s="57" t="s">
        <v>8</v>
      </c>
      <c r="H304" s="411" t="s">
        <v>159</v>
      </c>
      <c r="I304" s="434"/>
      <c r="J304" s="22" t="s">
        <v>591</v>
      </c>
      <c r="K304" s="22" t="s">
        <v>592</v>
      </c>
      <c r="L304" s="22" t="s">
        <v>593</v>
      </c>
      <c r="M304" s="22" t="s">
        <v>594</v>
      </c>
      <c r="N304" s="22" t="s">
        <v>595</v>
      </c>
      <c r="O304" s="22" t="s">
        <v>596</v>
      </c>
      <c r="P304" s="22" t="s">
        <v>597</v>
      </c>
      <c r="Q304" s="22" t="s">
        <v>662</v>
      </c>
      <c r="R304" s="22" t="s">
        <v>1036</v>
      </c>
      <c r="S304" s="22" t="s">
        <v>1026</v>
      </c>
      <c r="T304" s="24" t="s">
        <v>1037</v>
      </c>
      <c r="V304" s="7"/>
    </row>
    <row r="305" spans="2:22" ht="18" customHeight="1">
      <c r="B305" s="195" t="str">
        <f>HYPERLINK("#LAYOUT_p!lay보PJOB3","PJOB3")</f>
        <v>PJOB3</v>
      </c>
      <c r="C305" s="195" t="str">
        <f>HYPERLINK("#LAYOUT_p!lay보PJOB3_T","PJOB3_T")</f>
        <v>PJOB3_T</v>
      </c>
      <c r="E305" s="7"/>
      <c r="F305" s="136"/>
      <c r="G305" s="143" t="s">
        <v>9</v>
      </c>
      <c r="H305" s="431" t="s">
        <v>1027</v>
      </c>
      <c r="I305" s="432"/>
      <c r="J305" s="149" t="s">
        <v>591</v>
      </c>
      <c r="K305" s="149" t="s">
        <v>592</v>
      </c>
      <c r="L305" s="149" t="s">
        <v>593</v>
      </c>
      <c r="M305" s="149" t="s">
        <v>594</v>
      </c>
      <c r="N305" s="149" t="s">
        <v>595</v>
      </c>
      <c r="O305" s="149" t="s">
        <v>596</v>
      </c>
      <c r="P305" s="149" t="s">
        <v>597</v>
      </c>
      <c r="Q305" s="149" t="s">
        <v>662</v>
      </c>
      <c r="R305" s="149" t="s">
        <v>1036</v>
      </c>
      <c r="S305" s="149" t="s">
        <v>1026</v>
      </c>
      <c r="T305" s="150" t="s">
        <v>1037</v>
      </c>
      <c r="V305" s="7"/>
    </row>
    <row r="306" spans="2:22" ht="18" customHeight="1">
      <c r="B306" s="195"/>
      <c r="C306" s="195"/>
      <c r="E306" s="7"/>
      <c r="F306" s="136"/>
      <c r="G306" s="146"/>
      <c r="H306" s="146"/>
      <c r="I306" s="14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V306" s="7"/>
    </row>
    <row r="307" spans="2:22" ht="18" customHeight="1">
      <c r="B307" s="195"/>
      <c r="C307" s="195"/>
      <c r="E307" s="7"/>
      <c r="F307" s="136"/>
      <c r="G307" s="146"/>
      <c r="H307" s="146"/>
      <c r="I307" s="14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V307" s="7"/>
    </row>
    <row r="308" spans="2:22" ht="18" customHeight="1">
      <c r="B308" s="355" t="str">
        <f>HYPERLINK("#LAYOUT_p!lay보PINCOME","PINCOME")</f>
        <v>PINCOME</v>
      </c>
      <c r="C308" s="355"/>
      <c r="E308" s="7"/>
      <c r="F308" s="136" t="s">
        <v>1038</v>
      </c>
      <c r="G308" s="146"/>
      <c r="H308" s="146"/>
      <c r="I308" s="14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V308" s="7"/>
    </row>
    <row r="309" spans="2:22" ht="18" customHeight="1">
      <c r="B309" s="195"/>
      <c r="C309" s="195"/>
      <c r="E309" s="7"/>
      <c r="F309" s="136"/>
      <c r="G309" s="136" t="s">
        <v>1039</v>
      </c>
      <c r="H309" s="146"/>
      <c r="I309" s="14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V309" s="7"/>
    </row>
    <row r="310" spans="2:22" ht="18" customHeight="1">
      <c r="B310" s="195"/>
      <c r="C310" s="195"/>
      <c r="E310" s="7"/>
      <c r="F310" s="136"/>
      <c r="G310" s="370" t="s">
        <v>1040</v>
      </c>
      <c r="H310" s="370"/>
      <c r="I310" s="370"/>
      <c r="J310" s="370" t="s">
        <v>1041</v>
      </c>
      <c r="K310" s="370"/>
      <c r="L310" s="370"/>
      <c r="M310" s="136"/>
      <c r="N310" s="136"/>
      <c r="O310" s="136"/>
      <c r="P310" s="136"/>
      <c r="Q310" s="136"/>
      <c r="R310" s="136"/>
      <c r="S310" s="136"/>
      <c r="T310" s="136"/>
      <c r="V310" s="7"/>
    </row>
    <row r="311" spans="2:22" ht="18" customHeight="1">
      <c r="B311" s="195"/>
      <c r="C311" s="195"/>
      <c r="E311" s="7"/>
      <c r="F311" s="136"/>
      <c r="G311" s="370" t="s">
        <v>1042</v>
      </c>
      <c r="H311" s="370"/>
      <c r="I311" s="370"/>
      <c r="J311" s="370" t="s">
        <v>1043</v>
      </c>
      <c r="K311" s="370"/>
      <c r="L311" s="370"/>
      <c r="M311" s="136"/>
      <c r="N311" s="136"/>
      <c r="O311" s="136"/>
      <c r="P311" s="136"/>
      <c r="Q311" s="136"/>
      <c r="R311" s="136"/>
      <c r="S311" s="136"/>
      <c r="T311" s="136"/>
      <c r="V311" s="7"/>
    </row>
    <row r="312" spans="2:22" ht="18" customHeight="1">
      <c r="B312" s="195"/>
      <c r="C312" s="195"/>
      <c r="E312" s="7"/>
      <c r="F312" s="136"/>
      <c r="G312" s="370" t="s">
        <v>1044</v>
      </c>
      <c r="H312" s="370"/>
      <c r="I312" s="370"/>
      <c r="J312" s="370" t="s">
        <v>1045</v>
      </c>
      <c r="K312" s="370"/>
      <c r="L312" s="370"/>
      <c r="M312" s="136"/>
      <c r="N312" s="136"/>
      <c r="O312" s="136"/>
      <c r="P312" s="136"/>
      <c r="Q312" s="136"/>
      <c r="R312" s="136"/>
      <c r="S312" s="136"/>
      <c r="T312" s="136"/>
      <c r="V312" s="7"/>
    </row>
    <row r="313" spans="2:22" ht="18" customHeight="1">
      <c r="B313" s="195"/>
      <c r="C313" s="195"/>
      <c r="E313" s="7"/>
      <c r="F313" s="136"/>
      <c r="G313" s="370" t="s">
        <v>1046</v>
      </c>
      <c r="H313" s="370"/>
      <c r="I313" s="370"/>
      <c r="J313" s="370" t="s">
        <v>1047</v>
      </c>
      <c r="K313" s="370"/>
      <c r="L313" s="370"/>
      <c r="M313" s="136"/>
      <c r="N313" s="136"/>
      <c r="O313" s="136"/>
      <c r="P313" s="136"/>
      <c r="Q313" s="136"/>
      <c r="R313" s="136"/>
      <c r="S313" s="136"/>
      <c r="T313" s="136"/>
      <c r="V313" s="7"/>
    </row>
    <row r="314" spans="2:22" ht="18" customHeight="1">
      <c r="B314" s="195"/>
      <c r="C314" s="195"/>
      <c r="E314" s="7"/>
      <c r="F314" s="136"/>
      <c r="G314" s="370" t="s">
        <v>1048</v>
      </c>
      <c r="H314" s="370"/>
      <c r="I314" s="370"/>
      <c r="J314" s="370" t="s">
        <v>1049</v>
      </c>
      <c r="K314" s="370"/>
      <c r="L314" s="370"/>
      <c r="M314" s="136"/>
      <c r="N314" s="136"/>
      <c r="O314" s="136"/>
      <c r="P314" s="136"/>
      <c r="Q314" s="136"/>
      <c r="R314" s="136"/>
      <c r="S314" s="136"/>
      <c r="T314" s="136"/>
      <c r="V314" s="7"/>
    </row>
    <row r="315" spans="2:22" ht="18" customHeight="1">
      <c r="B315" s="195"/>
      <c r="C315" s="195"/>
      <c r="E315" s="7"/>
      <c r="F315" s="136"/>
      <c r="G315" s="370" t="s">
        <v>1050</v>
      </c>
      <c r="H315" s="370"/>
      <c r="I315" s="370"/>
      <c r="J315" s="370" t="s">
        <v>1051</v>
      </c>
      <c r="K315" s="370"/>
      <c r="L315" s="370"/>
      <c r="M315" s="136"/>
      <c r="N315" s="136"/>
      <c r="O315" s="136"/>
      <c r="P315" s="136"/>
      <c r="Q315" s="136"/>
      <c r="R315" s="136"/>
      <c r="S315" s="136"/>
      <c r="T315" s="136"/>
      <c r="V315" s="7"/>
    </row>
    <row r="316" spans="2:22" ht="18" customHeight="1">
      <c r="B316" s="195"/>
      <c r="C316" s="195"/>
      <c r="E316" s="7"/>
      <c r="F316" s="136"/>
      <c r="G316" s="146"/>
      <c r="H316" s="146"/>
      <c r="I316" s="14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V316" s="7"/>
    </row>
    <row r="317" spans="2:22" ht="18" customHeight="1">
      <c r="B317" s="195"/>
      <c r="C317" s="195"/>
      <c r="E317" s="7"/>
      <c r="F317" s="136"/>
      <c r="G317" s="146"/>
      <c r="H317" s="146"/>
      <c r="I317" s="14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V317" s="7"/>
    </row>
    <row r="318" spans="2:22" ht="18" customHeight="1" thickBot="1">
      <c r="B318" s="355" t="str">
        <f>HYPERLINK("#LAYOUT_p!lay보PINCOME1","PINCOME1")</f>
        <v>PINCOME1</v>
      </c>
      <c r="C318" s="355"/>
      <c r="E318" s="7"/>
      <c r="F318" s="136" t="s">
        <v>1052</v>
      </c>
      <c r="G318" s="146"/>
      <c r="H318" s="146"/>
      <c r="I318" s="14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V318" s="7"/>
    </row>
    <row r="319" spans="2:22" ht="18" customHeight="1" thickTop="1">
      <c r="E319" s="7"/>
      <c r="F319" s="136"/>
      <c r="G319" s="36"/>
      <c r="H319" s="37"/>
      <c r="I319" s="37"/>
      <c r="J319" s="37"/>
      <c r="K319" s="37"/>
      <c r="L319" s="37"/>
      <c r="M319" s="38"/>
      <c r="O319" s="136"/>
      <c r="P319" s="136"/>
      <c r="Q319" s="136"/>
      <c r="R319" s="136"/>
      <c r="S319" s="136"/>
      <c r="T319" s="136"/>
      <c r="V319" s="7"/>
    </row>
    <row r="320" spans="2:22" ht="18" customHeight="1">
      <c r="E320" s="7"/>
      <c r="F320" s="136"/>
      <c r="G320" s="40"/>
      <c r="H320" s="151" t="s">
        <v>565</v>
      </c>
      <c r="I320" s="151" t="s">
        <v>566</v>
      </c>
      <c r="J320" s="151" t="s">
        <v>126</v>
      </c>
      <c r="K320" s="151" t="s">
        <v>567</v>
      </c>
      <c r="L320" s="151" t="s">
        <v>568</v>
      </c>
      <c r="M320" s="42"/>
      <c r="O320" s="136"/>
      <c r="P320" s="136"/>
      <c r="Q320" s="136"/>
      <c r="R320" s="136"/>
      <c r="S320" s="136"/>
      <c r="T320" s="136"/>
      <c r="V320" s="7"/>
    </row>
    <row r="321" spans="5:22" ht="18" customHeight="1">
      <c r="E321" s="7"/>
      <c r="F321" s="136"/>
      <c r="G321" s="40"/>
      <c r="H321" s="151" t="s">
        <v>591</v>
      </c>
      <c r="I321" s="151" t="s">
        <v>592</v>
      </c>
      <c r="J321" s="151" t="s">
        <v>593</v>
      </c>
      <c r="K321" s="151" t="s">
        <v>594</v>
      </c>
      <c r="L321" s="151" t="s">
        <v>595</v>
      </c>
      <c r="M321" s="42"/>
      <c r="O321" s="136"/>
      <c r="P321" s="136"/>
      <c r="Q321" s="136"/>
      <c r="R321" s="136"/>
      <c r="S321" s="136"/>
      <c r="T321" s="136"/>
      <c r="V321" s="7"/>
    </row>
    <row r="322" spans="5:22" ht="18" customHeight="1">
      <c r="E322" s="7"/>
      <c r="F322" s="136"/>
      <c r="G322" s="40"/>
      <c r="H322" s="43"/>
      <c r="I322" s="43"/>
      <c r="J322" s="43"/>
      <c r="K322" s="43"/>
      <c r="L322" s="43"/>
      <c r="M322" s="42"/>
      <c r="O322" s="136"/>
      <c r="P322" s="136"/>
      <c r="Q322" s="136"/>
      <c r="R322" s="136"/>
      <c r="S322" s="136"/>
      <c r="T322" s="136"/>
      <c r="V322" s="7"/>
    </row>
    <row r="323" spans="5:22" ht="18" customHeight="1">
      <c r="E323" s="7"/>
      <c r="F323" s="136"/>
      <c r="G323" s="40"/>
      <c r="H323" s="45"/>
      <c r="I323" s="45"/>
      <c r="J323" s="45"/>
      <c r="K323" s="45"/>
      <c r="L323" s="45"/>
      <c r="M323" s="42"/>
      <c r="O323" s="136"/>
      <c r="P323" s="136"/>
      <c r="Q323" s="136"/>
      <c r="R323" s="136"/>
      <c r="S323" s="136"/>
      <c r="T323" s="136"/>
      <c r="V323" s="7"/>
    </row>
    <row r="324" spans="5:22" ht="18" customHeight="1" thickBot="1">
      <c r="E324" s="7"/>
      <c r="F324" s="136"/>
      <c r="G324" s="47"/>
      <c r="H324" s="48"/>
      <c r="I324" s="48"/>
      <c r="J324" s="48"/>
      <c r="K324" s="48"/>
      <c r="L324" s="48"/>
      <c r="M324" s="49"/>
      <c r="O324" s="136"/>
      <c r="P324" s="136"/>
      <c r="Q324" s="136"/>
      <c r="R324" s="136"/>
      <c r="S324" s="136"/>
      <c r="T324" s="136"/>
      <c r="V324" s="7"/>
    </row>
    <row r="325" spans="5:22" ht="18" customHeight="1" thickTop="1">
      <c r="E325" s="7"/>
      <c r="F325" s="136"/>
      <c r="G325" s="146"/>
      <c r="H325" s="146"/>
      <c r="I325" s="14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V325" s="7"/>
    </row>
    <row r="326" spans="5:22" ht="18" customHeight="1">
      <c r="E326" s="7"/>
      <c r="F326" s="136"/>
      <c r="G326" s="146"/>
      <c r="H326" s="146"/>
      <c r="I326" s="14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V326" s="7"/>
    </row>
    <row r="327" spans="5:22" ht="18" customHeight="1">
      <c r="E327" s="7"/>
      <c r="V327" s="7"/>
    </row>
    <row r="328" spans="5:22" ht="9.75" customHeight="1"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</sheetData>
  <sheetProtection algorithmName="SHA-512" hashValue="tDvrugYpMy3MaAi7zBwLHox/0wq5j08dg4UNXCpgDJJx3bBkHuVwJiR5gEc0AttZ9j6cmrAn5iB9FMadeuXXvQ==" saltValue="V2vTBvMqWRs8TvaflYBekQ==" spinCount="100000" sheet="1" objects="1" scenarios="1"/>
  <mergeCells count="282">
    <mergeCell ref="F6:U6"/>
    <mergeCell ref="K242:M242"/>
    <mergeCell ref="G243:I243"/>
    <mergeCell ref="K243:M243"/>
    <mergeCell ref="G244:I244"/>
    <mergeCell ref="K244:M244"/>
    <mergeCell ref="G245:I245"/>
    <mergeCell ref="K245:M245"/>
    <mergeCell ref="G224:L224"/>
    <mergeCell ref="G225:L225"/>
    <mergeCell ref="G226:L226"/>
    <mergeCell ref="G241:I241"/>
    <mergeCell ref="K241:M241"/>
    <mergeCell ref="G240:I240"/>
    <mergeCell ref="K240:M240"/>
    <mergeCell ref="G234:I234"/>
    <mergeCell ref="G232:I232"/>
    <mergeCell ref="K232:M232"/>
    <mergeCell ref="H99:L99"/>
    <mergeCell ref="H100:L100"/>
    <mergeCell ref="H88:M88"/>
    <mergeCell ref="H89:M89"/>
    <mergeCell ref="H90:M90"/>
    <mergeCell ref="H91:M91"/>
    <mergeCell ref="G238:I238"/>
    <mergeCell ref="K238:M238"/>
    <mergeCell ref="G239:I239"/>
    <mergeCell ref="K239:M239"/>
    <mergeCell ref="G227:L227"/>
    <mergeCell ref="G228:L228"/>
    <mergeCell ref="G220:L220"/>
    <mergeCell ref="G221:L221"/>
    <mergeCell ref="G222:L222"/>
    <mergeCell ref="K234:M234"/>
    <mergeCell ref="G235:I235"/>
    <mergeCell ref="K235:M235"/>
    <mergeCell ref="G236:I236"/>
    <mergeCell ref="K236:M236"/>
    <mergeCell ref="G237:I237"/>
    <mergeCell ref="K237:M237"/>
    <mergeCell ref="G233:I233"/>
    <mergeCell ref="K233:M233"/>
    <mergeCell ref="G67:M67"/>
    <mergeCell ref="H68:M68"/>
    <mergeCell ref="H69:M69"/>
    <mergeCell ref="H70:M70"/>
    <mergeCell ref="H71:M71"/>
    <mergeCell ref="H72:M72"/>
    <mergeCell ref="H75:M75"/>
    <mergeCell ref="G68:G75"/>
    <mergeCell ref="H73:M73"/>
    <mergeCell ref="H74:M74"/>
    <mergeCell ref="G311:I311"/>
    <mergeCell ref="G312:I312"/>
    <mergeCell ref="G313:I313"/>
    <mergeCell ref="J310:L310"/>
    <mergeCell ref="H36:H37"/>
    <mergeCell ref="G54:K54"/>
    <mergeCell ref="G103:G109"/>
    <mergeCell ref="H108:M108"/>
    <mergeCell ref="H109:M109"/>
    <mergeCell ref="G84:G91"/>
    <mergeCell ref="G83:M83"/>
    <mergeCell ref="H84:M84"/>
    <mergeCell ref="H85:M85"/>
    <mergeCell ref="H86:M86"/>
    <mergeCell ref="H87:M87"/>
    <mergeCell ref="G102:M102"/>
    <mergeCell ref="H103:M103"/>
    <mergeCell ref="H104:M104"/>
    <mergeCell ref="H105:M105"/>
    <mergeCell ref="H106:M106"/>
    <mergeCell ref="H107:M107"/>
    <mergeCell ref="G96:M96"/>
    <mergeCell ref="H97:L97"/>
    <mergeCell ref="H98:L98"/>
    <mergeCell ref="J311:L311"/>
    <mergeCell ref="J312:L312"/>
    <mergeCell ref="J313:L313"/>
    <mergeCell ref="G242:I242"/>
    <mergeCell ref="G277:I277"/>
    <mergeCell ref="G278:I278"/>
    <mergeCell ref="J315:L315"/>
    <mergeCell ref="H298:I298"/>
    <mergeCell ref="H296:I296"/>
    <mergeCell ref="H297:I297"/>
    <mergeCell ref="G302:I302"/>
    <mergeCell ref="H303:I303"/>
    <mergeCell ref="H304:I304"/>
    <mergeCell ref="H305:I305"/>
    <mergeCell ref="G310:I310"/>
    <mergeCell ref="G314:I314"/>
    <mergeCell ref="G315:I315"/>
    <mergeCell ref="J314:L314"/>
    <mergeCell ref="G295:I295"/>
    <mergeCell ref="G287:I287"/>
    <mergeCell ref="H288:I288"/>
    <mergeCell ref="H289:I289"/>
    <mergeCell ref="H290:I290"/>
    <mergeCell ref="F293:U293"/>
    <mergeCell ref="G264:H264"/>
    <mergeCell ref="I264:J264"/>
    <mergeCell ref="G257:L257"/>
    <mergeCell ref="G258:L258"/>
    <mergeCell ref="G259:L259"/>
    <mergeCell ref="G246:I246"/>
    <mergeCell ref="K246:M246"/>
    <mergeCell ref="G247:I247"/>
    <mergeCell ref="K247:M247"/>
    <mergeCell ref="G263:H263"/>
    <mergeCell ref="I263:J263"/>
    <mergeCell ref="G254:L254"/>
    <mergeCell ref="G255:L255"/>
    <mergeCell ref="G256:L256"/>
    <mergeCell ref="G251:L251"/>
    <mergeCell ref="G252:L252"/>
    <mergeCell ref="G253:L253"/>
    <mergeCell ref="G218:L218"/>
    <mergeCell ref="G219:L219"/>
    <mergeCell ref="G213:L213"/>
    <mergeCell ref="G214:L214"/>
    <mergeCell ref="G206:L206"/>
    <mergeCell ref="G207:L207"/>
    <mergeCell ref="G208:L208"/>
    <mergeCell ref="G212:L212"/>
    <mergeCell ref="G223:L223"/>
    <mergeCell ref="G193:L193"/>
    <mergeCell ref="G188:L188"/>
    <mergeCell ref="G189:L189"/>
    <mergeCell ref="G190:L190"/>
    <mergeCell ref="G200:L200"/>
    <mergeCell ref="G201:L201"/>
    <mergeCell ref="G202:L202"/>
    <mergeCell ref="G197:L197"/>
    <mergeCell ref="G198:L198"/>
    <mergeCell ref="G199:L199"/>
    <mergeCell ref="G181:L181"/>
    <mergeCell ref="G185:L185"/>
    <mergeCell ref="G186:L186"/>
    <mergeCell ref="G187:L187"/>
    <mergeCell ref="G182:L182"/>
    <mergeCell ref="G183:L183"/>
    <mergeCell ref="G184:L184"/>
    <mergeCell ref="G191:L191"/>
    <mergeCell ref="G192:L192"/>
    <mergeCell ref="G169:L169"/>
    <mergeCell ref="G170:L170"/>
    <mergeCell ref="G171:L171"/>
    <mergeCell ref="G166:L166"/>
    <mergeCell ref="G167:L167"/>
    <mergeCell ref="G168:L168"/>
    <mergeCell ref="G178:L178"/>
    <mergeCell ref="G179:L179"/>
    <mergeCell ref="G180:L180"/>
    <mergeCell ref="G172:L172"/>
    <mergeCell ref="G173:L173"/>
    <mergeCell ref="G174:L174"/>
    <mergeCell ref="F2:U3"/>
    <mergeCell ref="G55:K55"/>
    <mergeCell ref="G165:L165"/>
    <mergeCell ref="G149:H149"/>
    <mergeCell ref="G162:L162"/>
    <mergeCell ref="G163:L163"/>
    <mergeCell ref="G164:L164"/>
    <mergeCell ref="G114:H114"/>
    <mergeCell ref="I114:J114"/>
    <mergeCell ref="G115:H115"/>
    <mergeCell ref="I115:J115"/>
    <mergeCell ref="G116:H116"/>
    <mergeCell ref="I116:J116"/>
    <mergeCell ref="G147:H147"/>
    <mergeCell ref="I147:J147"/>
    <mergeCell ref="G148:H148"/>
    <mergeCell ref="I148:J148"/>
    <mergeCell ref="G30:J30"/>
    <mergeCell ref="G31:J31"/>
    <mergeCell ref="G32:J32"/>
    <mergeCell ref="G33:J33"/>
    <mergeCell ref="G34:J34"/>
    <mergeCell ref="G36:G37"/>
    <mergeCell ref="J36:J37"/>
    <mergeCell ref="B38:C38"/>
    <mergeCell ref="B39:C39"/>
    <mergeCell ref="B40:C40"/>
    <mergeCell ref="B41:C41"/>
    <mergeCell ref="B42:C42"/>
    <mergeCell ref="B43:C43"/>
    <mergeCell ref="B44:C44"/>
    <mergeCell ref="B45:C45"/>
    <mergeCell ref="B9:C9"/>
    <mergeCell ref="B16:C16"/>
    <mergeCell ref="B17:C17"/>
    <mergeCell ref="B20:C20"/>
    <mergeCell ref="B24:C24"/>
    <mergeCell ref="B48:C48"/>
    <mergeCell ref="B49:C49"/>
    <mergeCell ref="B50:C50"/>
    <mergeCell ref="B53:C53"/>
    <mergeCell ref="B54:C54"/>
    <mergeCell ref="B61:C61"/>
    <mergeCell ref="B66:C66"/>
    <mergeCell ref="B67:C67"/>
    <mergeCell ref="B68:C68"/>
    <mergeCell ref="B78:C78"/>
    <mergeCell ref="B82:C82"/>
    <mergeCell ref="B83:C83"/>
    <mergeCell ref="B84:C84"/>
    <mergeCell ref="B119:C119"/>
    <mergeCell ref="B128:C128"/>
    <mergeCell ref="B137:C137"/>
    <mergeCell ref="B146:C146"/>
    <mergeCell ref="B155:C155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9:C189"/>
    <mergeCell ref="B188:C188"/>
    <mergeCell ref="B191:C191"/>
    <mergeCell ref="B190:C190"/>
    <mergeCell ref="B192:C192"/>
    <mergeCell ref="B193:C193"/>
    <mergeCell ref="B198:C198"/>
    <mergeCell ref="B199:C199"/>
    <mergeCell ref="B200:C200"/>
    <mergeCell ref="B201:C201"/>
    <mergeCell ref="B202:C202"/>
    <mergeCell ref="B207:C207"/>
    <mergeCell ref="B208:C208"/>
    <mergeCell ref="B213:C213"/>
    <mergeCell ref="B214:C214"/>
    <mergeCell ref="B219:C219"/>
    <mergeCell ref="B262:C262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F5:U5"/>
    <mergeCell ref="B290:C290"/>
    <mergeCell ref="B296:C296"/>
    <mergeCell ref="B297:C297"/>
    <mergeCell ref="B298:C298"/>
    <mergeCell ref="B308:C308"/>
    <mergeCell ref="B318:C318"/>
    <mergeCell ref="B267:C267"/>
    <mergeCell ref="B272:C272"/>
    <mergeCell ref="B277:C277"/>
    <mergeCell ref="B278:C278"/>
    <mergeCell ref="B281:C281"/>
    <mergeCell ref="B282:C282"/>
    <mergeCell ref="B283:C283"/>
    <mergeCell ref="B288:C288"/>
    <mergeCell ref="B289:C289"/>
    <mergeCell ref="B252:C252"/>
    <mergeCell ref="B253:C253"/>
    <mergeCell ref="B254:C254"/>
    <mergeCell ref="B255:C255"/>
    <mergeCell ref="B256:C256"/>
    <mergeCell ref="B257:C257"/>
    <mergeCell ref="B258:C258"/>
    <mergeCell ref="B259:C259"/>
  </mergeCells>
  <phoneticPr fontId="1" type="noConversion"/>
  <pageMargins left="0.25" right="0.25" top="0.75" bottom="0.75" header="0.3" footer="0.3"/>
  <pageSetup paperSize="9" scale="41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369"/>
  <sheetViews>
    <sheetView showGridLines="0" zoomScaleNormal="100" workbookViewId="0">
      <pane ySplit="6" topLeftCell="A7" activePane="bottomLeft" state="frozen"/>
      <selection pane="bottomLeft" activeCell="F2" sqref="F2:U3"/>
    </sheetView>
  </sheetViews>
  <sheetFormatPr defaultColWidth="9" defaultRowHeight="18" customHeight="1"/>
  <cols>
    <col min="1" max="1" width="1.625" style="6" customWidth="1"/>
    <col min="2" max="3" width="12.375" style="1" customWidth="1"/>
    <col min="4" max="4" width="1.625" style="2" customWidth="1"/>
    <col min="5" max="5" width="1.625" style="6" customWidth="1"/>
    <col min="6" max="6" width="5.125" style="6" customWidth="1"/>
    <col min="7" max="20" width="13.5" style="6" customWidth="1"/>
    <col min="21" max="21" width="5.125" style="6" customWidth="1"/>
    <col min="22" max="22" width="1.625" style="6" customWidth="1"/>
    <col min="23" max="16384" width="9" style="6"/>
  </cols>
  <sheetData>
    <row r="1" spans="2:22" ht="9.75" customHeight="1" thickBot="1"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"/>
      <c r="V1" s="3"/>
    </row>
    <row r="2" spans="2:22" ht="18" customHeight="1">
      <c r="E2" s="4"/>
      <c r="F2" s="356" t="s">
        <v>1764</v>
      </c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8"/>
      <c r="V2" s="3"/>
    </row>
    <row r="3" spans="2:22" ht="18" customHeight="1" thickBot="1">
      <c r="E3" s="4"/>
      <c r="F3" s="359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1"/>
      <c r="V3" s="3"/>
    </row>
    <row r="4" spans="2:22" ht="9.75" customHeight="1">
      <c r="E4" s="3"/>
      <c r="F4" s="3"/>
      <c r="U4" s="3"/>
      <c r="V4" s="3"/>
    </row>
    <row r="5" spans="2:22" ht="18" customHeight="1">
      <c r="F5" s="354" t="s">
        <v>1770</v>
      </c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</row>
    <row r="6" spans="2:22" ht="18" customHeight="1">
      <c r="B6" s="193"/>
      <c r="C6" s="193"/>
      <c r="F6" s="406" t="s">
        <v>1067</v>
      </c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</row>
    <row r="7" spans="2:22" ht="9.75" customHeight="1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2:22" ht="18" customHeight="1">
      <c r="E8" s="7"/>
      <c r="V8" s="7"/>
    </row>
    <row r="9" spans="2:22" ht="18" customHeight="1">
      <c r="E9" s="7"/>
      <c r="F9" s="6" t="s">
        <v>569</v>
      </c>
      <c r="V9" s="7"/>
    </row>
    <row r="10" spans="2:22" ht="18" customHeight="1">
      <c r="B10" s="355" t="str">
        <f>HYPERLINK("#LAYOUT_e4!lay초YBRT1A","YBRT1A")</f>
        <v>YBRT1A</v>
      </c>
      <c r="C10" s="355"/>
      <c r="E10" s="7"/>
      <c r="G10" s="6" t="s">
        <v>1581</v>
      </c>
      <c r="V10" s="7"/>
    </row>
    <row r="11" spans="2:22" ht="18" customHeight="1">
      <c r="B11" s="355" t="str">
        <f>HYPERLINK("#LAYOUT_e4!lay초YBRT1B","YBRT1B")</f>
        <v>YBRT1B</v>
      </c>
      <c r="C11" s="355"/>
      <c r="E11" s="7"/>
      <c r="G11" s="6" t="s">
        <v>1582</v>
      </c>
      <c r="V11" s="7"/>
    </row>
    <row r="12" spans="2:22" ht="18" customHeight="1">
      <c r="B12" s="195"/>
      <c r="C12" s="195"/>
      <c r="E12" s="7"/>
      <c r="V12" s="7"/>
    </row>
    <row r="13" spans="2:22" ht="18" customHeight="1">
      <c r="B13" s="195"/>
      <c r="C13" s="195"/>
      <c r="E13" s="7"/>
      <c r="V13" s="7"/>
    </row>
    <row r="14" spans="2:22" ht="18" customHeight="1">
      <c r="B14" s="355" t="str">
        <f>HYPERLINK("#LAYOUT_e4!lay초YGENDER","YGENDER")</f>
        <v>YGENDER</v>
      </c>
      <c r="C14" s="355"/>
      <c r="E14" s="7"/>
      <c r="F14" s="6" t="s">
        <v>570</v>
      </c>
      <c r="V14" s="7"/>
    </row>
    <row r="15" spans="2:22" ht="18" customHeight="1">
      <c r="B15" s="195"/>
      <c r="C15" s="195"/>
      <c r="E15" s="7"/>
      <c r="G15" s="6" t="s">
        <v>571</v>
      </c>
      <c r="H15" s="6" t="s">
        <v>572</v>
      </c>
      <c r="V15" s="7"/>
    </row>
    <row r="16" spans="2:22" ht="18" customHeight="1">
      <c r="B16" s="195"/>
      <c r="C16" s="195"/>
      <c r="E16" s="7"/>
      <c r="V16" s="7"/>
    </row>
    <row r="17" spans="2:22" ht="18" customHeight="1">
      <c r="B17" s="195"/>
      <c r="C17" s="195"/>
      <c r="E17" s="7"/>
      <c r="V17" s="7"/>
    </row>
    <row r="18" spans="2:22" ht="18" customHeight="1">
      <c r="B18" s="195"/>
      <c r="C18" s="195"/>
      <c r="E18" s="7"/>
      <c r="F18" s="6" t="s">
        <v>1569</v>
      </c>
      <c r="V18" s="7"/>
    </row>
    <row r="19" spans="2:22" ht="18" customHeight="1" thickBot="1">
      <c r="B19" s="195"/>
      <c r="C19" s="195"/>
      <c r="E19" s="7"/>
      <c r="G19" s="6" t="s">
        <v>573</v>
      </c>
      <c r="H19" s="8"/>
      <c r="I19" s="8"/>
      <c r="J19" s="8"/>
      <c r="K19" s="8"/>
      <c r="L19" s="8"/>
      <c r="M19" s="8"/>
      <c r="N19" s="8"/>
      <c r="O19" s="8"/>
      <c r="P19" s="8"/>
      <c r="V19" s="7"/>
    </row>
    <row r="20" spans="2:22" ht="18" customHeight="1" thickTop="1">
      <c r="B20" s="195"/>
      <c r="C20" s="195"/>
      <c r="E20" s="7"/>
      <c r="G20" s="388" t="s">
        <v>574</v>
      </c>
      <c r="H20" s="388"/>
      <c r="I20" s="388"/>
      <c r="J20" s="388"/>
      <c r="K20" s="388"/>
      <c r="L20" s="389"/>
      <c r="M20" s="375" t="s">
        <v>575</v>
      </c>
      <c r="N20" s="376"/>
      <c r="O20" s="316" t="s">
        <v>576</v>
      </c>
      <c r="P20" s="316"/>
      <c r="V20" s="7"/>
    </row>
    <row r="21" spans="2:22" ht="18" customHeight="1" thickBot="1">
      <c r="B21" s="195"/>
      <c r="C21" s="195"/>
      <c r="E21" s="7"/>
      <c r="G21" s="374"/>
      <c r="H21" s="374"/>
      <c r="I21" s="374"/>
      <c r="J21" s="374"/>
      <c r="K21" s="374"/>
      <c r="L21" s="378"/>
      <c r="M21" s="377" t="s">
        <v>577</v>
      </c>
      <c r="N21" s="378"/>
      <c r="O21" s="374" t="s">
        <v>578</v>
      </c>
      <c r="P21" s="374"/>
      <c r="V21" s="7"/>
    </row>
    <row r="22" spans="2:22" ht="18" customHeight="1" thickTop="1">
      <c r="B22" s="195" t="str">
        <f>HYPERLINK("#LAYOUT_e4!lay초YTIM1A01","YTIM1A01")</f>
        <v>YTIM1A01</v>
      </c>
      <c r="C22" s="195" t="str">
        <f>HYPERLINK("#LAYOUT_e4!lay초YTIM1A03","YTIM1A03")</f>
        <v>YTIM1A03</v>
      </c>
      <c r="E22" s="7"/>
      <c r="G22" s="380" t="s">
        <v>579</v>
      </c>
      <c r="H22" s="380"/>
      <c r="I22" s="380"/>
      <c r="J22" s="380"/>
      <c r="K22" s="380"/>
      <c r="L22" s="381"/>
      <c r="M22" s="384" t="s">
        <v>1583</v>
      </c>
      <c r="N22" s="385"/>
      <c r="O22" s="384" t="s">
        <v>1583</v>
      </c>
      <c r="P22" s="387"/>
      <c r="Q22" s="5"/>
      <c r="V22" s="7"/>
    </row>
    <row r="23" spans="2:22" ht="18" customHeight="1">
      <c r="B23" s="195" t="str">
        <f>HYPERLINK("#LAYOUT_e4!lay초YTIM1A02","YTIM1A02")</f>
        <v>YTIM1A02</v>
      </c>
      <c r="C23" s="195" t="str">
        <f>HYPERLINK("#LAYOUT_e4!lay초YTIM1A04","YTIM1A04")</f>
        <v>YTIM1A04</v>
      </c>
      <c r="E23" s="7"/>
      <c r="G23" s="371"/>
      <c r="H23" s="371"/>
      <c r="I23" s="371"/>
      <c r="J23" s="371"/>
      <c r="K23" s="371"/>
      <c r="L23" s="382"/>
      <c r="M23" s="379" t="s">
        <v>1584</v>
      </c>
      <c r="N23" s="386"/>
      <c r="O23" s="379" t="s">
        <v>1584</v>
      </c>
      <c r="P23" s="317"/>
      <c r="Q23" s="5"/>
      <c r="V23" s="7"/>
    </row>
    <row r="24" spans="2:22" ht="18" customHeight="1">
      <c r="B24" s="195" t="str">
        <f>HYPERLINK("#LAYOUT_e4!lay초YTIM1B01","YTIM1B01")</f>
        <v>YTIM1B01</v>
      </c>
      <c r="C24" s="195" t="str">
        <f>HYPERLINK("#LAYOUT_e4!lay초YTIM1B03","YTIM1B03")</f>
        <v>YTIM1B03</v>
      </c>
      <c r="E24" s="7"/>
      <c r="G24" s="370" t="s">
        <v>580</v>
      </c>
      <c r="H24" s="370"/>
      <c r="I24" s="370"/>
      <c r="J24" s="370"/>
      <c r="K24" s="370"/>
      <c r="L24" s="383"/>
      <c r="M24" s="375" t="s">
        <v>1583</v>
      </c>
      <c r="N24" s="376"/>
      <c r="O24" s="375" t="s">
        <v>1583</v>
      </c>
      <c r="P24" s="316"/>
      <c r="Q24" s="5"/>
      <c r="V24" s="7"/>
    </row>
    <row r="25" spans="2:22" ht="18" customHeight="1">
      <c r="B25" s="195" t="str">
        <f>HYPERLINK("#LAYOUT_e4!lay초YTIM1B02","YTIM1B02")</f>
        <v>YTIM1B02</v>
      </c>
      <c r="C25" s="195" t="str">
        <f>HYPERLINK("#LAYOUT_e4!lay초YTIM1B04","YTIM1B04")</f>
        <v>YTIM1B04</v>
      </c>
      <c r="E25" s="7"/>
      <c r="G25" s="371"/>
      <c r="H25" s="371"/>
      <c r="I25" s="371"/>
      <c r="J25" s="371"/>
      <c r="K25" s="371"/>
      <c r="L25" s="382"/>
      <c r="M25" s="379" t="s">
        <v>1584</v>
      </c>
      <c r="N25" s="386"/>
      <c r="O25" s="379" t="s">
        <v>1584</v>
      </c>
      <c r="P25" s="317"/>
      <c r="Q25" s="5"/>
      <c r="V25" s="7"/>
    </row>
    <row r="26" spans="2:22" ht="18" customHeight="1">
      <c r="B26" s="355" t="str">
        <f>HYPERLINK("#LAYOUT_e4!lay초YTIM1C01","YTIM1C01")</f>
        <v>YTIM1C01</v>
      </c>
      <c r="C26" s="355" t="str">
        <f>HYPERLINK("#LAYOUT_e4!lay초YTIM1C02","YTIM1C02")</f>
        <v>YTIM1C02</v>
      </c>
      <c r="E26" s="7"/>
      <c r="G26" s="370" t="s">
        <v>581</v>
      </c>
      <c r="H26" s="370"/>
      <c r="I26" s="370"/>
      <c r="J26" s="370"/>
      <c r="K26" s="370"/>
      <c r="L26" s="383"/>
      <c r="M26" s="392" t="s">
        <v>582</v>
      </c>
      <c r="N26" s="383"/>
      <c r="O26" s="370" t="s">
        <v>582</v>
      </c>
      <c r="P26" s="370"/>
      <c r="V26" s="7"/>
    </row>
    <row r="27" spans="2:22" ht="18" customHeight="1">
      <c r="B27" s="355"/>
      <c r="C27" s="355"/>
      <c r="E27" s="7"/>
      <c r="G27" s="370"/>
      <c r="H27" s="370"/>
      <c r="I27" s="370"/>
      <c r="J27" s="370"/>
      <c r="K27" s="370"/>
      <c r="L27" s="383"/>
      <c r="M27" s="392" t="s">
        <v>583</v>
      </c>
      <c r="N27" s="383"/>
      <c r="O27" s="370" t="s">
        <v>583</v>
      </c>
      <c r="P27" s="370"/>
      <c r="V27" s="7"/>
    </row>
    <row r="28" spans="2:22" ht="18" customHeight="1">
      <c r="B28" s="355"/>
      <c r="C28" s="355"/>
      <c r="E28" s="7"/>
      <c r="G28" s="370"/>
      <c r="H28" s="370"/>
      <c r="I28" s="370"/>
      <c r="J28" s="370"/>
      <c r="K28" s="370"/>
      <c r="L28" s="383"/>
      <c r="M28" s="392" t="s">
        <v>584</v>
      </c>
      <c r="N28" s="383"/>
      <c r="O28" s="370" t="s">
        <v>584</v>
      </c>
      <c r="P28" s="370"/>
      <c r="V28" s="7"/>
    </row>
    <row r="29" spans="2:22" ht="18" customHeight="1">
      <c r="B29" s="355"/>
      <c r="C29" s="355"/>
      <c r="E29" s="7"/>
      <c r="G29" s="371"/>
      <c r="H29" s="371"/>
      <c r="I29" s="371"/>
      <c r="J29" s="371"/>
      <c r="K29" s="371"/>
      <c r="L29" s="382"/>
      <c r="M29" s="393" t="s">
        <v>585</v>
      </c>
      <c r="N29" s="382"/>
      <c r="O29" s="371" t="s">
        <v>585</v>
      </c>
      <c r="P29" s="371"/>
      <c r="V29" s="7"/>
    </row>
    <row r="30" spans="2:22" ht="18" customHeight="1" thickBot="1">
      <c r="B30" s="195"/>
      <c r="C30" s="195"/>
      <c r="E30" s="7"/>
      <c r="V30" s="7"/>
    </row>
    <row r="31" spans="2:22" ht="31.5" thickTop="1" thickBot="1">
      <c r="B31" s="195"/>
      <c r="C31" s="195"/>
      <c r="E31" s="7"/>
      <c r="G31" s="390" t="s">
        <v>574</v>
      </c>
      <c r="H31" s="390"/>
      <c r="I31" s="390"/>
      <c r="J31" s="390"/>
      <c r="K31" s="390"/>
      <c r="L31" s="390"/>
      <c r="M31" s="391"/>
      <c r="N31" s="9" t="s">
        <v>62</v>
      </c>
      <c r="O31" s="9" t="s">
        <v>63</v>
      </c>
      <c r="P31" s="9" t="s">
        <v>586</v>
      </c>
      <c r="Q31" s="9" t="s">
        <v>587</v>
      </c>
      <c r="R31" s="9" t="s">
        <v>588</v>
      </c>
      <c r="S31" s="9" t="s">
        <v>589</v>
      </c>
      <c r="T31" s="10" t="s">
        <v>68</v>
      </c>
      <c r="U31" s="11"/>
      <c r="V31" s="7"/>
    </row>
    <row r="32" spans="2:22" ht="18" customHeight="1" thickTop="1">
      <c r="B32" s="355" t="str">
        <f>HYPERLINK("#LAYOUT_e4!lay초YTIM1D01","YTIM1D01")</f>
        <v>YTIM1D01</v>
      </c>
      <c r="C32" s="355"/>
      <c r="E32" s="7"/>
      <c r="G32" s="394" t="s">
        <v>590</v>
      </c>
      <c r="H32" s="394"/>
      <c r="I32" s="394"/>
      <c r="J32" s="394"/>
      <c r="K32" s="394"/>
      <c r="L32" s="395"/>
      <c r="M32" s="12" t="s">
        <v>61</v>
      </c>
      <c r="N32" s="12" t="s">
        <v>591</v>
      </c>
      <c r="O32" s="12" t="s">
        <v>592</v>
      </c>
      <c r="P32" s="12" t="s">
        <v>593</v>
      </c>
      <c r="Q32" s="12" t="s">
        <v>594</v>
      </c>
      <c r="R32" s="12" t="s">
        <v>595</v>
      </c>
      <c r="S32" s="12" t="s">
        <v>596</v>
      </c>
      <c r="T32" s="13" t="s">
        <v>597</v>
      </c>
      <c r="U32" s="11"/>
      <c r="V32" s="7"/>
    </row>
    <row r="33" spans="2:22" ht="18" customHeight="1">
      <c r="B33" s="355" t="str">
        <f>HYPERLINK("#LAYOUT_e4!lay초YTIM1D02","YTIM1D02")</f>
        <v>YTIM1D02</v>
      </c>
      <c r="C33" s="355"/>
      <c r="E33" s="7"/>
      <c r="G33" s="366"/>
      <c r="H33" s="366"/>
      <c r="I33" s="366"/>
      <c r="J33" s="366"/>
      <c r="K33" s="366"/>
      <c r="L33" s="367"/>
      <c r="M33" s="14" t="s">
        <v>69</v>
      </c>
      <c r="N33" s="14" t="s">
        <v>591</v>
      </c>
      <c r="O33" s="14" t="s">
        <v>592</v>
      </c>
      <c r="P33" s="14" t="s">
        <v>593</v>
      </c>
      <c r="Q33" s="14" t="s">
        <v>594</v>
      </c>
      <c r="R33" s="14" t="s">
        <v>595</v>
      </c>
      <c r="S33" s="14" t="s">
        <v>596</v>
      </c>
      <c r="T33" s="15" t="s">
        <v>597</v>
      </c>
      <c r="U33" s="11"/>
      <c r="V33" s="7"/>
    </row>
    <row r="34" spans="2:22" ht="18" customHeight="1">
      <c r="B34" s="355" t="str">
        <f>HYPERLINK("#LAYOUT_e4!lay초YTIM1E01","YTIM1E01")</f>
        <v>YTIM1E01</v>
      </c>
      <c r="C34" s="355"/>
      <c r="E34" s="7"/>
      <c r="G34" s="364" t="s">
        <v>598</v>
      </c>
      <c r="H34" s="364"/>
      <c r="I34" s="364"/>
      <c r="J34" s="364"/>
      <c r="K34" s="364"/>
      <c r="L34" s="365"/>
      <c r="M34" s="16" t="s">
        <v>61</v>
      </c>
      <c r="N34" s="16" t="s">
        <v>591</v>
      </c>
      <c r="O34" s="16" t="s">
        <v>592</v>
      </c>
      <c r="P34" s="16" t="s">
        <v>593</v>
      </c>
      <c r="Q34" s="16" t="s">
        <v>594</v>
      </c>
      <c r="R34" s="16" t="s">
        <v>595</v>
      </c>
      <c r="S34" s="16" t="s">
        <v>596</v>
      </c>
      <c r="T34" s="17" t="s">
        <v>597</v>
      </c>
      <c r="U34" s="11"/>
      <c r="V34" s="7"/>
    </row>
    <row r="35" spans="2:22" ht="18" customHeight="1">
      <c r="B35" s="355" t="str">
        <f>HYPERLINK("#LAYOUT_e4!lay초YTIM1E02","YTIM1E02")</f>
        <v>YTIM1E02</v>
      </c>
      <c r="C35" s="355"/>
      <c r="E35" s="7"/>
      <c r="G35" s="366"/>
      <c r="H35" s="366"/>
      <c r="I35" s="366"/>
      <c r="J35" s="366"/>
      <c r="K35" s="366"/>
      <c r="L35" s="367"/>
      <c r="M35" s="14" t="s">
        <v>69</v>
      </c>
      <c r="N35" s="14" t="s">
        <v>591</v>
      </c>
      <c r="O35" s="14" t="s">
        <v>592</v>
      </c>
      <c r="P35" s="14" t="s">
        <v>593</v>
      </c>
      <c r="Q35" s="14" t="s">
        <v>594</v>
      </c>
      <c r="R35" s="14" t="s">
        <v>595</v>
      </c>
      <c r="S35" s="14" t="s">
        <v>596</v>
      </c>
      <c r="T35" s="15" t="s">
        <v>597</v>
      </c>
      <c r="U35" s="11"/>
      <c r="V35" s="7"/>
    </row>
    <row r="36" spans="2:22" ht="18" customHeight="1">
      <c r="B36" s="355" t="str">
        <f>HYPERLINK("#LAYOUT_e4!lay초YTIM1F01","YTIM1F01")</f>
        <v>YTIM1F01</v>
      </c>
      <c r="C36" s="355"/>
      <c r="E36" s="7"/>
      <c r="G36" s="364" t="s">
        <v>599</v>
      </c>
      <c r="H36" s="364"/>
      <c r="I36" s="364"/>
      <c r="J36" s="364"/>
      <c r="K36" s="364"/>
      <c r="L36" s="365"/>
      <c r="M36" s="16" t="s">
        <v>61</v>
      </c>
      <c r="N36" s="16" t="s">
        <v>591</v>
      </c>
      <c r="O36" s="16" t="s">
        <v>592</v>
      </c>
      <c r="P36" s="16" t="s">
        <v>593</v>
      </c>
      <c r="Q36" s="16" t="s">
        <v>594</v>
      </c>
      <c r="R36" s="16" t="s">
        <v>595</v>
      </c>
      <c r="S36" s="16" t="s">
        <v>596</v>
      </c>
      <c r="T36" s="17" t="s">
        <v>597</v>
      </c>
      <c r="U36" s="11"/>
      <c r="V36" s="7"/>
    </row>
    <row r="37" spans="2:22" ht="18" customHeight="1">
      <c r="B37" s="355" t="str">
        <f>HYPERLINK("#LAYOUT_e4!lay초YTIM1F02","YTIM1F02")</f>
        <v>YTIM1F02</v>
      </c>
      <c r="C37" s="355"/>
      <c r="E37" s="7"/>
      <c r="G37" s="366"/>
      <c r="H37" s="366"/>
      <c r="I37" s="366"/>
      <c r="J37" s="366"/>
      <c r="K37" s="366"/>
      <c r="L37" s="367"/>
      <c r="M37" s="14" t="s">
        <v>69</v>
      </c>
      <c r="N37" s="14" t="s">
        <v>591</v>
      </c>
      <c r="O37" s="14" t="s">
        <v>592</v>
      </c>
      <c r="P37" s="14" t="s">
        <v>593</v>
      </c>
      <c r="Q37" s="14" t="s">
        <v>594</v>
      </c>
      <c r="R37" s="14" t="s">
        <v>595</v>
      </c>
      <c r="S37" s="14" t="s">
        <v>596</v>
      </c>
      <c r="T37" s="15" t="s">
        <v>597</v>
      </c>
      <c r="U37" s="11"/>
      <c r="V37" s="7"/>
    </row>
    <row r="38" spans="2:22" ht="18" customHeight="1">
      <c r="B38" s="355" t="str">
        <f>HYPERLINK("#LAYOUT_e4!lay초YTIM1G01","YTIM1G01")</f>
        <v>YTIM1G01</v>
      </c>
      <c r="C38" s="355"/>
      <c r="E38" s="7"/>
      <c r="G38" s="364" t="s">
        <v>600</v>
      </c>
      <c r="H38" s="364"/>
      <c r="I38" s="364"/>
      <c r="J38" s="364"/>
      <c r="K38" s="364"/>
      <c r="L38" s="365"/>
      <c r="M38" s="16" t="s">
        <v>61</v>
      </c>
      <c r="N38" s="16" t="s">
        <v>591</v>
      </c>
      <c r="O38" s="16" t="s">
        <v>592</v>
      </c>
      <c r="P38" s="16" t="s">
        <v>593</v>
      </c>
      <c r="Q38" s="16" t="s">
        <v>594</v>
      </c>
      <c r="R38" s="16" t="s">
        <v>595</v>
      </c>
      <c r="S38" s="16" t="s">
        <v>596</v>
      </c>
      <c r="T38" s="17" t="s">
        <v>597</v>
      </c>
      <c r="U38" s="11"/>
      <c r="V38" s="7"/>
    </row>
    <row r="39" spans="2:22" ht="18" customHeight="1">
      <c r="B39" s="355" t="str">
        <f>HYPERLINK("#LAYOUT_e4!lay초YTIM1G02","YTIM1G02")</f>
        <v>YTIM1G02</v>
      </c>
      <c r="C39" s="355"/>
      <c r="E39" s="7"/>
      <c r="G39" s="366"/>
      <c r="H39" s="366"/>
      <c r="I39" s="366"/>
      <c r="J39" s="366"/>
      <c r="K39" s="366"/>
      <c r="L39" s="367"/>
      <c r="M39" s="14" t="s">
        <v>69</v>
      </c>
      <c r="N39" s="14" t="s">
        <v>591</v>
      </c>
      <c r="O39" s="14" t="s">
        <v>592</v>
      </c>
      <c r="P39" s="14" t="s">
        <v>593</v>
      </c>
      <c r="Q39" s="14" t="s">
        <v>594</v>
      </c>
      <c r="R39" s="14" t="s">
        <v>595</v>
      </c>
      <c r="S39" s="14" t="s">
        <v>596</v>
      </c>
      <c r="T39" s="15" t="s">
        <v>597</v>
      </c>
      <c r="U39" s="11"/>
      <c r="V39" s="7"/>
    </row>
    <row r="40" spans="2:22" ht="18" customHeight="1">
      <c r="B40" s="355" t="str">
        <f>HYPERLINK("#LAYOUT_e4!lay초YTIM1H01","YTIM1H01")</f>
        <v>YTIM1H01</v>
      </c>
      <c r="C40" s="355"/>
      <c r="E40" s="7"/>
      <c r="G40" s="364" t="s">
        <v>601</v>
      </c>
      <c r="H40" s="364"/>
      <c r="I40" s="364"/>
      <c r="J40" s="364"/>
      <c r="K40" s="364"/>
      <c r="L40" s="365"/>
      <c r="M40" s="16" t="s">
        <v>61</v>
      </c>
      <c r="N40" s="16" t="s">
        <v>591</v>
      </c>
      <c r="O40" s="16" t="s">
        <v>592</v>
      </c>
      <c r="P40" s="16" t="s">
        <v>593</v>
      </c>
      <c r="Q40" s="16" t="s">
        <v>594</v>
      </c>
      <c r="R40" s="16" t="s">
        <v>595</v>
      </c>
      <c r="S40" s="16" t="s">
        <v>596</v>
      </c>
      <c r="T40" s="17" t="s">
        <v>597</v>
      </c>
      <c r="U40" s="11"/>
      <c r="V40" s="7"/>
    </row>
    <row r="41" spans="2:22" ht="18" customHeight="1">
      <c r="B41" s="355" t="str">
        <f>HYPERLINK("#LAYOUT_e4!lay초YTIM1H02","YTIM1H02")</f>
        <v>YTIM1H02</v>
      </c>
      <c r="C41" s="355"/>
      <c r="E41" s="7"/>
      <c r="G41" s="366"/>
      <c r="H41" s="366"/>
      <c r="I41" s="366"/>
      <c r="J41" s="366"/>
      <c r="K41" s="366"/>
      <c r="L41" s="367"/>
      <c r="M41" s="14" t="s">
        <v>69</v>
      </c>
      <c r="N41" s="14" t="s">
        <v>591</v>
      </c>
      <c r="O41" s="14" t="s">
        <v>592</v>
      </c>
      <c r="P41" s="14" t="s">
        <v>593</v>
      </c>
      <c r="Q41" s="14" t="s">
        <v>594</v>
      </c>
      <c r="R41" s="14" t="s">
        <v>595</v>
      </c>
      <c r="S41" s="14" t="s">
        <v>596</v>
      </c>
      <c r="T41" s="15" t="s">
        <v>597</v>
      </c>
      <c r="U41" s="11"/>
      <c r="V41" s="7"/>
    </row>
    <row r="42" spans="2:22" ht="18" customHeight="1">
      <c r="B42" s="355" t="str">
        <f>HYPERLINK("#LAYOUT_e4!lay초YTIM1I01","YTIM1I01")</f>
        <v>YTIM1I01</v>
      </c>
      <c r="C42" s="355"/>
      <c r="E42" s="7"/>
      <c r="G42" s="364" t="s">
        <v>602</v>
      </c>
      <c r="H42" s="364"/>
      <c r="I42" s="364"/>
      <c r="J42" s="364"/>
      <c r="K42" s="364"/>
      <c r="L42" s="365"/>
      <c r="M42" s="16" t="s">
        <v>61</v>
      </c>
      <c r="N42" s="16" t="s">
        <v>591</v>
      </c>
      <c r="O42" s="16" t="s">
        <v>592</v>
      </c>
      <c r="P42" s="16" t="s">
        <v>593</v>
      </c>
      <c r="Q42" s="16" t="s">
        <v>594</v>
      </c>
      <c r="R42" s="16" t="s">
        <v>595</v>
      </c>
      <c r="S42" s="16" t="s">
        <v>596</v>
      </c>
      <c r="T42" s="17" t="s">
        <v>597</v>
      </c>
      <c r="U42" s="11"/>
      <c r="V42" s="7"/>
    </row>
    <row r="43" spans="2:22" ht="18" customHeight="1">
      <c r="B43" s="355" t="str">
        <f>HYPERLINK("#LAYOUT_e4!lay초YTIM1I02","YTIM1I02")</f>
        <v>YTIM1I02</v>
      </c>
      <c r="C43" s="355"/>
      <c r="E43" s="7"/>
      <c r="G43" s="366"/>
      <c r="H43" s="366"/>
      <c r="I43" s="366"/>
      <c r="J43" s="366"/>
      <c r="K43" s="366"/>
      <c r="L43" s="367"/>
      <c r="M43" s="14" t="s">
        <v>69</v>
      </c>
      <c r="N43" s="14" t="s">
        <v>591</v>
      </c>
      <c r="O43" s="14" t="s">
        <v>592</v>
      </c>
      <c r="P43" s="14" t="s">
        <v>593</v>
      </c>
      <c r="Q43" s="14" t="s">
        <v>594</v>
      </c>
      <c r="R43" s="14" t="s">
        <v>595</v>
      </c>
      <c r="S43" s="14" t="s">
        <v>596</v>
      </c>
      <c r="T43" s="15" t="s">
        <v>597</v>
      </c>
      <c r="U43" s="11"/>
      <c r="V43" s="7"/>
    </row>
    <row r="44" spans="2:22" ht="18" customHeight="1">
      <c r="B44" s="355" t="str">
        <f>HYPERLINK("#LAYOUT_e4!lay초YTIM1J01","YTIM1J01")</f>
        <v>YTIM1J01</v>
      </c>
      <c r="C44" s="355"/>
      <c r="E44" s="7"/>
      <c r="G44" s="364" t="s">
        <v>603</v>
      </c>
      <c r="H44" s="364"/>
      <c r="I44" s="364"/>
      <c r="J44" s="364"/>
      <c r="K44" s="364"/>
      <c r="L44" s="365"/>
      <c r="M44" s="16" t="s">
        <v>61</v>
      </c>
      <c r="N44" s="16" t="s">
        <v>591</v>
      </c>
      <c r="O44" s="16" t="s">
        <v>592</v>
      </c>
      <c r="P44" s="16" t="s">
        <v>593</v>
      </c>
      <c r="Q44" s="16" t="s">
        <v>594</v>
      </c>
      <c r="R44" s="16" t="s">
        <v>595</v>
      </c>
      <c r="S44" s="16" t="s">
        <v>596</v>
      </c>
      <c r="T44" s="17" t="s">
        <v>597</v>
      </c>
      <c r="U44" s="11"/>
      <c r="V44" s="7"/>
    </row>
    <row r="45" spans="2:22" ht="18" customHeight="1">
      <c r="B45" s="355" t="str">
        <f>HYPERLINK("#LAYOUT_e4!lay초YTIM1J02","YTIM1J02")</f>
        <v>YTIM1J02</v>
      </c>
      <c r="C45" s="355"/>
      <c r="E45" s="7"/>
      <c r="G45" s="366"/>
      <c r="H45" s="366"/>
      <c r="I45" s="366"/>
      <c r="J45" s="366"/>
      <c r="K45" s="366"/>
      <c r="L45" s="367"/>
      <c r="M45" s="14" t="s">
        <v>69</v>
      </c>
      <c r="N45" s="14" t="s">
        <v>591</v>
      </c>
      <c r="O45" s="14" t="s">
        <v>592</v>
      </c>
      <c r="P45" s="14" t="s">
        <v>593</v>
      </c>
      <c r="Q45" s="14" t="s">
        <v>594</v>
      </c>
      <c r="R45" s="14" t="s">
        <v>595</v>
      </c>
      <c r="S45" s="14" t="s">
        <v>596</v>
      </c>
      <c r="T45" s="15" t="s">
        <v>597</v>
      </c>
      <c r="U45" s="11"/>
      <c r="V45" s="7"/>
    </row>
    <row r="46" spans="2:22" ht="18" customHeight="1">
      <c r="B46" s="355" t="str">
        <f>HYPERLINK("#LAYOUT_e4!lay초YTIM1K01","YTIM1K01")</f>
        <v>YTIM1K01</v>
      </c>
      <c r="C46" s="355"/>
      <c r="E46" s="7"/>
      <c r="G46" s="364" t="s">
        <v>604</v>
      </c>
      <c r="H46" s="364"/>
      <c r="I46" s="364"/>
      <c r="J46" s="364"/>
      <c r="K46" s="364"/>
      <c r="L46" s="365"/>
      <c r="M46" s="16" t="s">
        <v>61</v>
      </c>
      <c r="N46" s="16" t="s">
        <v>591</v>
      </c>
      <c r="O46" s="16" t="s">
        <v>592</v>
      </c>
      <c r="P46" s="16" t="s">
        <v>593</v>
      </c>
      <c r="Q46" s="16" t="s">
        <v>594</v>
      </c>
      <c r="R46" s="16" t="s">
        <v>595</v>
      </c>
      <c r="S46" s="16" t="s">
        <v>596</v>
      </c>
      <c r="T46" s="17" t="s">
        <v>597</v>
      </c>
      <c r="U46" s="11"/>
      <c r="V46" s="7"/>
    </row>
    <row r="47" spans="2:22" ht="18" customHeight="1">
      <c r="B47" s="355" t="str">
        <f>HYPERLINK("#LAYOUT_e4!lay초YTIM1K02","YTIM1K02")</f>
        <v>YTIM1K02</v>
      </c>
      <c r="C47" s="355"/>
      <c r="E47" s="7"/>
      <c r="G47" s="366"/>
      <c r="H47" s="366"/>
      <c r="I47" s="366"/>
      <c r="J47" s="366"/>
      <c r="K47" s="366"/>
      <c r="L47" s="367"/>
      <c r="M47" s="14" t="s">
        <v>69</v>
      </c>
      <c r="N47" s="14" t="s">
        <v>591</v>
      </c>
      <c r="O47" s="14" t="s">
        <v>592</v>
      </c>
      <c r="P47" s="14" t="s">
        <v>593</v>
      </c>
      <c r="Q47" s="14" t="s">
        <v>594</v>
      </c>
      <c r="R47" s="14" t="s">
        <v>595</v>
      </c>
      <c r="S47" s="14" t="s">
        <v>596</v>
      </c>
      <c r="T47" s="15" t="s">
        <v>597</v>
      </c>
      <c r="U47" s="11"/>
      <c r="V47" s="7"/>
    </row>
    <row r="48" spans="2:22" ht="18" customHeight="1">
      <c r="B48" s="355" t="str">
        <f>HYPERLINK("#LAYOUT_e4!lay초YTIM1L01","YTIM1L01")</f>
        <v>YTIM1L01</v>
      </c>
      <c r="C48" s="355"/>
      <c r="E48" s="7"/>
      <c r="G48" s="364" t="s">
        <v>605</v>
      </c>
      <c r="H48" s="364"/>
      <c r="I48" s="364"/>
      <c r="J48" s="364"/>
      <c r="K48" s="364"/>
      <c r="L48" s="365"/>
      <c r="M48" s="16" t="s">
        <v>61</v>
      </c>
      <c r="N48" s="16" t="s">
        <v>591</v>
      </c>
      <c r="O48" s="16" t="s">
        <v>592</v>
      </c>
      <c r="P48" s="16" t="s">
        <v>593</v>
      </c>
      <c r="Q48" s="16" t="s">
        <v>594</v>
      </c>
      <c r="R48" s="16" t="s">
        <v>595</v>
      </c>
      <c r="S48" s="16" t="s">
        <v>596</v>
      </c>
      <c r="T48" s="17" t="s">
        <v>597</v>
      </c>
      <c r="U48" s="11"/>
      <c r="V48" s="7"/>
    </row>
    <row r="49" spans="2:22" ht="18" customHeight="1">
      <c r="B49" s="355" t="str">
        <f>HYPERLINK("#LAYOUT_e4!lay초YTIM1L02","YTIM1L02")</f>
        <v>YTIM1L02</v>
      </c>
      <c r="C49" s="355"/>
      <c r="E49" s="7"/>
      <c r="G49" s="366"/>
      <c r="H49" s="366"/>
      <c r="I49" s="366"/>
      <c r="J49" s="366"/>
      <c r="K49" s="366"/>
      <c r="L49" s="367"/>
      <c r="M49" s="14" t="s">
        <v>69</v>
      </c>
      <c r="N49" s="14" t="s">
        <v>591</v>
      </c>
      <c r="O49" s="14" t="s">
        <v>592</v>
      </c>
      <c r="P49" s="14" t="s">
        <v>593</v>
      </c>
      <c r="Q49" s="14" t="s">
        <v>594</v>
      </c>
      <c r="R49" s="14" t="s">
        <v>595</v>
      </c>
      <c r="S49" s="14" t="s">
        <v>596</v>
      </c>
      <c r="T49" s="15" t="s">
        <v>597</v>
      </c>
      <c r="U49" s="11"/>
      <c r="V49" s="7"/>
    </row>
    <row r="50" spans="2:22" ht="18" customHeight="1">
      <c r="B50" s="355" t="str">
        <f>HYPERLINK("#LAYOUT_e4!lay초YTIM1M01","YTIM1M01")</f>
        <v>YTIM1M01</v>
      </c>
      <c r="C50" s="355"/>
      <c r="E50" s="7"/>
      <c r="G50" s="364" t="s">
        <v>606</v>
      </c>
      <c r="H50" s="364"/>
      <c r="I50" s="364"/>
      <c r="J50" s="364"/>
      <c r="K50" s="364"/>
      <c r="L50" s="365"/>
      <c r="M50" s="16" t="s">
        <v>61</v>
      </c>
      <c r="N50" s="16" t="s">
        <v>591</v>
      </c>
      <c r="O50" s="16" t="s">
        <v>592</v>
      </c>
      <c r="P50" s="16" t="s">
        <v>593</v>
      </c>
      <c r="Q50" s="16" t="s">
        <v>594</v>
      </c>
      <c r="R50" s="16" t="s">
        <v>595</v>
      </c>
      <c r="S50" s="16" t="s">
        <v>596</v>
      </c>
      <c r="T50" s="17" t="s">
        <v>597</v>
      </c>
      <c r="U50" s="11"/>
      <c r="V50" s="7"/>
    </row>
    <row r="51" spans="2:22" ht="18" customHeight="1">
      <c r="B51" s="355" t="str">
        <f>HYPERLINK("#LAYOUT_e4!lay초YTIM1M02","YTIM1M02")</f>
        <v>YTIM1M02</v>
      </c>
      <c r="C51" s="355"/>
      <c r="E51" s="7"/>
      <c r="G51" s="366"/>
      <c r="H51" s="366"/>
      <c r="I51" s="366"/>
      <c r="J51" s="366"/>
      <c r="K51" s="366"/>
      <c r="L51" s="367"/>
      <c r="M51" s="14" t="s">
        <v>69</v>
      </c>
      <c r="N51" s="14" t="s">
        <v>591</v>
      </c>
      <c r="O51" s="14" t="s">
        <v>592</v>
      </c>
      <c r="P51" s="14" t="s">
        <v>593</v>
      </c>
      <c r="Q51" s="14" t="s">
        <v>594</v>
      </c>
      <c r="R51" s="14" t="s">
        <v>595</v>
      </c>
      <c r="S51" s="14" t="s">
        <v>596</v>
      </c>
      <c r="T51" s="15" t="s">
        <v>597</v>
      </c>
      <c r="U51" s="11"/>
      <c r="V51" s="7"/>
    </row>
    <row r="52" spans="2:22" ht="18" customHeight="1">
      <c r="B52" s="355" t="str">
        <f>HYPERLINK("#LAYOUT_e4!lay초YTIM1N01","YTIM1N01")</f>
        <v>YTIM1N01</v>
      </c>
      <c r="C52" s="355"/>
      <c r="E52" s="7"/>
      <c r="G52" s="364" t="s">
        <v>607</v>
      </c>
      <c r="H52" s="364"/>
      <c r="I52" s="364"/>
      <c r="J52" s="364"/>
      <c r="K52" s="364"/>
      <c r="L52" s="365"/>
      <c r="M52" s="16" t="s">
        <v>61</v>
      </c>
      <c r="N52" s="16" t="s">
        <v>591</v>
      </c>
      <c r="O52" s="16" t="s">
        <v>592</v>
      </c>
      <c r="P52" s="16" t="s">
        <v>593</v>
      </c>
      <c r="Q52" s="16" t="s">
        <v>594</v>
      </c>
      <c r="R52" s="16" t="s">
        <v>595</v>
      </c>
      <c r="S52" s="16" t="s">
        <v>596</v>
      </c>
      <c r="T52" s="17" t="s">
        <v>597</v>
      </c>
      <c r="U52" s="11"/>
      <c r="V52" s="7"/>
    </row>
    <row r="53" spans="2:22" ht="18" customHeight="1">
      <c r="B53" s="355" t="str">
        <f>HYPERLINK("#LAYOUT_e4!lay초YTIM1N02","YTIM1N02")</f>
        <v>YTIM1N02</v>
      </c>
      <c r="C53" s="355"/>
      <c r="E53" s="7"/>
      <c r="G53" s="366"/>
      <c r="H53" s="366"/>
      <c r="I53" s="366"/>
      <c r="J53" s="366"/>
      <c r="K53" s="366"/>
      <c r="L53" s="367"/>
      <c r="M53" s="14" t="s">
        <v>69</v>
      </c>
      <c r="N53" s="14" t="s">
        <v>591</v>
      </c>
      <c r="O53" s="14" t="s">
        <v>592</v>
      </c>
      <c r="P53" s="14" t="s">
        <v>593</v>
      </c>
      <c r="Q53" s="14" t="s">
        <v>594</v>
      </c>
      <c r="R53" s="14" t="s">
        <v>595</v>
      </c>
      <c r="S53" s="14" t="s">
        <v>596</v>
      </c>
      <c r="T53" s="15" t="s">
        <v>597</v>
      </c>
      <c r="U53" s="11"/>
      <c r="V53" s="7"/>
    </row>
    <row r="54" spans="2:22" ht="18" customHeight="1">
      <c r="B54" s="195"/>
      <c r="C54" s="195"/>
      <c r="E54" s="7"/>
      <c r="V54" s="7"/>
    </row>
    <row r="55" spans="2:22" ht="18" customHeight="1">
      <c r="B55" s="195"/>
      <c r="C55" s="195"/>
      <c r="E55" s="7"/>
      <c r="V55" s="7"/>
    </row>
    <row r="56" spans="2:22" ht="18" customHeight="1">
      <c r="B56" s="355" t="str">
        <f>HYPERLINK("#LAYOUT_e4!lay초YMDA1A00","YMDA1A00")</f>
        <v>YMDA1A00</v>
      </c>
      <c r="C56" s="355"/>
      <c r="E56" s="7"/>
      <c r="F56" s="6" t="s">
        <v>608</v>
      </c>
      <c r="V56" s="7"/>
    </row>
    <row r="57" spans="2:22" ht="18" customHeight="1">
      <c r="B57" s="195"/>
      <c r="C57" s="195"/>
      <c r="E57" s="7"/>
      <c r="G57" s="6" t="s">
        <v>1585</v>
      </c>
      <c r="V57" s="7"/>
    </row>
    <row r="58" spans="2:22" ht="18" customHeight="1">
      <c r="B58" s="195"/>
      <c r="C58" s="195"/>
      <c r="E58" s="7"/>
      <c r="G58" s="6" t="s">
        <v>1586</v>
      </c>
      <c r="V58" s="7"/>
    </row>
    <row r="59" spans="2:22" ht="18" customHeight="1">
      <c r="B59" s="195"/>
      <c r="C59" s="195"/>
      <c r="E59" s="7"/>
      <c r="G59" s="6" t="s">
        <v>1587</v>
      </c>
      <c r="V59" s="7"/>
    </row>
    <row r="60" spans="2:22" ht="18" customHeight="1">
      <c r="B60" s="195"/>
      <c r="C60" s="195"/>
      <c r="E60" s="7"/>
      <c r="V60" s="7"/>
    </row>
    <row r="61" spans="2:22" ht="18" customHeight="1">
      <c r="B61" s="195"/>
      <c r="C61" s="195"/>
      <c r="E61" s="7"/>
      <c r="V61" s="7"/>
    </row>
    <row r="62" spans="2:22" ht="18" customHeight="1" thickBot="1">
      <c r="B62" s="195"/>
      <c r="C62" s="195"/>
      <c r="E62" s="7"/>
      <c r="F62" s="6" t="s">
        <v>1588</v>
      </c>
      <c r="V62" s="7"/>
    </row>
    <row r="63" spans="2:22" ht="31.5" thickTop="1" thickBot="1">
      <c r="B63" s="195"/>
      <c r="C63" s="195"/>
      <c r="E63" s="7"/>
      <c r="F63" s="18"/>
      <c r="G63" s="368" t="s">
        <v>574</v>
      </c>
      <c r="H63" s="368"/>
      <c r="I63" s="368"/>
      <c r="J63" s="368"/>
      <c r="K63" s="368"/>
      <c r="L63" s="369"/>
      <c r="M63" s="9" t="s">
        <v>86</v>
      </c>
      <c r="N63" s="9" t="s">
        <v>87</v>
      </c>
      <c r="O63" s="9" t="s">
        <v>88</v>
      </c>
      <c r="P63" s="9" t="s">
        <v>89</v>
      </c>
      <c r="Q63" s="19" t="s">
        <v>90</v>
      </c>
      <c r="V63" s="7"/>
    </row>
    <row r="64" spans="2:22" ht="18" customHeight="1" thickTop="1">
      <c r="B64" s="355" t="str">
        <f>HYPERLINK("#LAYOUT_e4!lay초YMDA1B01","YMDA1B01")</f>
        <v>YMDA1B01</v>
      </c>
      <c r="C64" s="355"/>
      <c r="E64" s="7"/>
      <c r="G64" s="372" t="s">
        <v>609</v>
      </c>
      <c r="H64" s="372"/>
      <c r="I64" s="372"/>
      <c r="J64" s="372"/>
      <c r="K64" s="372"/>
      <c r="L64" s="373"/>
      <c r="M64" s="20" t="s">
        <v>591</v>
      </c>
      <c r="N64" s="20" t="s">
        <v>592</v>
      </c>
      <c r="O64" s="20" t="s">
        <v>593</v>
      </c>
      <c r="P64" s="20" t="s">
        <v>594</v>
      </c>
      <c r="Q64" s="21"/>
      <c r="V64" s="7"/>
    </row>
    <row r="65" spans="2:22" ht="18" customHeight="1">
      <c r="B65" s="355" t="str">
        <f>HYPERLINK("#LAYOUT_e4!lay초YMDA1B02","YMDA1B02")</f>
        <v>YMDA1B02</v>
      </c>
      <c r="C65" s="355"/>
      <c r="E65" s="7"/>
      <c r="G65" s="362" t="s">
        <v>610</v>
      </c>
      <c r="H65" s="362"/>
      <c r="I65" s="362"/>
      <c r="J65" s="362"/>
      <c r="K65" s="362"/>
      <c r="L65" s="363"/>
      <c r="M65" s="22" t="s">
        <v>591</v>
      </c>
      <c r="N65" s="22" t="s">
        <v>592</v>
      </c>
      <c r="O65" s="22" t="s">
        <v>593</v>
      </c>
      <c r="P65" s="22" t="s">
        <v>594</v>
      </c>
      <c r="Q65" s="23"/>
      <c r="V65" s="7"/>
    </row>
    <row r="66" spans="2:22" ht="18" customHeight="1">
      <c r="B66" s="355" t="str">
        <f>HYPERLINK("#LAYOUT_e4!lay초YMDA1B03","YMDA1B03")</f>
        <v>YMDA1B03</v>
      </c>
      <c r="C66" s="355"/>
      <c r="E66" s="7"/>
      <c r="G66" s="362" t="s">
        <v>611</v>
      </c>
      <c r="H66" s="362"/>
      <c r="I66" s="362"/>
      <c r="J66" s="362"/>
      <c r="K66" s="362"/>
      <c r="L66" s="363"/>
      <c r="M66" s="22" t="s">
        <v>591</v>
      </c>
      <c r="N66" s="22" t="s">
        <v>592</v>
      </c>
      <c r="O66" s="22" t="s">
        <v>593</v>
      </c>
      <c r="P66" s="22" t="s">
        <v>594</v>
      </c>
      <c r="Q66" s="23"/>
      <c r="V66" s="7"/>
    </row>
    <row r="67" spans="2:22" ht="18" customHeight="1">
      <c r="B67" s="355" t="str">
        <f>HYPERLINK("#LAYOUT_e4!lay초YMDA1B04","YMDA1B04")</f>
        <v>YMDA1B04</v>
      </c>
      <c r="C67" s="355"/>
      <c r="E67" s="7"/>
      <c r="G67" s="362" t="s">
        <v>612</v>
      </c>
      <c r="H67" s="362"/>
      <c r="I67" s="362"/>
      <c r="J67" s="362"/>
      <c r="K67" s="362"/>
      <c r="L67" s="363"/>
      <c r="M67" s="22" t="s">
        <v>591</v>
      </c>
      <c r="N67" s="22" t="s">
        <v>592</v>
      </c>
      <c r="O67" s="22" t="s">
        <v>593</v>
      </c>
      <c r="P67" s="22" t="s">
        <v>594</v>
      </c>
      <c r="Q67" s="23"/>
      <c r="V67" s="7"/>
    </row>
    <row r="68" spans="2:22" ht="18" customHeight="1">
      <c r="B68" s="355" t="str">
        <f>HYPERLINK("#LAYOUT_e4!lay초YMDA1B05","YMDA1B05")</f>
        <v>YMDA1B05</v>
      </c>
      <c r="C68" s="355"/>
      <c r="E68" s="7"/>
      <c r="G68" s="362" t="s">
        <v>613</v>
      </c>
      <c r="H68" s="362"/>
      <c r="I68" s="362"/>
      <c r="J68" s="362"/>
      <c r="K68" s="362"/>
      <c r="L68" s="363"/>
      <c r="M68" s="22" t="s">
        <v>591</v>
      </c>
      <c r="N68" s="22" t="s">
        <v>592</v>
      </c>
      <c r="O68" s="22" t="s">
        <v>593</v>
      </c>
      <c r="P68" s="22" t="s">
        <v>594</v>
      </c>
      <c r="Q68" s="23"/>
      <c r="V68" s="7"/>
    </row>
    <row r="69" spans="2:22" ht="18" customHeight="1">
      <c r="B69" s="355" t="str">
        <f>HYPERLINK("#LAYOUT_e4!lay초YMDA1B06","YMDA1B06")</f>
        <v>YMDA1B06</v>
      </c>
      <c r="C69" s="355"/>
      <c r="E69" s="7"/>
      <c r="G69" s="362" t="s">
        <v>614</v>
      </c>
      <c r="H69" s="362"/>
      <c r="I69" s="362"/>
      <c r="J69" s="362"/>
      <c r="K69" s="362"/>
      <c r="L69" s="363"/>
      <c r="M69" s="22" t="s">
        <v>591</v>
      </c>
      <c r="N69" s="22" t="s">
        <v>592</v>
      </c>
      <c r="O69" s="22" t="s">
        <v>593</v>
      </c>
      <c r="P69" s="22" t="s">
        <v>594</v>
      </c>
      <c r="Q69" s="23"/>
      <c r="V69" s="7"/>
    </row>
    <row r="70" spans="2:22" ht="18" customHeight="1">
      <c r="B70" s="355" t="str">
        <f>HYPERLINK("#LAYOUT_e4!lay초YMDA1B07","YMDA1B07")</f>
        <v>YMDA1B07</v>
      </c>
      <c r="C70" s="355"/>
      <c r="E70" s="7"/>
      <c r="G70" s="362" t="s">
        <v>615</v>
      </c>
      <c r="H70" s="362"/>
      <c r="I70" s="362"/>
      <c r="J70" s="362"/>
      <c r="K70" s="362"/>
      <c r="L70" s="363"/>
      <c r="M70" s="22" t="s">
        <v>591</v>
      </c>
      <c r="N70" s="22" t="s">
        <v>592</v>
      </c>
      <c r="O70" s="22" t="s">
        <v>593</v>
      </c>
      <c r="P70" s="22" t="s">
        <v>594</v>
      </c>
      <c r="Q70" s="23"/>
      <c r="V70" s="7"/>
    </row>
    <row r="71" spans="2:22" ht="18" customHeight="1">
      <c r="B71" s="355" t="str">
        <f>HYPERLINK("#LAYOUT_e4!lay초YMDA1B08","YMDA1B08")</f>
        <v>YMDA1B08</v>
      </c>
      <c r="C71" s="355"/>
      <c r="E71" s="7"/>
      <c r="G71" s="362" t="s">
        <v>616</v>
      </c>
      <c r="H71" s="362"/>
      <c r="I71" s="362"/>
      <c r="J71" s="362"/>
      <c r="K71" s="362"/>
      <c r="L71" s="363"/>
      <c r="M71" s="22" t="s">
        <v>591</v>
      </c>
      <c r="N71" s="22" t="s">
        <v>592</v>
      </c>
      <c r="O71" s="22" t="s">
        <v>593</v>
      </c>
      <c r="P71" s="22" t="s">
        <v>594</v>
      </c>
      <c r="Q71" s="23"/>
      <c r="V71" s="7"/>
    </row>
    <row r="72" spans="2:22" ht="18" customHeight="1">
      <c r="B72" s="355" t="str">
        <f>HYPERLINK("#LAYOUT_e4!lay초YMDA1B09","YMDA1B09")</f>
        <v>YMDA1B09</v>
      </c>
      <c r="C72" s="355"/>
      <c r="E72" s="7"/>
      <c r="G72" s="362" t="s">
        <v>617</v>
      </c>
      <c r="H72" s="362"/>
      <c r="I72" s="362"/>
      <c r="J72" s="362"/>
      <c r="K72" s="362"/>
      <c r="L72" s="363"/>
      <c r="M72" s="22" t="s">
        <v>591</v>
      </c>
      <c r="N72" s="22" t="s">
        <v>592</v>
      </c>
      <c r="O72" s="22" t="s">
        <v>593</v>
      </c>
      <c r="P72" s="22" t="s">
        <v>594</v>
      </c>
      <c r="Q72" s="23"/>
      <c r="V72" s="7"/>
    </row>
    <row r="73" spans="2:22" ht="18" customHeight="1">
      <c r="B73" s="355" t="str">
        <f>HYPERLINK("#LAYOUT_e4!lay초YMDA1B10","YMDA1B10")</f>
        <v>YMDA1B10</v>
      </c>
      <c r="C73" s="355"/>
      <c r="E73" s="7"/>
      <c r="G73" s="362" t="s">
        <v>618</v>
      </c>
      <c r="H73" s="362"/>
      <c r="I73" s="362"/>
      <c r="J73" s="362"/>
      <c r="K73" s="362"/>
      <c r="L73" s="363"/>
      <c r="M73" s="22" t="s">
        <v>591</v>
      </c>
      <c r="N73" s="22" t="s">
        <v>592</v>
      </c>
      <c r="O73" s="22" t="s">
        <v>593</v>
      </c>
      <c r="P73" s="22" t="s">
        <v>594</v>
      </c>
      <c r="Q73" s="23"/>
      <c r="V73" s="7"/>
    </row>
    <row r="74" spans="2:22" ht="18" customHeight="1">
      <c r="B74" s="355" t="str">
        <f>HYPERLINK("#LAYOUT_e4!lay초YMDA1B11","YMDA1B11")</f>
        <v>YMDA1B11</v>
      </c>
      <c r="C74" s="355"/>
      <c r="E74" s="7"/>
      <c r="G74" s="362" t="s">
        <v>619</v>
      </c>
      <c r="H74" s="362"/>
      <c r="I74" s="362"/>
      <c r="J74" s="362"/>
      <c r="K74" s="362"/>
      <c r="L74" s="363"/>
      <c r="M74" s="22" t="s">
        <v>591</v>
      </c>
      <c r="N74" s="22" t="s">
        <v>592</v>
      </c>
      <c r="O74" s="22" t="s">
        <v>593</v>
      </c>
      <c r="P74" s="22" t="s">
        <v>594</v>
      </c>
      <c r="Q74" s="23"/>
      <c r="V74" s="7"/>
    </row>
    <row r="75" spans="2:22" ht="18" customHeight="1">
      <c r="B75" s="355" t="str">
        <f>HYPERLINK("#LAYOUT_e4!lay초YMDA1B12","YMDA1B12")</f>
        <v>YMDA1B12</v>
      </c>
      <c r="C75" s="355"/>
      <c r="E75" s="7"/>
      <c r="G75" s="362" t="s">
        <v>1517</v>
      </c>
      <c r="H75" s="362"/>
      <c r="I75" s="362"/>
      <c r="J75" s="362"/>
      <c r="K75" s="362"/>
      <c r="L75" s="363"/>
      <c r="M75" s="22" t="s">
        <v>591</v>
      </c>
      <c r="N75" s="22" t="s">
        <v>592</v>
      </c>
      <c r="O75" s="22" t="s">
        <v>593</v>
      </c>
      <c r="P75" s="22" t="s">
        <v>594</v>
      </c>
      <c r="Q75" s="23"/>
      <c r="V75" s="7"/>
    </row>
    <row r="76" spans="2:22" ht="18" customHeight="1">
      <c r="B76" s="195" t="str">
        <f>HYPERLINK("#LAYOUT_e4!lay초YMDA1B13","YMDA1B13")</f>
        <v>YMDA1B13</v>
      </c>
      <c r="C76" s="195" t="str">
        <f>HYPERLINK("#LAYOUT_e4!lay초YMDA1B13_T","YMDA1B13_T")</f>
        <v>YMDA1B13_T</v>
      </c>
      <c r="E76" s="7"/>
      <c r="G76" s="362" t="s">
        <v>1589</v>
      </c>
      <c r="H76" s="362"/>
      <c r="I76" s="362"/>
      <c r="J76" s="362"/>
      <c r="K76" s="362"/>
      <c r="L76" s="363"/>
      <c r="M76" s="22" t="s">
        <v>591</v>
      </c>
      <c r="N76" s="22" t="s">
        <v>592</v>
      </c>
      <c r="O76" s="22" t="s">
        <v>593</v>
      </c>
      <c r="P76" s="22" t="s">
        <v>594</v>
      </c>
      <c r="Q76" s="24" t="s">
        <v>620</v>
      </c>
      <c r="V76" s="7"/>
    </row>
    <row r="77" spans="2:22" ht="18" customHeight="1">
      <c r="B77" s="195"/>
      <c r="C77" s="195"/>
      <c r="E77" s="7"/>
      <c r="V77" s="7"/>
    </row>
    <row r="78" spans="2:22" ht="18" customHeight="1">
      <c r="B78" s="195"/>
      <c r="C78" s="195"/>
      <c r="E78" s="7"/>
      <c r="V78" s="7"/>
    </row>
    <row r="79" spans="2:22" ht="18" customHeight="1" thickBot="1">
      <c r="B79" s="195"/>
      <c r="C79" s="195"/>
      <c r="E79" s="7"/>
      <c r="F79" s="6" t="s">
        <v>621</v>
      </c>
      <c r="V79" s="7"/>
    </row>
    <row r="80" spans="2:22" ht="31.5" thickTop="1" thickBot="1">
      <c r="B80" s="195"/>
      <c r="C80" s="195"/>
      <c r="E80" s="7"/>
      <c r="G80" s="368" t="s">
        <v>574</v>
      </c>
      <c r="H80" s="368"/>
      <c r="I80" s="368"/>
      <c r="J80" s="368"/>
      <c r="K80" s="368"/>
      <c r="L80" s="369"/>
      <c r="M80" s="9" t="s">
        <v>622</v>
      </c>
      <c r="N80" s="9" t="s">
        <v>623</v>
      </c>
      <c r="O80" s="9" t="s">
        <v>107</v>
      </c>
      <c r="P80" s="10" t="s">
        <v>108</v>
      </c>
      <c r="V80" s="7"/>
    </row>
    <row r="81" spans="2:22" ht="18" customHeight="1" thickTop="1">
      <c r="B81" s="355" t="str">
        <f>HYPERLINK("#LAYOUT_e4!lay초YMDA1C01","YMDA1C01")</f>
        <v>YMDA1C01</v>
      </c>
      <c r="C81" s="355"/>
      <c r="E81" s="7"/>
      <c r="G81" s="372" t="s">
        <v>624</v>
      </c>
      <c r="H81" s="372"/>
      <c r="I81" s="372"/>
      <c r="J81" s="372"/>
      <c r="K81" s="372"/>
      <c r="L81" s="373"/>
      <c r="M81" s="20" t="s">
        <v>591</v>
      </c>
      <c r="N81" s="20" t="s">
        <v>592</v>
      </c>
      <c r="O81" s="20" t="s">
        <v>593</v>
      </c>
      <c r="P81" s="25" t="s">
        <v>594</v>
      </c>
      <c r="V81" s="7"/>
    </row>
    <row r="82" spans="2:22" ht="18" customHeight="1">
      <c r="B82" s="355" t="str">
        <f>HYPERLINK("#LAYOUT_e4!lay초YMDA1C02","YMDA1C02")</f>
        <v>YMDA1C02</v>
      </c>
      <c r="C82" s="355"/>
      <c r="E82" s="7"/>
      <c r="G82" s="362" t="s">
        <v>625</v>
      </c>
      <c r="H82" s="362"/>
      <c r="I82" s="362"/>
      <c r="J82" s="362"/>
      <c r="K82" s="362"/>
      <c r="L82" s="363"/>
      <c r="M82" s="22" t="s">
        <v>591</v>
      </c>
      <c r="N82" s="22" t="s">
        <v>592</v>
      </c>
      <c r="O82" s="22" t="s">
        <v>593</v>
      </c>
      <c r="P82" s="24" t="s">
        <v>594</v>
      </c>
      <c r="V82" s="7"/>
    </row>
    <row r="83" spans="2:22" ht="18" customHeight="1">
      <c r="B83" s="355" t="str">
        <f>HYPERLINK("#LAYOUT_e4!lay초YMDA1C03","YMDA1C03")</f>
        <v>YMDA1C03</v>
      </c>
      <c r="C83" s="355"/>
      <c r="E83" s="7"/>
      <c r="G83" s="362" t="s">
        <v>626</v>
      </c>
      <c r="H83" s="362"/>
      <c r="I83" s="362"/>
      <c r="J83" s="362"/>
      <c r="K83" s="362"/>
      <c r="L83" s="363"/>
      <c r="M83" s="22" t="s">
        <v>591</v>
      </c>
      <c r="N83" s="22" t="s">
        <v>592</v>
      </c>
      <c r="O83" s="22" t="s">
        <v>593</v>
      </c>
      <c r="P83" s="24" t="s">
        <v>594</v>
      </c>
      <c r="V83" s="7"/>
    </row>
    <row r="84" spans="2:22" ht="18" customHeight="1">
      <c r="B84" s="355" t="str">
        <f>HYPERLINK("#LAYOUT_e4!lay초YMDA1C04","YMDA1C04")</f>
        <v>YMDA1C04</v>
      </c>
      <c r="C84" s="355"/>
      <c r="E84" s="7"/>
      <c r="G84" s="362" t="s">
        <v>627</v>
      </c>
      <c r="H84" s="362"/>
      <c r="I84" s="362"/>
      <c r="J84" s="362"/>
      <c r="K84" s="362"/>
      <c r="L84" s="363"/>
      <c r="M84" s="22" t="s">
        <v>591</v>
      </c>
      <c r="N84" s="22" t="s">
        <v>592</v>
      </c>
      <c r="O84" s="22" t="s">
        <v>593</v>
      </c>
      <c r="P84" s="24" t="s">
        <v>594</v>
      </c>
      <c r="V84" s="7"/>
    </row>
    <row r="85" spans="2:22" ht="18" customHeight="1">
      <c r="B85" s="355" t="str">
        <f>HYPERLINK("#LAYOUT_e4!lay초YMDA1C05","YMDA1C05")</f>
        <v>YMDA1C05</v>
      </c>
      <c r="C85" s="355"/>
      <c r="E85" s="7"/>
      <c r="G85" s="362" t="s">
        <v>628</v>
      </c>
      <c r="H85" s="362"/>
      <c r="I85" s="362"/>
      <c r="J85" s="362"/>
      <c r="K85" s="362"/>
      <c r="L85" s="363"/>
      <c r="M85" s="22" t="s">
        <v>591</v>
      </c>
      <c r="N85" s="22" t="s">
        <v>592</v>
      </c>
      <c r="O85" s="22" t="s">
        <v>593</v>
      </c>
      <c r="P85" s="24" t="s">
        <v>594</v>
      </c>
      <c r="V85" s="7"/>
    </row>
    <row r="86" spans="2:22" ht="18" customHeight="1">
      <c r="B86" s="355" t="str">
        <f>HYPERLINK("#LAYOUT_e4!lay초YMDA1C06","YMDA1C06")</f>
        <v>YMDA1C06</v>
      </c>
      <c r="C86" s="355"/>
      <c r="E86" s="7"/>
      <c r="G86" s="362" t="s">
        <v>629</v>
      </c>
      <c r="H86" s="362"/>
      <c r="I86" s="362"/>
      <c r="J86" s="362"/>
      <c r="K86" s="362"/>
      <c r="L86" s="363"/>
      <c r="M86" s="26" t="s">
        <v>591</v>
      </c>
      <c r="N86" s="26" t="s">
        <v>592</v>
      </c>
      <c r="O86" s="26" t="s">
        <v>593</v>
      </c>
      <c r="P86" s="27" t="s">
        <v>594</v>
      </c>
      <c r="V86" s="7"/>
    </row>
    <row r="87" spans="2:22" ht="18" customHeight="1">
      <c r="B87" s="355" t="str">
        <f>HYPERLINK("#LAYOUT_e4!lay초YMDA1C07","YMDA1C07")</f>
        <v>YMDA1C07</v>
      </c>
      <c r="C87" s="355"/>
      <c r="E87" s="7"/>
      <c r="G87" s="362" t="s">
        <v>630</v>
      </c>
      <c r="H87" s="362"/>
      <c r="I87" s="362"/>
      <c r="J87" s="362"/>
      <c r="K87" s="362"/>
      <c r="L87" s="363"/>
      <c r="M87" s="26" t="s">
        <v>591</v>
      </c>
      <c r="N87" s="26" t="s">
        <v>592</v>
      </c>
      <c r="O87" s="26" t="s">
        <v>593</v>
      </c>
      <c r="P87" s="27" t="s">
        <v>594</v>
      </c>
      <c r="V87" s="7"/>
    </row>
    <row r="88" spans="2:22" ht="18" customHeight="1">
      <c r="B88" s="355" t="str">
        <f>HYPERLINK("#LAYOUT_e4!lay초YMDA1C08","YMDA1C08")</f>
        <v>YMDA1C08</v>
      </c>
      <c r="C88" s="355"/>
      <c r="E88" s="7"/>
      <c r="G88" s="362" t="s">
        <v>631</v>
      </c>
      <c r="H88" s="362"/>
      <c r="I88" s="362"/>
      <c r="J88" s="362"/>
      <c r="K88" s="362"/>
      <c r="L88" s="363"/>
      <c r="M88" s="22" t="s">
        <v>591</v>
      </c>
      <c r="N88" s="22" t="s">
        <v>592</v>
      </c>
      <c r="O88" s="22" t="s">
        <v>593</v>
      </c>
      <c r="P88" s="24" t="s">
        <v>594</v>
      </c>
      <c r="V88" s="7"/>
    </row>
    <row r="89" spans="2:22" ht="18" customHeight="1">
      <c r="B89" s="355" t="str">
        <f>HYPERLINK("#LAYOUT_e4!lay초YMDA1C09","YMDA1C09")</f>
        <v>YMDA1C09</v>
      </c>
      <c r="C89" s="355"/>
      <c r="E89" s="7"/>
      <c r="G89" s="362" t="s">
        <v>632</v>
      </c>
      <c r="H89" s="362"/>
      <c r="I89" s="362"/>
      <c r="J89" s="362"/>
      <c r="K89" s="362"/>
      <c r="L89" s="363"/>
      <c r="M89" s="22" t="s">
        <v>591</v>
      </c>
      <c r="N89" s="22" t="s">
        <v>592</v>
      </c>
      <c r="O89" s="22" t="s">
        <v>593</v>
      </c>
      <c r="P89" s="24" t="s">
        <v>594</v>
      </c>
      <c r="V89" s="7"/>
    </row>
    <row r="90" spans="2:22" ht="18" customHeight="1">
      <c r="B90" s="355" t="str">
        <f>HYPERLINK("#LAYOUT_e4!lay초YMDA1C10","YMDA1C10")</f>
        <v>YMDA1C10</v>
      </c>
      <c r="C90" s="355"/>
      <c r="E90" s="7"/>
      <c r="G90" s="362" t="s">
        <v>633</v>
      </c>
      <c r="H90" s="362"/>
      <c r="I90" s="362"/>
      <c r="J90" s="362"/>
      <c r="K90" s="362"/>
      <c r="L90" s="363"/>
      <c r="M90" s="22" t="s">
        <v>591</v>
      </c>
      <c r="N90" s="22" t="s">
        <v>592</v>
      </c>
      <c r="O90" s="22" t="s">
        <v>593</v>
      </c>
      <c r="P90" s="24" t="s">
        <v>594</v>
      </c>
      <c r="V90" s="7"/>
    </row>
    <row r="91" spans="2:22" ht="18" customHeight="1">
      <c r="B91" s="355" t="str">
        <f>HYPERLINK("#LAYOUT_e4!lay초YMDA1C11","YMDA1C11")</f>
        <v>YMDA1C11</v>
      </c>
      <c r="C91" s="355"/>
      <c r="E91" s="7"/>
      <c r="G91" s="362" t="s">
        <v>634</v>
      </c>
      <c r="H91" s="362"/>
      <c r="I91" s="362"/>
      <c r="J91" s="362"/>
      <c r="K91" s="362"/>
      <c r="L91" s="363"/>
      <c r="M91" s="26" t="s">
        <v>591</v>
      </c>
      <c r="N91" s="26" t="s">
        <v>592</v>
      </c>
      <c r="O91" s="26" t="s">
        <v>593</v>
      </c>
      <c r="P91" s="27" t="s">
        <v>594</v>
      </c>
      <c r="V91" s="7"/>
    </row>
    <row r="92" spans="2:22" ht="18" customHeight="1">
      <c r="B92" s="355" t="str">
        <f>HYPERLINK("#LAYOUT_e4!lay초YMDA1C12","YMDA1C12")</f>
        <v>YMDA1C12</v>
      </c>
      <c r="C92" s="355"/>
      <c r="E92" s="7"/>
      <c r="G92" s="362" t="s">
        <v>635</v>
      </c>
      <c r="H92" s="362"/>
      <c r="I92" s="362"/>
      <c r="J92" s="362"/>
      <c r="K92" s="362"/>
      <c r="L92" s="363"/>
      <c r="M92" s="22" t="s">
        <v>591</v>
      </c>
      <c r="N92" s="22" t="s">
        <v>592</v>
      </c>
      <c r="O92" s="22" t="s">
        <v>593</v>
      </c>
      <c r="P92" s="24" t="s">
        <v>594</v>
      </c>
      <c r="V92" s="7"/>
    </row>
    <row r="93" spans="2:22" ht="18" customHeight="1">
      <c r="B93" s="355" t="str">
        <f>HYPERLINK("#LAYOUT_e4!lay초YMDA1C13","YMDA1C13")</f>
        <v>YMDA1C13</v>
      </c>
      <c r="C93" s="355"/>
      <c r="E93" s="7"/>
      <c r="G93" s="362" t="s">
        <v>636</v>
      </c>
      <c r="H93" s="362"/>
      <c r="I93" s="362"/>
      <c r="J93" s="362"/>
      <c r="K93" s="362"/>
      <c r="L93" s="363"/>
      <c r="M93" s="26" t="s">
        <v>591</v>
      </c>
      <c r="N93" s="26" t="s">
        <v>592</v>
      </c>
      <c r="O93" s="26" t="s">
        <v>593</v>
      </c>
      <c r="P93" s="27" t="s">
        <v>594</v>
      </c>
      <c r="V93" s="7"/>
    </row>
    <row r="94" spans="2:22" ht="18" customHeight="1">
      <c r="B94" s="355" t="str">
        <f>HYPERLINK("#LAYOUT_e4!lay초YMDA1C14","YMDA1C14")</f>
        <v>YMDA1C14</v>
      </c>
      <c r="C94" s="355"/>
      <c r="E94" s="7"/>
      <c r="G94" s="362" t="s">
        <v>637</v>
      </c>
      <c r="H94" s="362"/>
      <c r="I94" s="362"/>
      <c r="J94" s="362"/>
      <c r="K94" s="362"/>
      <c r="L94" s="363"/>
      <c r="M94" s="22" t="s">
        <v>591</v>
      </c>
      <c r="N94" s="22" t="s">
        <v>592</v>
      </c>
      <c r="O94" s="22" t="s">
        <v>593</v>
      </c>
      <c r="P94" s="24" t="s">
        <v>594</v>
      </c>
      <c r="V94" s="7"/>
    </row>
    <row r="95" spans="2:22" ht="18" customHeight="1">
      <c r="B95" s="355" t="str">
        <f>HYPERLINK("#LAYOUT_e4!lay초YMDA1C15","YMDA1C15")</f>
        <v>YMDA1C15</v>
      </c>
      <c r="C95" s="355"/>
      <c r="E95" s="7"/>
      <c r="G95" s="362" t="s">
        <v>638</v>
      </c>
      <c r="H95" s="362"/>
      <c r="I95" s="362"/>
      <c r="J95" s="362"/>
      <c r="K95" s="362"/>
      <c r="L95" s="363"/>
      <c r="M95" s="22" t="s">
        <v>591</v>
      </c>
      <c r="N95" s="22" t="s">
        <v>592</v>
      </c>
      <c r="O95" s="22" t="s">
        <v>593</v>
      </c>
      <c r="P95" s="24" t="s">
        <v>594</v>
      </c>
      <c r="V95" s="7"/>
    </row>
    <row r="96" spans="2:22" ht="18" customHeight="1">
      <c r="B96" s="195"/>
      <c r="C96" s="195"/>
      <c r="E96" s="7"/>
      <c r="V96" s="7"/>
    </row>
    <row r="97" spans="2:22" ht="18" customHeight="1">
      <c r="B97" s="195"/>
      <c r="C97" s="195"/>
      <c r="E97" s="7"/>
      <c r="V97" s="7"/>
    </row>
    <row r="98" spans="2:22" ht="18" customHeight="1" thickBot="1">
      <c r="B98" s="355" t="str">
        <f>HYPERLINK("#LAYOUT_e4!lay초YINT1A00","YINT1A00")</f>
        <v>YINT1A00</v>
      </c>
      <c r="C98" s="355"/>
      <c r="E98" s="7"/>
      <c r="F98" s="6" t="s">
        <v>1573</v>
      </c>
      <c r="V98" s="7"/>
    </row>
    <row r="99" spans="2:22" ht="18" customHeight="1" thickTop="1">
      <c r="B99" s="195"/>
      <c r="C99" s="195"/>
      <c r="E99" s="7"/>
      <c r="F99" s="35"/>
      <c r="G99" s="36"/>
      <c r="H99" s="37"/>
      <c r="I99" s="37"/>
      <c r="J99" s="37"/>
      <c r="K99" s="37"/>
      <c r="L99" s="37"/>
      <c r="M99" s="37"/>
      <c r="N99" s="38"/>
      <c r="V99" s="7"/>
    </row>
    <row r="100" spans="2:22" ht="18" customHeight="1">
      <c r="B100" s="195"/>
      <c r="C100" s="195"/>
      <c r="E100" s="7"/>
      <c r="F100" s="39"/>
      <c r="G100" s="40"/>
      <c r="H100" s="11" t="s">
        <v>124</v>
      </c>
      <c r="I100" s="11" t="s">
        <v>125</v>
      </c>
      <c r="J100" s="11" t="s">
        <v>126</v>
      </c>
      <c r="K100" s="11" t="s">
        <v>127</v>
      </c>
      <c r="L100" s="11" t="s">
        <v>128</v>
      </c>
      <c r="M100" s="41" t="s">
        <v>129</v>
      </c>
      <c r="N100" s="42"/>
      <c r="V100" s="7"/>
    </row>
    <row r="101" spans="2:22" ht="18" customHeight="1">
      <c r="B101" s="195"/>
      <c r="C101" s="195"/>
      <c r="E101" s="7"/>
      <c r="F101" s="39"/>
      <c r="G101" s="40"/>
      <c r="H101" s="11" t="s">
        <v>591</v>
      </c>
      <c r="I101" s="11" t="s">
        <v>592</v>
      </c>
      <c r="J101" s="11" t="s">
        <v>593</v>
      </c>
      <c r="K101" s="11" t="s">
        <v>594</v>
      </c>
      <c r="L101" s="11" t="s">
        <v>595</v>
      </c>
      <c r="M101" s="41" t="s">
        <v>6</v>
      </c>
      <c r="N101" s="42"/>
      <c r="V101" s="7"/>
    </row>
    <row r="102" spans="2:22" ht="18" customHeight="1">
      <c r="B102" s="195"/>
      <c r="C102" s="195"/>
      <c r="E102" s="7"/>
      <c r="G102" s="40"/>
      <c r="H102" s="43"/>
      <c r="I102" s="43"/>
      <c r="J102" s="43"/>
      <c r="K102" s="43"/>
      <c r="L102" s="43"/>
      <c r="M102" s="44"/>
      <c r="N102" s="42"/>
      <c r="V102" s="7"/>
    </row>
    <row r="103" spans="2:22" ht="18" customHeight="1">
      <c r="B103" s="195"/>
      <c r="C103" s="195"/>
      <c r="E103" s="7"/>
      <c r="G103" s="40"/>
      <c r="H103" s="45"/>
      <c r="I103" s="45"/>
      <c r="J103" s="45"/>
      <c r="K103" s="45"/>
      <c r="L103" s="45"/>
      <c r="M103" s="46"/>
      <c r="N103" s="42"/>
      <c r="V103" s="7"/>
    </row>
    <row r="104" spans="2:22" ht="18" customHeight="1" thickBot="1">
      <c r="B104" s="195"/>
      <c r="C104" s="195"/>
      <c r="E104" s="7"/>
      <c r="G104" s="47"/>
      <c r="H104" s="48"/>
      <c r="I104" s="48"/>
      <c r="J104" s="48"/>
      <c r="K104" s="48"/>
      <c r="L104" s="48"/>
      <c r="M104" s="48"/>
      <c r="N104" s="49"/>
      <c r="V104" s="7"/>
    </row>
    <row r="105" spans="2:22" ht="18" customHeight="1" thickTop="1">
      <c r="B105" s="195"/>
      <c r="C105" s="195"/>
      <c r="E105" s="7"/>
      <c r="G105" s="5"/>
      <c r="H105" s="5"/>
      <c r="I105" s="5"/>
      <c r="J105" s="5"/>
      <c r="K105" s="5"/>
      <c r="L105" s="5"/>
      <c r="M105" s="5"/>
      <c r="N105" s="5"/>
      <c r="V105" s="7"/>
    </row>
    <row r="106" spans="2:22" ht="18" customHeight="1">
      <c r="B106" s="195"/>
      <c r="C106" s="195"/>
      <c r="E106" s="7"/>
      <c r="V106" s="7"/>
    </row>
    <row r="107" spans="2:22" ht="18" customHeight="1" thickBot="1">
      <c r="B107" s="355" t="str">
        <f>HYPERLINK("#LAYOUT_e4!lay초YINT1B00","YINT1B00")</f>
        <v>YINT1B00</v>
      </c>
      <c r="C107" s="355"/>
      <c r="E107" s="7"/>
      <c r="F107" s="6" t="s">
        <v>1638</v>
      </c>
      <c r="V107" s="7"/>
    </row>
    <row r="108" spans="2:22" ht="18" customHeight="1" thickTop="1">
      <c r="B108" s="195"/>
      <c r="C108" s="195"/>
      <c r="E108" s="7"/>
      <c r="G108" s="36"/>
      <c r="H108" s="37"/>
      <c r="I108" s="37"/>
      <c r="J108" s="37"/>
      <c r="K108" s="37"/>
      <c r="L108" s="37"/>
      <c r="M108" s="37"/>
      <c r="N108" s="38"/>
      <c r="V108" s="7"/>
    </row>
    <row r="109" spans="2:22" ht="18" customHeight="1">
      <c r="B109" s="195"/>
      <c r="C109" s="195"/>
      <c r="E109" s="7"/>
      <c r="G109" s="40"/>
      <c r="H109" s="11" t="s">
        <v>131</v>
      </c>
      <c r="I109" s="11" t="s">
        <v>132</v>
      </c>
      <c r="J109" s="11" t="s">
        <v>126</v>
      </c>
      <c r="K109" s="11" t="s">
        <v>133</v>
      </c>
      <c r="L109" s="11" t="s">
        <v>640</v>
      </c>
      <c r="M109" s="41" t="s">
        <v>129</v>
      </c>
      <c r="N109" s="42"/>
      <c r="V109" s="7"/>
    </row>
    <row r="110" spans="2:22" ht="18" customHeight="1">
      <c r="B110" s="195"/>
      <c r="C110" s="195"/>
      <c r="E110" s="7"/>
      <c r="G110" s="40"/>
      <c r="H110" s="11" t="s">
        <v>591</v>
      </c>
      <c r="I110" s="11" t="s">
        <v>592</v>
      </c>
      <c r="J110" s="11" t="s">
        <v>593</v>
      </c>
      <c r="K110" s="11" t="s">
        <v>594</v>
      </c>
      <c r="L110" s="11" t="s">
        <v>595</v>
      </c>
      <c r="M110" s="41" t="s">
        <v>6</v>
      </c>
      <c r="N110" s="42"/>
      <c r="V110" s="7"/>
    </row>
    <row r="111" spans="2:22" ht="18" customHeight="1">
      <c r="B111" s="195"/>
      <c r="C111" s="195"/>
      <c r="E111" s="7"/>
      <c r="G111" s="40"/>
      <c r="H111" s="43"/>
      <c r="I111" s="43"/>
      <c r="J111" s="43"/>
      <c r="K111" s="43"/>
      <c r="L111" s="43"/>
      <c r="M111" s="44"/>
      <c r="N111" s="42"/>
      <c r="V111" s="7"/>
    </row>
    <row r="112" spans="2:22" ht="18" customHeight="1">
      <c r="B112" s="195"/>
      <c r="C112" s="195"/>
      <c r="E112" s="7"/>
      <c r="G112" s="40"/>
      <c r="H112" s="45"/>
      <c r="I112" s="45"/>
      <c r="J112" s="45"/>
      <c r="K112" s="45"/>
      <c r="L112" s="45"/>
      <c r="M112" s="46"/>
      <c r="N112" s="42"/>
      <c r="V112" s="7"/>
    </row>
    <row r="113" spans="2:22" ht="18" customHeight="1" thickBot="1">
      <c r="B113" s="195"/>
      <c r="C113" s="195"/>
      <c r="E113" s="7"/>
      <c r="G113" s="47"/>
      <c r="H113" s="48"/>
      <c r="I113" s="48"/>
      <c r="J113" s="48"/>
      <c r="K113" s="48"/>
      <c r="L113" s="48"/>
      <c r="M113" s="48"/>
      <c r="N113" s="49"/>
      <c r="V113" s="7"/>
    </row>
    <row r="114" spans="2:22" ht="18" customHeight="1" thickTop="1">
      <c r="B114" s="195"/>
      <c r="C114" s="195"/>
      <c r="E114" s="7"/>
      <c r="G114" s="5"/>
      <c r="H114" s="5"/>
      <c r="I114" s="5"/>
      <c r="J114" s="5"/>
      <c r="K114" s="5"/>
      <c r="L114" s="5"/>
      <c r="M114" s="5"/>
      <c r="N114" s="5"/>
      <c r="V114" s="7"/>
    </row>
    <row r="115" spans="2:22" ht="18" customHeight="1">
      <c r="B115" s="195"/>
      <c r="C115" s="195"/>
      <c r="E115" s="7"/>
      <c r="V115" s="7"/>
    </row>
    <row r="116" spans="2:22" ht="18" customHeight="1" thickBot="1">
      <c r="B116" s="355" t="str">
        <f>HYPERLINK("#LAYOUT_e4!lay초YEDU1A00","YEDU1A00")</f>
        <v>YEDU1A00</v>
      </c>
      <c r="C116" s="355"/>
      <c r="E116" s="7"/>
      <c r="F116" s="6" t="s">
        <v>1574</v>
      </c>
      <c r="V116" s="7"/>
    </row>
    <row r="117" spans="2:22" ht="18" customHeight="1" thickTop="1">
      <c r="B117" s="195"/>
      <c r="C117" s="195"/>
      <c r="E117" s="7"/>
      <c r="G117" s="36"/>
      <c r="H117" s="37"/>
      <c r="I117" s="37"/>
      <c r="J117" s="37"/>
      <c r="K117" s="37"/>
      <c r="L117" s="37"/>
      <c r="M117" s="37"/>
      <c r="N117" s="38"/>
      <c r="V117" s="7"/>
    </row>
    <row r="118" spans="2:22" ht="18" customHeight="1">
      <c r="B118" s="195"/>
      <c r="C118" s="195"/>
      <c r="E118" s="7"/>
      <c r="G118" s="40"/>
      <c r="H118" s="11" t="s">
        <v>131</v>
      </c>
      <c r="I118" s="11" t="s">
        <v>132</v>
      </c>
      <c r="J118" s="11" t="s">
        <v>126</v>
      </c>
      <c r="K118" s="11" t="s">
        <v>133</v>
      </c>
      <c r="L118" s="11" t="s">
        <v>640</v>
      </c>
      <c r="M118" s="41" t="s">
        <v>129</v>
      </c>
      <c r="N118" s="42"/>
      <c r="V118" s="7"/>
    </row>
    <row r="119" spans="2:22" ht="18" customHeight="1">
      <c r="B119" s="195"/>
      <c r="C119" s="195"/>
      <c r="E119" s="7"/>
      <c r="G119" s="40"/>
      <c r="H119" s="11" t="s">
        <v>591</v>
      </c>
      <c r="I119" s="11" t="s">
        <v>592</v>
      </c>
      <c r="J119" s="11" t="s">
        <v>593</v>
      </c>
      <c r="K119" s="11" t="s">
        <v>594</v>
      </c>
      <c r="L119" s="11" t="s">
        <v>595</v>
      </c>
      <c r="M119" s="41" t="s">
        <v>6</v>
      </c>
      <c r="N119" s="42"/>
      <c r="V119" s="7"/>
    </row>
    <row r="120" spans="2:22" ht="18" customHeight="1">
      <c r="B120" s="195"/>
      <c r="C120" s="195"/>
      <c r="E120" s="7"/>
      <c r="G120" s="40"/>
      <c r="H120" s="43"/>
      <c r="I120" s="43"/>
      <c r="J120" s="43"/>
      <c r="K120" s="43"/>
      <c r="L120" s="43"/>
      <c r="M120" s="44"/>
      <c r="N120" s="42"/>
      <c r="V120" s="7"/>
    </row>
    <row r="121" spans="2:22" ht="18" customHeight="1">
      <c r="B121" s="195"/>
      <c r="C121" s="195"/>
      <c r="E121" s="7"/>
      <c r="G121" s="40"/>
      <c r="H121" s="45"/>
      <c r="I121" s="45"/>
      <c r="J121" s="45"/>
      <c r="K121" s="45"/>
      <c r="L121" s="45"/>
      <c r="M121" s="46"/>
      <c r="N121" s="42"/>
      <c r="V121" s="7"/>
    </row>
    <row r="122" spans="2:22" ht="18" customHeight="1" thickBot="1">
      <c r="B122" s="195"/>
      <c r="C122" s="195"/>
      <c r="E122" s="7"/>
      <c r="G122" s="47"/>
      <c r="H122" s="48"/>
      <c r="I122" s="48"/>
      <c r="J122" s="48"/>
      <c r="K122" s="48"/>
      <c r="L122" s="48"/>
      <c r="M122" s="48"/>
      <c r="N122" s="49"/>
      <c r="V122" s="7"/>
    </row>
    <row r="123" spans="2:22" ht="18" customHeight="1" thickTop="1">
      <c r="B123" s="195"/>
      <c r="C123" s="195"/>
      <c r="E123" s="7"/>
      <c r="G123" s="5"/>
      <c r="H123" s="5"/>
      <c r="I123" s="5"/>
      <c r="J123" s="5"/>
      <c r="K123" s="5"/>
      <c r="L123" s="5"/>
      <c r="M123" s="5"/>
      <c r="N123" s="5"/>
      <c r="O123" s="5"/>
      <c r="V123" s="7"/>
    </row>
    <row r="124" spans="2:22" ht="18" customHeight="1">
      <c r="B124" s="195"/>
      <c r="C124" s="195"/>
      <c r="E124" s="7"/>
      <c r="V124" s="7"/>
    </row>
    <row r="125" spans="2:22" ht="18" customHeight="1" thickBot="1">
      <c r="B125" s="195"/>
      <c r="C125" s="195"/>
      <c r="E125" s="7"/>
      <c r="F125" s="6" t="s">
        <v>642</v>
      </c>
      <c r="V125" s="7"/>
    </row>
    <row r="126" spans="2:22" ht="31.5" thickTop="1" thickBot="1">
      <c r="B126" s="195"/>
      <c r="C126" s="195"/>
      <c r="E126" s="7"/>
      <c r="G126" s="368" t="s">
        <v>643</v>
      </c>
      <c r="H126" s="368"/>
      <c r="I126" s="368"/>
      <c r="J126" s="368"/>
      <c r="K126" s="368"/>
      <c r="L126" s="369"/>
      <c r="M126" s="9" t="s">
        <v>622</v>
      </c>
      <c r="N126" s="9" t="s">
        <v>623</v>
      </c>
      <c r="O126" s="9" t="s">
        <v>107</v>
      </c>
      <c r="P126" s="10" t="s">
        <v>108</v>
      </c>
      <c r="V126" s="7"/>
    </row>
    <row r="127" spans="2:22" ht="18" customHeight="1" thickTop="1">
      <c r="B127" s="355" t="str">
        <f>HYPERLINK("#LAYOUT_e4!lay초YINT2A01","YINT2A01")</f>
        <v>YINT2A01</v>
      </c>
      <c r="C127" s="355"/>
      <c r="E127" s="7"/>
      <c r="G127" s="372" t="s">
        <v>644</v>
      </c>
      <c r="H127" s="372"/>
      <c r="I127" s="372"/>
      <c r="J127" s="372"/>
      <c r="K127" s="372"/>
      <c r="L127" s="373"/>
      <c r="M127" s="20" t="s">
        <v>591</v>
      </c>
      <c r="N127" s="20" t="s">
        <v>592</v>
      </c>
      <c r="O127" s="20" t="s">
        <v>593</v>
      </c>
      <c r="P127" s="25" t="s">
        <v>594</v>
      </c>
      <c r="V127" s="7"/>
    </row>
    <row r="128" spans="2:22" ht="18" customHeight="1">
      <c r="B128" s="355" t="str">
        <f>HYPERLINK("#LAYOUT_e4!lay초YINT2A02","YINT2A02")</f>
        <v>YINT2A02</v>
      </c>
      <c r="C128" s="355"/>
      <c r="E128" s="7"/>
      <c r="G128" s="362" t="s">
        <v>645</v>
      </c>
      <c r="H128" s="362"/>
      <c r="I128" s="362"/>
      <c r="J128" s="362"/>
      <c r="K128" s="362"/>
      <c r="L128" s="363"/>
      <c r="M128" s="22" t="s">
        <v>591</v>
      </c>
      <c r="N128" s="22" t="s">
        <v>592</v>
      </c>
      <c r="O128" s="22" t="s">
        <v>593</v>
      </c>
      <c r="P128" s="24" t="s">
        <v>594</v>
      </c>
      <c r="V128" s="7"/>
    </row>
    <row r="129" spans="2:22" ht="18" customHeight="1">
      <c r="B129" s="355" t="str">
        <f>HYPERLINK("#LAYOUT_e4!lay초YINT2A03","YINT2A03")</f>
        <v>YINT2A03</v>
      </c>
      <c r="C129" s="355"/>
      <c r="E129" s="7"/>
      <c r="G129" s="362" t="s">
        <v>646</v>
      </c>
      <c r="H129" s="362"/>
      <c r="I129" s="362"/>
      <c r="J129" s="362"/>
      <c r="K129" s="362"/>
      <c r="L129" s="363"/>
      <c r="M129" s="22" t="s">
        <v>591</v>
      </c>
      <c r="N129" s="22" t="s">
        <v>592</v>
      </c>
      <c r="O129" s="22" t="s">
        <v>593</v>
      </c>
      <c r="P129" s="24" t="s">
        <v>594</v>
      </c>
      <c r="V129" s="7"/>
    </row>
    <row r="130" spans="2:22" ht="18" customHeight="1">
      <c r="B130" s="355" t="str">
        <f>HYPERLINK("#LAYOUT_e4!lay초YINT2A04","YINT2A04")</f>
        <v>YINT2A04</v>
      </c>
      <c r="C130" s="355"/>
      <c r="E130" s="7"/>
      <c r="G130" s="362" t="s">
        <v>647</v>
      </c>
      <c r="H130" s="362"/>
      <c r="I130" s="362"/>
      <c r="J130" s="362"/>
      <c r="K130" s="362"/>
      <c r="L130" s="363"/>
      <c r="M130" s="22" t="s">
        <v>591</v>
      </c>
      <c r="N130" s="22" t="s">
        <v>592</v>
      </c>
      <c r="O130" s="22" t="s">
        <v>593</v>
      </c>
      <c r="P130" s="24" t="s">
        <v>594</v>
      </c>
      <c r="V130" s="7"/>
    </row>
    <row r="131" spans="2:22" ht="18" customHeight="1">
      <c r="B131" s="355" t="str">
        <f>HYPERLINK("#LAYOUT_e4!lay초YINT2A05","YINT2A05")</f>
        <v>YINT2A05</v>
      </c>
      <c r="C131" s="355"/>
      <c r="E131" s="7"/>
      <c r="G131" s="362" t="s">
        <v>648</v>
      </c>
      <c r="H131" s="362"/>
      <c r="I131" s="362"/>
      <c r="J131" s="362"/>
      <c r="K131" s="362"/>
      <c r="L131" s="363"/>
      <c r="M131" s="22" t="s">
        <v>591</v>
      </c>
      <c r="N131" s="22" t="s">
        <v>592</v>
      </c>
      <c r="O131" s="22" t="s">
        <v>593</v>
      </c>
      <c r="P131" s="24" t="s">
        <v>594</v>
      </c>
      <c r="V131" s="7"/>
    </row>
    <row r="132" spans="2:22" ht="18" customHeight="1">
      <c r="B132" s="355" t="str">
        <f>HYPERLINK("#LAYOUT_e4!lay초YINT2A06","YINT2A06")</f>
        <v>YINT2A06</v>
      </c>
      <c r="C132" s="355"/>
      <c r="E132" s="7"/>
      <c r="G132" s="362" t="s">
        <v>649</v>
      </c>
      <c r="H132" s="362"/>
      <c r="I132" s="362"/>
      <c r="J132" s="362"/>
      <c r="K132" s="362"/>
      <c r="L132" s="363"/>
      <c r="M132" s="22" t="s">
        <v>591</v>
      </c>
      <c r="N132" s="22" t="s">
        <v>592</v>
      </c>
      <c r="O132" s="22" t="s">
        <v>593</v>
      </c>
      <c r="P132" s="24" t="s">
        <v>594</v>
      </c>
      <c r="V132" s="7"/>
    </row>
    <row r="133" spans="2:22" ht="18" customHeight="1">
      <c r="B133" s="355" t="str">
        <f>HYPERLINK("#LAYOUT_e4!lay초YINT2A07","YINT2A07")</f>
        <v>YINT2A07</v>
      </c>
      <c r="C133" s="355"/>
      <c r="E133" s="7"/>
      <c r="G133" s="362" t="s">
        <v>650</v>
      </c>
      <c r="H133" s="362"/>
      <c r="I133" s="362"/>
      <c r="J133" s="362"/>
      <c r="K133" s="362"/>
      <c r="L133" s="363"/>
      <c r="M133" s="22" t="s">
        <v>591</v>
      </c>
      <c r="N133" s="22" t="s">
        <v>592</v>
      </c>
      <c r="O133" s="22" t="s">
        <v>593</v>
      </c>
      <c r="P133" s="24" t="s">
        <v>594</v>
      </c>
      <c r="V133" s="7"/>
    </row>
    <row r="134" spans="2:22" ht="18" customHeight="1">
      <c r="B134" s="355" t="str">
        <f>HYPERLINK("#LAYOUT_e4!lay초YINT2A08","YINT2A08")</f>
        <v>YINT2A08</v>
      </c>
      <c r="C134" s="355"/>
      <c r="E134" s="7"/>
      <c r="G134" s="362" t="s">
        <v>651</v>
      </c>
      <c r="H134" s="362"/>
      <c r="I134" s="362"/>
      <c r="J134" s="362"/>
      <c r="K134" s="362"/>
      <c r="L134" s="363"/>
      <c r="M134" s="22" t="s">
        <v>591</v>
      </c>
      <c r="N134" s="22" t="s">
        <v>592</v>
      </c>
      <c r="O134" s="22" t="s">
        <v>593</v>
      </c>
      <c r="P134" s="24" t="s">
        <v>594</v>
      </c>
      <c r="V134" s="7"/>
    </row>
    <row r="135" spans="2:22" ht="18" customHeight="1">
      <c r="B135" s="355" t="str">
        <f>HYPERLINK("#LAYOUT_e4!lay초YINT2A09","YINT2A09")</f>
        <v>YINT2A09</v>
      </c>
      <c r="C135" s="355"/>
      <c r="E135" s="7"/>
      <c r="G135" s="362" t="s">
        <v>652</v>
      </c>
      <c r="H135" s="362"/>
      <c r="I135" s="362"/>
      <c r="J135" s="362"/>
      <c r="K135" s="362"/>
      <c r="L135" s="363"/>
      <c r="M135" s="22" t="s">
        <v>591</v>
      </c>
      <c r="N135" s="22" t="s">
        <v>592</v>
      </c>
      <c r="O135" s="22" t="s">
        <v>593</v>
      </c>
      <c r="P135" s="24" t="s">
        <v>594</v>
      </c>
      <c r="V135" s="7"/>
    </row>
    <row r="136" spans="2:22" ht="18" customHeight="1">
      <c r="B136" s="355" t="str">
        <f>HYPERLINK("#LAYOUT_e4!lay초YINT2A10","YINT2A10")</f>
        <v>YINT2A10</v>
      </c>
      <c r="C136" s="355"/>
      <c r="E136" s="7"/>
      <c r="G136" s="362" t="s">
        <v>653</v>
      </c>
      <c r="H136" s="362"/>
      <c r="I136" s="362"/>
      <c r="J136" s="362"/>
      <c r="K136" s="362"/>
      <c r="L136" s="363"/>
      <c r="M136" s="22" t="s">
        <v>591</v>
      </c>
      <c r="N136" s="22" t="s">
        <v>592</v>
      </c>
      <c r="O136" s="22" t="s">
        <v>593</v>
      </c>
      <c r="P136" s="24" t="s">
        <v>594</v>
      </c>
      <c r="V136" s="7"/>
    </row>
    <row r="137" spans="2:22" ht="18" customHeight="1">
      <c r="B137" s="355" t="str">
        <f>HYPERLINK("#LAYOUT_e4!lay초YINT2A11","YINT2A11")</f>
        <v>YINT2A11</v>
      </c>
      <c r="C137" s="355"/>
      <c r="E137" s="7"/>
      <c r="G137" s="362" t="s">
        <v>654</v>
      </c>
      <c r="H137" s="362"/>
      <c r="I137" s="362"/>
      <c r="J137" s="362"/>
      <c r="K137" s="362"/>
      <c r="L137" s="363"/>
      <c r="M137" s="22" t="s">
        <v>591</v>
      </c>
      <c r="N137" s="22" t="s">
        <v>592</v>
      </c>
      <c r="O137" s="22" t="s">
        <v>593</v>
      </c>
      <c r="P137" s="24" t="s">
        <v>594</v>
      </c>
      <c r="V137" s="7"/>
    </row>
    <row r="138" spans="2:22" ht="18" customHeight="1">
      <c r="B138" s="355" t="str">
        <f>HYPERLINK("#LAYOUT_e4!lay초YINT2A12","YINT2A12")</f>
        <v>YINT2A12</v>
      </c>
      <c r="C138" s="355"/>
      <c r="E138" s="7"/>
      <c r="G138" s="362" t="s">
        <v>655</v>
      </c>
      <c r="H138" s="362"/>
      <c r="I138" s="362"/>
      <c r="J138" s="362"/>
      <c r="K138" s="362"/>
      <c r="L138" s="363"/>
      <c r="M138" s="22" t="s">
        <v>591</v>
      </c>
      <c r="N138" s="22" t="s">
        <v>592</v>
      </c>
      <c r="O138" s="22" t="s">
        <v>593</v>
      </c>
      <c r="P138" s="24" t="s">
        <v>594</v>
      </c>
      <c r="V138" s="7"/>
    </row>
    <row r="139" spans="2:22" ht="18" customHeight="1">
      <c r="B139" s="355" t="str">
        <f>HYPERLINK("#LAYOUT_e4!lay초YINT2A13","YINT2A13")</f>
        <v>YINT2A13</v>
      </c>
      <c r="C139" s="355"/>
      <c r="E139" s="7"/>
      <c r="G139" s="362" t="s">
        <v>656</v>
      </c>
      <c r="H139" s="362"/>
      <c r="I139" s="362"/>
      <c r="J139" s="362"/>
      <c r="K139" s="362"/>
      <c r="L139" s="363"/>
      <c r="M139" s="22" t="s">
        <v>591</v>
      </c>
      <c r="N139" s="22" t="s">
        <v>592</v>
      </c>
      <c r="O139" s="22" t="s">
        <v>593</v>
      </c>
      <c r="P139" s="24" t="s">
        <v>594</v>
      </c>
      <c r="V139" s="7"/>
    </row>
    <row r="140" spans="2:22" ht="18" customHeight="1">
      <c r="B140" s="355" t="str">
        <f>HYPERLINK("#LAYOUT_e4!lay초YINT2A14","YINT2A14")</f>
        <v>YINT2A14</v>
      </c>
      <c r="C140" s="355"/>
      <c r="E140" s="7"/>
      <c r="G140" s="362" t="s">
        <v>657</v>
      </c>
      <c r="H140" s="362"/>
      <c r="I140" s="362"/>
      <c r="J140" s="362"/>
      <c r="K140" s="362"/>
      <c r="L140" s="363"/>
      <c r="M140" s="22" t="s">
        <v>591</v>
      </c>
      <c r="N140" s="22" t="s">
        <v>592</v>
      </c>
      <c r="O140" s="22" t="s">
        <v>593</v>
      </c>
      <c r="P140" s="24" t="s">
        <v>594</v>
      </c>
      <c r="V140" s="7"/>
    </row>
    <row r="141" spans="2:22" ht="18" customHeight="1">
      <c r="B141" s="355" t="str">
        <f>HYPERLINK("#LAYOUT_e4!lay초YINT2A15","YINT2A15")</f>
        <v>YINT2A15</v>
      </c>
      <c r="C141" s="355"/>
      <c r="E141" s="7"/>
      <c r="G141" s="362" t="s">
        <v>658</v>
      </c>
      <c r="H141" s="362"/>
      <c r="I141" s="362"/>
      <c r="J141" s="362"/>
      <c r="K141" s="362"/>
      <c r="L141" s="363"/>
      <c r="M141" s="22" t="s">
        <v>591</v>
      </c>
      <c r="N141" s="22" t="s">
        <v>592</v>
      </c>
      <c r="O141" s="22" t="s">
        <v>593</v>
      </c>
      <c r="P141" s="24" t="s">
        <v>594</v>
      </c>
      <c r="V141" s="7"/>
    </row>
    <row r="142" spans="2:22" ht="18" customHeight="1">
      <c r="B142" s="355" t="str">
        <f>HYPERLINK("#LAYOUT_e4!lay초YINT2A16","YINT2A16")</f>
        <v>YINT2A16</v>
      </c>
      <c r="C142" s="355"/>
      <c r="E142" s="7"/>
      <c r="G142" s="362" t="s">
        <v>659</v>
      </c>
      <c r="H142" s="362"/>
      <c r="I142" s="362"/>
      <c r="J142" s="362"/>
      <c r="K142" s="362"/>
      <c r="L142" s="363"/>
      <c r="M142" s="22" t="s">
        <v>591</v>
      </c>
      <c r="N142" s="22" t="s">
        <v>592</v>
      </c>
      <c r="O142" s="22" t="s">
        <v>593</v>
      </c>
      <c r="P142" s="24" t="s">
        <v>594</v>
      </c>
      <c r="V142" s="7"/>
    </row>
    <row r="143" spans="2:22" ht="18" customHeight="1">
      <c r="B143" s="195"/>
      <c r="C143" s="195"/>
      <c r="E143" s="7"/>
      <c r="V143" s="7"/>
    </row>
    <row r="144" spans="2:22" ht="18" customHeight="1">
      <c r="B144" s="195"/>
      <c r="C144" s="195"/>
      <c r="E144" s="7"/>
      <c r="V144" s="7"/>
    </row>
    <row r="145" spans="2:22" ht="18" customHeight="1" thickBot="1">
      <c r="B145" s="195"/>
      <c r="C145" s="195"/>
      <c r="E145" s="7"/>
      <c r="F145" s="6" t="s">
        <v>660</v>
      </c>
      <c r="V145" s="7"/>
    </row>
    <row r="146" spans="2:22" ht="31.5" thickTop="1" thickBot="1">
      <c r="B146" s="195"/>
      <c r="C146" s="195"/>
      <c r="E146" s="7"/>
      <c r="G146" s="397" t="s">
        <v>643</v>
      </c>
      <c r="H146" s="397"/>
      <c r="I146" s="397"/>
      <c r="J146" s="397"/>
      <c r="K146" s="397"/>
      <c r="L146" s="398"/>
      <c r="M146" s="50" t="s">
        <v>155</v>
      </c>
      <c r="N146" s="50" t="s">
        <v>156</v>
      </c>
      <c r="O146" s="50" t="s">
        <v>157</v>
      </c>
      <c r="P146" s="50" t="s">
        <v>158</v>
      </c>
      <c r="Q146" s="51" t="s">
        <v>90</v>
      </c>
      <c r="V146" s="7"/>
    </row>
    <row r="147" spans="2:22" ht="18" customHeight="1" thickTop="1">
      <c r="B147" s="355" t="str">
        <f>HYPERLINK("#LAYOUT_e4!lay초YFUR2A01","YFUR2A01")</f>
        <v>YFUR2A01</v>
      </c>
      <c r="C147" s="355"/>
      <c r="E147" s="7"/>
      <c r="G147" s="366" t="s">
        <v>661</v>
      </c>
      <c r="H147" s="366"/>
      <c r="I147" s="366"/>
      <c r="J147" s="366"/>
      <c r="K147" s="366"/>
      <c r="L147" s="367"/>
      <c r="M147" s="31" t="s">
        <v>591</v>
      </c>
      <c r="N147" s="31" t="s">
        <v>592</v>
      </c>
      <c r="O147" s="31" t="s">
        <v>593</v>
      </c>
      <c r="P147" s="31" t="s">
        <v>594</v>
      </c>
      <c r="Q147" s="32" t="s">
        <v>662</v>
      </c>
      <c r="V147" s="7"/>
    </row>
    <row r="148" spans="2:22" ht="18" customHeight="1">
      <c r="B148" s="355" t="str">
        <f>HYPERLINK("#LAYOUT_e4!lay초YFUR2A02","YFUR2A02")</f>
        <v>YFUR2A02</v>
      </c>
      <c r="C148" s="355"/>
      <c r="E148" s="7"/>
      <c r="G148" s="362" t="s">
        <v>663</v>
      </c>
      <c r="H148" s="362"/>
      <c r="I148" s="362"/>
      <c r="J148" s="362"/>
      <c r="K148" s="362"/>
      <c r="L148" s="363"/>
      <c r="M148" s="22" t="s">
        <v>591</v>
      </c>
      <c r="N148" s="22" t="s">
        <v>592</v>
      </c>
      <c r="O148" s="22" t="s">
        <v>593</v>
      </c>
      <c r="P148" s="22" t="s">
        <v>594</v>
      </c>
      <c r="Q148" s="24" t="s">
        <v>662</v>
      </c>
      <c r="V148" s="7"/>
    </row>
    <row r="149" spans="2:22" ht="18" customHeight="1">
      <c r="B149" s="355" t="str">
        <f>HYPERLINK("#LAYOUT_e4!lay초YFUR2A03","YFUR2A03")</f>
        <v>YFUR2A03</v>
      </c>
      <c r="C149" s="355"/>
      <c r="E149" s="7"/>
      <c r="G149" s="362" t="s">
        <v>1590</v>
      </c>
      <c r="H149" s="362"/>
      <c r="I149" s="362"/>
      <c r="J149" s="362"/>
      <c r="K149" s="362"/>
      <c r="L149" s="363"/>
      <c r="M149" s="22" t="s">
        <v>591</v>
      </c>
      <c r="N149" s="22" t="s">
        <v>592</v>
      </c>
      <c r="O149" s="22" t="s">
        <v>593</v>
      </c>
      <c r="P149" s="22" t="s">
        <v>594</v>
      </c>
      <c r="Q149" s="24" t="s">
        <v>662</v>
      </c>
      <c r="V149" s="7"/>
    </row>
    <row r="150" spans="2:22" ht="18" customHeight="1">
      <c r="B150" s="355" t="str">
        <f>HYPERLINK("#LAYOUT_e4!lay초YFUR2A04","YFUR2A04")</f>
        <v>YFUR2A04</v>
      </c>
      <c r="C150" s="355"/>
      <c r="E150" s="7"/>
      <c r="G150" s="362" t="s">
        <v>1591</v>
      </c>
      <c r="H150" s="362"/>
      <c r="I150" s="362"/>
      <c r="J150" s="362"/>
      <c r="K150" s="362"/>
      <c r="L150" s="363"/>
      <c r="M150" s="22" t="s">
        <v>591</v>
      </c>
      <c r="N150" s="22" t="s">
        <v>592</v>
      </c>
      <c r="O150" s="22" t="s">
        <v>593</v>
      </c>
      <c r="P150" s="22" t="s">
        <v>594</v>
      </c>
      <c r="Q150" s="24" t="s">
        <v>662</v>
      </c>
      <c r="V150" s="7"/>
    </row>
    <row r="151" spans="2:22" ht="18" customHeight="1">
      <c r="B151" s="355" t="str">
        <f>HYPERLINK("#LAYOUT_e4!lay초YFUR2A05","YFUR2A05")</f>
        <v>YFUR2A05</v>
      </c>
      <c r="C151" s="355"/>
      <c r="E151" s="7"/>
      <c r="G151" s="362" t="s">
        <v>664</v>
      </c>
      <c r="H151" s="362"/>
      <c r="I151" s="362"/>
      <c r="J151" s="362"/>
      <c r="K151" s="362"/>
      <c r="L151" s="363"/>
      <c r="M151" s="22" t="s">
        <v>591</v>
      </c>
      <c r="N151" s="22" t="s">
        <v>592</v>
      </c>
      <c r="O151" s="22" t="s">
        <v>593</v>
      </c>
      <c r="P151" s="22" t="s">
        <v>594</v>
      </c>
      <c r="Q151" s="24" t="s">
        <v>662</v>
      </c>
      <c r="V151" s="7"/>
    </row>
    <row r="152" spans="2:22" ht="18" customHeight="1">
      <c r="B152" s="355" t="str">
        <f>HYPERLINK("#LAYOUT_e4!lay초YFUR2A06","YFUR2A06")</f>
        <v>YFUR2A06</v>
      </c>
      <c r="C152" s="355"/>
      <c r="E152" s="7"/>
      <c r="G152" s="362" t="s">
        <v>665</v>
      </c>
      <c r="H152" s="362"/>
      <c r="I152" s="362"/>
      <c r="J152" s="362"/>
      <c r="K152" s="362"/>
      <c r="L152" s="363"/>
      <c r="M152" s="22" t="s">
        <v>591</v>
      </c>
      <c r="N152" s="22" t="s">
        <v>592</v>
      </c>
      <c r="O152" s="22" t="s">
        <v>593</v>
      </c>
      <c r="P152" s="22" t="s">
        <v>594</v>
      </c>
      <c r="Q152" s="24" t="s">
        <v>662</v>
      </c>
      <c r="V152" s="7"/>
    </row>
    <row r="153" spans="2:22" ht="18" customHeight="1">
      <c r="B153" s="355" t="str">
        <f>HYPERLINK("#LAYOUT_e4!lay초YFUR2A07","YFUR2A07")</f>
        <v>YFUR2A07</v>
      </c>
      <c r="C153" s="355"/>
      <c r="E153" s="7"/>
      <c r="G153" s="362" t="s">
        <v>666</v>
      </c>
      <c r="H153" s="362"/>
      <c r="I153" s="362"/>
      <c r="J153" s="362"/>
      <c r="K153" s="362"/>
      <c r="L153" s="363"/>
      <c r="M153" s="22" t="s">
        <v>591</v>
      </c>
      <c r="N153" s="22" t="s">
        <v>592</v>
      </c>
      <c r="O153" s="22" t="s">
        <v>593</v>
      </c>
      <c r="P153" s="22" t="s">
        <v>594</v>
      </c>
      <c r="Q153" s="24" t="s">
        <v>662</v>
      </c>
      <c r="V153" s="7"/>
    </row>
    <row r="154" spans="2:22" ht="18" customHeight="1">
      <c r="B154" s="195" t="str">
        <f>HYPERLINK("#LAYOUT_e4!lay초YFUR2A08","YFUR2A08")</f>
        <v>YFUR2A08</v>
      </c>
      <c r="C154" s="195" t="str">
        <f>HYPERLINK("#LAYOUT_e4!lay초YFUR2A08_T","YFUR2A08_T")</f>
        <v>YFUR2A08_T</v>
      </c>
      <c r="E154" s="7"/>
      <c r="G154" s="362" t="s">
        <v>1592</v>
      </c>
      <c r="H154" s="362"/>
      <c r="I154" s="362"/>
      <c r="J154" s="362"/>
      <c r="K154" s="362"/>
      <c r="L154" s="363"/>
      <c r="M154" s="22" t="s">
        <v>591</v>
      </c>
      <c r="N154" s="22" t="s">
        <v>592</v>
      </c>
      <c r="O154" s="22" t="s">
        <v>593</v>
      </c>
      <c r="P154" s="22" t="s">
        <v>594</v>
      </c>
      <c r="Q154" s="24" t="s">
        <v>662</v>
      </c>
      <c r="V154" s="7"/>
    </row>
    <row r="155" spans="2:22" ht="18" customHeight="1">
      <c r="B155" s="195"/>
      <c r="C155" s="195"/>
      <c r="E155" s="7"/>
      <c r="V155" s="7"/>
    </row>
    <row r="156" spans="2:22" ht="18" customHeight="1">
      <c r="B156" s="195"/>
      <c r="C156" s="195"/>
      <c r="E156" s="7"/>
      <c r="V156" s="7"/>
    </row>
    <row r="157" spans="2:22" ht="18" customHeight="1" thickBot="1">
      <c r="B157" s="195"/>
      <c r="C157" s="195"/>
      <c r="E157" s="7"/>
      <c r="F157" s="6" t="s">
        <v>667</v>
      </c>
      <c r="V157" s="7"/>
    </row>
    <row r="158" spans="2:22" ht="31.5" thickTop="1" thickBot="1">
      <c r="B158" s="195"/>
      <c r="C158" s="195"/>
      <c r="E158" s="7"/>
      <c r="G158" s="397" t="s">
        <v>643</v>
      </c>
      <c r="H158" s="397"/>
      <c r="I158" s="397"/>
      <c r="J158" s="397"/>
      <c r="K158" s="397"/>
      <c r="L158" s="398"/>
      <c r="M158" s="9" t="s">
        <v>622</v>
      </c>
      <c r="N158" s="9" t="s">
        <v>623</v>
      </c>
      <c r="O158" s="9" t="s">
        <v>107</v>
      </c>
      <c r="P158" s="10" t="s">
        <v>108</v>
      </c>
      <c r="V158" s="7"/>
    </row>
    <row r="159" spans="2:22" ht="18" customHeight="1" thickTop="1">
      <c r="B159" s="355" t="str">
        <f>HYPERLINK("#LAYOUT_e4!lay초YPSY1A01","YPSY1A01")</f>
        <v>YPSY1A01</v>
      </c>
      <c r="C159" s="355"/>
      <c r="E159" s="7"/>
      <c r="G159" s="366" t="s">
        <v>668</v>
      </c>
      <c r="H159" s="366"/>
      <c r="I159" s="366"/>
      <c r="J159" s="366"/>
      <c r="K159" s="366"/>
      <c r="L159" s="367"/>
      <c r="M159" s="20" t="s">
        <v>591</v>
      </c>
      <c r="N159" s="20" t="s">
        <v>592</v>
      </c>
      <c r="O159" s="20" t="s">
        <v>593</v>
      </c>
      <c r="P159" s="25" t="s">
        <v>594</v>
      </c>
      <c r="V159" s="7"/>
    </row>
    <row r="160" spans="2:22" ht="18" customHeight="1">
      <c r="B160" s="355" t="str">
        <f>HYPERLINK("#LAYOUT_e4!lay초YPSY1A02","YPSY1A02")</f>
        <v>YPSY1A02</v>
      </c>
      <c r="C160" s="355"/>
      <c r="E160" s="7"/>
      <c r="G160" s="362" t="s">
        <v>669</v>
      </c>
      <c r="H160" s="362"/>
      <c r="I160" s="362"/>
      <c r="J160" s="362"/>
      <c r="K160" s="362"/>
      <c r="L160" s="363"/>
      <c r="M160" s="22" t="s">
        <v>591</v>
      </c>
      <c r="N160" s="22" t="s">
        <v>592</v>
      </c>
      <c r="O160" s="22" t="s">
        <v>593</v>
      </c>
      <c r="P160" s="24" t="s">
        <v>594</v>
      </c>
      <c r="V160" s="7"/>
    </row>
    <row r="161" spans="2:22" ht="18" customHeight="1">
      <c r="B161" s="355" t="str">
        <f>HYPERLINK("#LAYOUT_e4!lay초YPSY1A03","YPSY1A03")</f>
        <v>YPSY1A03</v>
      </c>
      <c r="C161" s="355"/>
      <c r="E161" s="7"/>
      <c r="G161" s="362" t="s">
        <v>670</v>
      </c>
      <c r="H161" s="362"/>
      <c r="I161" s="362"/>
      <c r="J161" s="362"/>
      <c r="K161" s="362"/>
      <c r="L161" s="363"/>
      <c r="M161" s="22" t="s">
        <v>591</v>
      </c>
      <c r="N161" s="22" t="s">
        <v>592</v>
      </c>
      <c r="O161" s="22" t="s">
        <v>593</v>
      </c>
      <c r="P161" s="24" t="s">
        <v>594</v>
      </c>
      <c r="V161" s="7"/>
    </row>
    <row r="162" spans="2:22" ht="18" customHeight="1">
      <c r="B162" s="355" t="str">
        <f>HYPERLINK("#LAYOUT_e4!lay초YPSY1A04","YPSY1A04")</f>
        <v>YPSY1A04</v>
      </c>
      <c r="C162" s="355"/>
      <c r="E162" s="7"/>
      <c r="G162" s="362" t="s">
        <v>671</v>
      </c>
      <c r="H162" s="362"/>
      <c r="I162" s="362"/>
      <c r="J162" s="362"/>
      <c r="K162" s="362"/>
      <c r="L162" s="363"/>
      <c r="M162" s="22" t="s">
        <v>591</v>
      </c>
      <c r="N162" s="22" t="s">
        <v>592</v>
      </c>
      <c r="O162" s="22" t="s">
        <v>593</v>
      </c>
      <c r="P162" s="24" t="s">
        <v>594</v>
      </c>
      <c r="V162" s="7"/>
    </row>
    <row r="163" spans="2:22" ht="18" customHeight="1">
      <c r="B163" s="355" t="str">
        <f>HYPERLINK("#LAYOUT_e4!lay초YPSY1A05","YPSY1A05")</f>
        <v>YPSY1A05</v>
      </c>
      <c r="C163" s="355"/>
      <c r="E163" s="7"/>
      <c r="G163" s="362" t="s">
        <v>672</v>
      </c>
      <c r="H163" s="362"/>
      <c r="I163" s="362"/>
      <c r="J163" s="362"/>
      <c r="K163" s="362"/>
      <c r="L163" s="363"/>
      <c r="M163" s="22" t="s">
        <v>591</v>
      </c>
      <c r="N163" s="22" t="s">
        <v>592</v>
      </c>
      <c r="O163" s="22" t="s">
        <v>593</v>
      </c>
      <c r="P163" s="24" t="s">
        <v>594</v>
      </c>
      <c r="V163" s="7"/>
    </row>
    <row r="164" spans="2:22" ht="18" customHeight="1">
      <c r="B164" s="195"/>
      <c r="C164" s="195"/>
      <c r="E164" s="7"/>
      <c r="V164" s="7"/>
    </row>
    <row r="165" spans="2:22" ht="18" customHeight="1">
      <c r="B165" s="195"/>
      <c r="C165" s="195"/>
      <c r="E165" s="7"/>
      <c r="V165" s="7"/>
    </row>
    <row r="166" spans="2:22" ht="18" customHeight="1" thickBot="1">
      <c r="B166" s="195"/>
      <c r="C166" s="195"/>
      <c r="E166" s="7"/>
      <c r="F166" s="6" t="s">
        <v>673</v>
      </c>
      <c r="V166" s="7"/>
    </row>
    <row r="167" spans="2:22" ht="31.5" thickTop="1" thickBot="1">
      <c r="B167" s="195"/>
      <c r="C167" s="195"/>
      <c r="E167" s="7"/>
      <c r="G167" s="397" t="s">
        <v>574</v>
      </c>
      <c r="H167" s="397"/>
      <c r="I167" s="397"/>
      <c r="J167" s="397"/>
      <c r="K167" s="397"/>
      <c r="L167" s="398"/>
      <c r="M167" s="9" t="s">
        <v>674</v>
      </c>
      <c r="N167" s="9" t="s">
        <v>675</v>
      </c>
      <c r="O167" s="9" t="s">
        <v>676</v>
      </c>
      <c r="P167" s="10" t="s">
        <v>677</v>
      </c>
      <c r="V167" s="7"/>
    </row>
    <row r="168" spans="2:22" ht="18" customHeight="1" thickTop="1">
      <c r="B168" s="355" t="str">
        <f>HYPERLINK("#LAYOUT_e4!lay초YPSY2A01","YPSY2A01")</f>
        <v>YPSY2A01</v>
      </c>
      <c r="C168" s="355"/>
      <c r="E168" s="7"/>
      <c r="G168" s="366" t="s">
        <v>678</v>
      </c>
      <c r="H168" s="366"/>
      <c r="I168" s="366"/>
      <c r="J168" s="366"/>
      <c r="K168" s="366"/>
      <c r="L168" s="367"/>
      <c r="M168" s="20" t="s">
        <v>591</v>
      </c>
      <c r="N168" s="20" t="s">
        <v>592</v>
      </c>
      <c r="O168" s="20" t="s">
        <v>593</v>
      </c>
      <c r="P168" s="25" t="s">
        <v>594</v>
      </c>
      <c r="V168" s="7"/>
    </row>
    <row r="169" spans="2:22" ht="18" customHeight="1">
      <c r="B169" s="355" t="str">
        <f>HYPERLINK("#LAYOUT_e4!lay초YPSY2A02","YPSY2A02")</f>
        <v>YPSY2A02</v>
      </c>
      <c r="C169" s="355"/>
      <c r="E169" s="7"/>
      <c r="G169" s="366" t="s">
        <v>679</v>
      </c>
      <c r="H169" s="366"/>
      <c r="I169" s="366"/>
      <c r="J169" s="366"/>
      <c r="K169" s="366"/>
      <c r="L169" s="367"/>
      <c r="M169" s="31" t="s">
        <v>591</v>
      </c>
      <c r="N169" s="31" t="s">
        <v>592</v>
      </c>
      <c r="O169" s="31" t="s">
        <v>593</v>
      </c>
      <c r="P169" s="32" t="s">
        <v>594</v>
      </c>
      <c r="V169" s="7"/>
    </row>
    <row r="170" spans="2:22" ht="18" customHeight="1">
      <c r="B170" s="195"/>
      <c r="C170" s="195"/>
      <c r="E170" s="7"/>
      <c r="V170" s="7"/>
    </row>
    <row r="171" spans="2:22" ht="18" customHeight="1">
      <c r="B171" s="195"/>
      <c r="C171" s="195"/>
      <c r="E171" s="7"/>
      <c r="V171" s="7"/>
    </row>
    <row r="172" spans="2:22" ht="18" customHeight="1" thickBot="1">
      <c r="B172" s="195"/>
      <c r="C172" s="195"/>
      <c r="E172" s="7"/>
      <c r="F172" s="6" t="s">
        <v>680</v>
      </c>
      <c r="V172" s="7"/>
    </row>
    <row r="173" spans="2:22" ht="31.5" thickTop="1" thickBot="1">
      <c r="B173" s="195"/>
      <c r="C173" s="195"/>
      <c r="E173" s="7"/>
      <c r="G173" s="397" t="s">
        <v>643</v>
      </c>
      <c r="H173" s="397"/>
      <c r="I173" s="397"/>
      <c r="J173" s="397"/>
      <c r="K173" s="397"/>
      <c r="L173" s="398"/>
      <c r="M173" s="9" t="s">
        <v>622</v>
      </c>
      <c r="N173" s="9" t="s">
        <v>623</v>
      </c>
      <c r="O173" s="9" t="s">
        <v>107</v>
      </c>
      <c r="P173" s="10" t="s">
        <v>108</v>
      </c>
      <c r="V173" s="7"/>
    </row>
    <row r="174" spans="2:22" ht="31.5" customHeight="1" thickTop="1">
      <c r="B174" s="355" t="str">
        <f>HYPERLINK("#LAYOUT_e4!lay초YPSY2A03","YPSY2A03")</f>
        <v>YPSY2A03</v>
      </c>
      <c r="C174" s="355"/>
      <c r="E174" s="7"/>
      <c r="G174" s="366" t="s">
        <v>681</v>
      </c>
      <c r="H174" s="366"/>
      <c r="I174" s="366"/>
      <c r="J174" s="366"/>
      <c r="K174" s="366"/>
      <c r="L174" s="367"/>
      <c r="M174" s="20" t="s">
        <v>591</v>
      </c>
      <c r="N174" s="20" t="s">
        <v>592</v>
      </c>
      <c r="O174" s="20" t="s">
        <v>593</v>
      </c>
      <c r="P174" s="25" t="s">
        <v>594</v>
      </c>
      <c r="V174" s="7"/>
    </row>
    <row r="175" spans="2:22" ht="31.5" customHeight="1">
      <c r="B175" s="355" t="str">
        <f>HYPERLINK("#LAYOUT_e4!lay초YPSY2A04","YPSY2A04")</f>
        <v>YPSY2A04</v>
      </c>
      <c r="C175" s="355"/>
      <c r="E175" s="7"/>
      <c r="G175" s="366" t="s">
        <v>682</v>
      </c>
      <c r="H175" s="366"/>
      <c r="I175" s="366"/>
      <c r="J175" s="366"/>
      <c r="K175" s="366"/>
      <c r="L175" s="367"/>
      <c r="M175" s="31" t="s">
        <v>591</v>
      </c>
      <c r="N175" s="31" t="s">
        <v>592</v>
      </c>
      <c r="O175" s="31" t="s">
        <v>593</v>
      </c>
      <c r="P175" s="32" t="s">
        <v>594</v>
      </c>
      <c r="V175" s="7"/>
    </row>
    <row r="176" spans="2:22" ht="18" customHeight="1">
      <c r="B176" s="195"/>
      <c r="C176" s="195"/>
      <c r="E176" s="7"/>
      <c r="V176" s="7"/>
    </row>
    <row r="177" spans="2:22" ht="18" customHeight="1">
      <c r="B177" s="195"/>
      <c r="C177" s="195"/>
      <c r="E177" s="7"/>
      <c r="V177" s="7"/>
    </row>
    <row r="178" spans="2:22" ht="18" customHeight="1" thickBot="1">
      <c r="B178" s="195"/>
      <c r="C178" s="195"/>
      <c r="E178" s="7"/>
      <c r="F178" s="6" t="s">
        <v>683</v>
      </c>
      <c r="V178" s="7"/>
    </row>
    <row r="179" spans="2:22" ht="31.5" thickTop="1" thickBot="1">
      <c r="B179" s="195"/>
      <c r="C179" s="195"/>
      <c r="E179" s="7"/>
      <c r="G179" s="397" t="s">
        <v>643</v>
      </c>
      <c r="H179" s="397"/>
      <c r="I179" s="397"/>
      <c r="J179" s="397"/>
      <c r="K179" s="397"/>
      <c r="L179" s="398"/>
      <c r="M179" s="9" t="s">
        <v>622</v>
      </c>
      <c r="N179" s="9" t="s">
        <v>623</v>
      </c>
      <c r="O179" s="9" t="s">
        <v>107</v>
      </c>
      <c r="P179" s="10" t="s">
        <v>108</v>
      </c>
      <c r="V179" s="7"/>
    </row>
    <row r="180" spans="2:22" ht="18" customHeight="1" thickTop="1">
      <c r="B180" s="355" t="str">
        <f>HYPERLINK("#LAYOUT_e4!lay초YPSY3A01","YPSY3A01")</f>
        <v>YPSY3A01</v>
      </c>
      <c r="C180" s="355"/>
      <c r="E180" s="7"/>
      <c r="G180" s="366" t="s">
        <v>684</v>
      </c>
      <c r="H180" s="366"/>
      <c r="I180" s="366"/>
      <c r="J180" s="366"/>
      <c r="K180" s="366"/>
      <c r="L180" s="367"/>
      <c r="M180" s="20" t="s">
        <v>591</v>
      </c>
      <c r="N180" s="20" t="s">
        <v>592</v>
      </c>
      <c r="O180" s="20" t="s">
        <v>593</v>
      </c>
      <c r="P180" s="25" t="s">
        <v>594</v>
      </c>
      <c r="V180" s="7"/>
    </row>
    <row r="181" spans="2:22" ht="18" customHeight="1">
      <c r="B181" s="355" t="str">
        <f>HYPERLINK("#LAYOUT_e4!lay초YPSY3A02","YPSY3A02")</f>
        <v>YPSY3A02</v>
      </c>
      <c r="C181" s="355"/>
      <c r="E181" s="7"/>
      <c r="G181" s="366" t="s">
        <v>685</v>
      </c>
      <c r="H181" s="366"/>
      <c r="I181" s="366"/>
      <c r="J181" s="366"/>
      <c r="K181" s="366"/>
      <c r="L181" s="367"/>
      <c r="M181" s="22" t="s">
        <v>591</v>
      </c>
      <c r="N181" s="22" t="s">
        <v>592</v>
      </c>
      <c r="O181" s="22" t="s">
        <v>593</v>
      </c>
      <c r="P181" s="24" t="s">
        <v>594</v>
      </c>
      <c r="V181" s="7"/>
    </row>
    <row r="182" spans="2:22" ht="18" customHeight="1">
      <c r="B182" s="355" t="str">
        <f>HYPERLINK("#LAYOUT_e4!lay초YPSY3A03","YPSY3A03")</f>
        <v>YPSY3A03</v>
      </c>
      <c r="C182" s="355"/>
      <c r="E182" s="7"/>
      <c r="G182" s="366" t="s">
        <v>686</v>
      </c>
      <c r="H182" s="366"/>
      <c r="I182" s="366"/>
      <c r="J182" s="366"/>
      <c r="K182" s="366"/>
      <c r="L182" s="367"/>
      <c r="M182" s="22" t="s">
        <v>591</v>
      </c>
      <c r="N182" s="22" t="s">
        <v>592</v>
      </c>
      <c r="O182" s="22" t="s">
        <v>593</v>
      </c>
      <c r="P182" s="24" t="s">
        <v>594</v>
      </c>
      <c r="V182" s="7"/>
    </row>
    <row r="183" spans="2:22" ht="18" customHeight="1">
      <c r="B183" s="355" t="str">
        <f>HYPERLINK("#LAYOUT_e4!lay초YPSY3A04","YPSY3A04")</f>
        <v>YPSY3A04</v>
      </c>
      <c r="C183" s="355"/>
      <c r="E183" s="7"/>
      <c r="G183" s="366" t="s">
        <v>687</v>
      </c>
      <c r="H183" s="366"/>
      <c r="I183" s="366"/>
      <c r="J183" s="366"/>
      <c r="K183" s="366"/>
      <c r="L183" s="367"/>
      <c r="M183" s="22" t="s">
        <v>591</v>
      </c>
      <c r="N183" s="22" t="s">
        <v>592</v>
      </c>
      <c r="O183" s="22" t="s">
        <v>593</v>
      </c>
      <c r="P183" s="24" t="s">
        <v>594</v>
      </c>
      <c r="V183" s="7"/>
    </row>
    <row r="184" spans="2:22" ht="18" customHeight="1">
      <c r="B184" s="355" t="str">
        <f>HYPERLINK("#LAYOUT_e4!lay초YPSY3A05","YPSY3A05")</f>
        <v>YPSY3A05</v>
      </c>
      <c r="C184" s="355"/>
      <c r="E184" s="7"/>
      <c r="G184" s="366" t="s">
        <v>688</v>
      </c>
      <c r="H184" s="366"/>
      <c r="I184" s="366"/>
      <c r="J184" s="366"/>
      <c r="K184" s="366"/>
      <c r="L184" s="367"/>
      <c r="M184" s="22" t="s">
        <v>591</v>
      </c>
      <c r="N184" s="22" t="s">
        <v>592</v>
      </c>
      <c r="O184" s="22" t="s">
        <v>593</v>
      </c>
      <c r="P184" s="24" t="s">
        <v>594</v>
      </c>
      <c r="V184" s="7"/>
    </row>
    <row r="185" spans="2:22" ht="18" customHeight="1">
      <c r="B185" s="355" t="str">
        <f>HYPERLINK("#LAYOUT_e4!lay초YPSY3A06","YPSY3A06")</f>
        <v>YPSY3A06</v>
      </c>
      <c r="C185" s="355"/>
      <c r="E185" s="7"/>
      <c r="G185" s="366" t="s">
        <v>689</v>
      </c>
      <c r="H185" s="366"/>
      <c r="I185" s="366"/>
      <c r="J185" s="366"/>
      <c r="K185" s="366"/>
      <c r="L185" s="367"/>
      <c r="M185" s="22" t="s">
        <v>591</v>
      </c>
      <c r="N185" s="22" t="s">
        <v>592</v>
      </c>
      <c r="O185" s="22" t="s">
        <v>593</v>
      </c>
      <c r="P185" s="24" t="s">
        <v>594</v>
      </c>
      <c r="V185" s="7"/>
    </row>
    <row r="186" spans="2:22" ht="18" customHeight="1">
      <c r="B186" s="355" t="str">
        <f>HYPERLINK("#LAYOUT_e4!lay초YPSY3A07","YPSY3A07")</f>
        <v>YPSY3A07</v>
      </c>
      <c r="C186" s="355"/>
      <c r="E186" s="7"/>
      <c r="G186" s="366" t="s">
        <v>690</v>
      </c>
      <c r="H186" s="366"/>
      <c r="I186" s="366"/>
      <c r="J186" s="366"/>
      <c r="K186" s="366"/>
      <c r="L186" s="367"/>
      <c r="M186" s="22" t="s">
        <v>591</v>
      </c>
      <c r="N186" s="22" t="s">
        <v>592</v>
      </c>
      <c r="O186" s="22" t="s">
        <v>593</v>
      </c>
      <c r="P186" s="24" t="s">
        <v>594</v>
      </c>
      <c r="V186" s="7"/>
    </row>
    <row r="187" spans="2:22" ht="18" customHeight="1">
      <c r="B187" s="355" t="str">
        <f>HYPERLINK("#LAYOUT_e4!lay초YPSY3A08","YPSY3A08")</f>
        <v>YPSY3A08</v>
      </c>
      <c r="C187" s="355"/>
      <c r="E187" s="7"/>
      <c r="G187" s="366" t="s">
        <v>691</v>
      </c>
      <c r="H187" s="366"/>
      <c r="I187" s="366"/>
      <c r="J187" s="366"/>
      <c r="K187" s="366"/>
      <c r="L187" s="367"/>
      <c r="M187" s="22" t="s">
        <v>591</v>
      </c>
      <c r="N187" s="22" t="s">
        <v>592</v>
      </c>
      <c r="O187" s="22" t="s">
        <v>593</v>
      </c>
      <c r="P187" s="24" t="s">
        <v>594</v>
      </c>
      <c r="V187" s="7"/>
    </row>
    <row r="188" spans="2:22" ht="18" customHeight="1">
      <c r="B188" s="355" t="str">
        <f>HYPERLINK("#LAYOUT_e4!lay초YPSY3A09","YPSY3A09")</f>
        <v>YPSY3A09</v>
      </c>
      <c r="C188" s="355"/>
      <c r="E188" s="7"/>
      <c r="G188" s="366" t="s">
        <v>692</v>
      </c>
      <c r="H188" s="366"/>
      <c r="I188" s="366"/>
      <c r="J188" s="366"/>
      <c r="K188" s="366"/>
      <c r="L188" s="367"/>
      <c r="M188" s="22" t="s">
        <v>591</v>
      </c>
      <c r="N188" s="22" t="s">
        <v>592</v>
      </c>
      <c r="O188" s="22" t="s">
        <v>593</v>
      </c>
      <c r="P188" s="24" t="s">
        <v>594</v>
      </c>
      <c r="V188" s="7"/>
    </row>
    <row r="189" spans="2:22" ht="18" customHeight="1">
      <c r="B189" s="355" t="str">
        <f>HYPERLINK("#LAYOUT_e4!lay초YPSY3A10","YPSY3A10")</f>
        <v>YPSY3A10</v>
      </c>
      <c r="C189" s="355"/>
      <c r="E189" s="7"/>
      <c r="G189" s="366" t="s">
        <v>693</v>
      </c>
      <c r="H189" s="366"/>
      <c r="I189" s="366"/>
      <c r="J189" s="366"/>
      <c r="K189" s="366"/>
      <c r="L189" s="367"/>
      <c r="M189" s="22" t="s">
        <v>591</v>
      </c>
      <c r="N189" s="22" t="s">
        <v>592</v>
      </c>
      <c r="O189" s="22" t="s">
        <v>593</v>
      </c>
      <c r="P189" s="24" t="s">
        <v>594</v>
      </c>
      <c r="V189" s="7"/>
    </row>
    <row r="190" spans="2:22" ht="18" customHeight="1">
      <c r="B190" s="195"/>
      <c r="C190" s="195"/>
      <c r="E190" s="7"/>
      <c r="V190" s="7"/>
    </row>
    <row r="191" spans="2:22" ht="18" customHeight="1">
      <c r="B191" s="195"/>
      <c r="C191" s="195"/>
      <c r="E191" s="7"/>
      <c r="V191" s="7"/>
    </row>
    <row r="192" spans="2:22" ht="18" customHeight="1" thickBot="1">
      <c r="B192" s="195"/>
      <c r="C192" s="195"/>
      <c r="E192" s="7"/>
      <c r="F192" s="6" t="s">
        <v>694</v>
      </c>
      <c r="V192" s="7"/>
    </row>
    <row r="193" spans="2:22" ht="31.5" thickTop="1" thickBot="1">
      <c r="B193" s="195"/>
      <c r="C193" s="195"/>
      <c r="E193" s="7"/>
      <c r="G193" s="397" t="s">
        <v>643</v>
      </c>
      <c r="H193" s="397"/>
      <c r="I193" s="397"/>
      <c r="J193" s="397"/>
      <c r="K193" s="397"/>
      <c r="L193" s="398"/>
      <c r="M193" s="9" t="s">
        <v>622</v>
      </c>
      <c r="N193" s="9" t="s">
        <v>623</v>
      </c>
      <c r="O193" s="9" t="s">
        <v>107</v>
      </c>
      <c r="P193" s="10" t="s">
        <v>108</v>
      </c>
      <c r="V193" s="7"/>
    </row>
    <row r="194" spans="2:22" ht="18" customHeight="1" thickTop="1">
      <c r="B194" s="355" t="str">
        <f>HYPERLINK("#LAYOUT_e4!lay초YPSY4A01","YPSY4A01")</f>
        <v>YPSY4A01</v>
      </c>
      <c r="C194" s="355"/>
      <c r="E194" s="7"/>
      <c r="G194" s="366" t="s">
        <v>695</v>
      </c>
      <c r="H194" s="366"/>
      <c r="I194" s="366"/>
      <c r="J194" s="366"/>
      <c r="K194" s="366"/>
      <c r="L194" s="367"/>
      <c r="M194" s="20" t="s">
        <v>591</v>
      </c>
      <c r="N194" s="20" t="s">
        <v>592</v>
      </c>
      <c r="O194" s="20" t="s">
        <v>593</v>
      </c>
      <c r="P194" s="25" t="s">
        <v>594</v>
      </c>
      <c r="V194" s="7"/>
    </row>
    <row r="195" spans="2:22" ht="18" customHeight="1">
      <c r="B195" s="355" t="str">
        <f>HYPERLINK("#LAYOUT_e4!lay초YPSY4A02","YPSY4A02")</f>
        <v>YPSY4A02</v>
      </c>
      <c r="C195" s="355"/>
      <c r="E195" s="7"/>
      <c r="G195" s="366" t="s">
        <v>696</v>
      </c>
      <c r="H195" s="366"/>
      <c r="I195" s="366"/>
      <c r="J195" s="366"/>
      <c r="K195" s="366"/>
      <c r="L195" s="367"/>
      <c r="M195" s="22" t="s">
        <v>591</v>
      </c>
      <c r="N195" s="22" t="s">
        <v>592</v>
      </c>
      <c r="O195" s="22" t="s">
        <v>593</v>
      </c>
      <c r="P195" s="24" t="s">
        <v>594</v>
      </c>
      <c r="V195" s="7"/>
    </row>
    <row r="196" spans="2:22" ht="18" customHeight="1">
      <c r="B196" s="355" t="str">
        <f>HYPERLINK("#LAYOUT_e4!lay초YPSY4A03","YPSY4A03")</f>
        <v>YPSY4A03</v>
      </c>
      <c r="C196" s="355"/>
      <c r="E196" s="7"/>
      <c r="G196" s="366" t="s">
        <v>697</v>
      </c>
      <c r="H196" s="366"/>
      <c r="I196" s="366"/>
      <c r="J196" s="366"/>
      <c r="K196" s="366"/>
      <c r="L196" s="367"/>
      <c r="M196" s="22" t="s">
        <v>591</v>
      </c>
      <c r="N196" s="22" t="s">
        <v>592</v>
      </c>
      <c r="O196" s="22" t="s">
        <v>593</v>
      </c>
      <c r="P196" s="24" t="s">
        <v>594</v>
      </c>
      <c r="V196" s="7"/>
    </row>
    <row r="197" spans="2:22" ht="18" customHeight="1">
      <c r="B197" s="355" t="str">
        <f>HYPERLINK("#LAYOUT_e4!lay초YPSY4A04","YPSY4A04")</f>
        <v>YPSY4A04</v>
      </c>
      <c r="C197" s="355"/>
      <c r="E197" s="7"/>
      <c r="G197" s="366" t="s">
        <v>698</v>
      </c>
      <c r="H197" s="366"/>
      <c r="I197" s="366"/>
      <c r="J197" s="366"/>
      <c r="K197" s="366"/>
      <c r="L197" s="367"/>
      <c r="M197" s="22" t="s">
        <v>591</v>
      </c>
      <c r="N197" s="22" t="s">
        <v>592</v>
      </c>
      <c r="O197" s="22" t="s">
        <v>593</v>
      </c>
      <c r="P197" s="24" t="s">
        <v>594</v>
      </c>
      <c r="V197" s="7"/>
    </row>
    <row r="198" spans="2:22" ht="18" customHeight="1">
      <c r="B198" s="355" t="str">
        <f>HYPERLINK("#LAYOUT_e4!lay초YPSY4A05","YPSY4A05")</f>
        <v>YPSY4A05</v>
      </c>
      <c r="C198" s="355"/>
      <c r="E198" s="7"/>
      <c r="G198" s="366" t="s">
        <v>699</v>
      </c>
      <c r="H198" s="366"/>
      <c r="I198" s="366"/>
      <c r="J198" s="366"/>
      <c r="K198" s="366"/>
      <c r="L198" s="367"/>
      <c r="M198" s="22" t="s">
        <v>591</v>
      </c>
      <c r="N198" s="22" t="s">
        <v>592</v>
      </c>
      <c r="O198" s="22" t="s">
        <v>593</v>
      </c>
      <c r="P198" s="24" t="s">
        <v>594</v>
      </c>
      <c r="V198" s="7"/>
    </row>
    <row r="199" spans="2:22" ht="18" customHeight="1">
      <c r="B199" s="355" t="str">
        <f>HYPERLINK("#LAYOUT_e4!lay초YPSY4A06","YPSY4A06")</f>
        <v>YPSY4A06</v>
      </c>
      <c r="C199" s="355"/>
      <c r="E199" s="7"/>
      <c r="G199" s="366" t="s">
        <v>700</v>
      </c>
      <c r="H199" s="366"/>
      <c r="I199" s="366"/>
      <c r="J199" s="366"/>
      <c r="K199" s="366"/>
      <c r="L199" s="367"/>
      <c r="M199" s="22" t="s">
        <v>591</v>
      </c>
      <c r="N199" s="22" t="s">
        <v>592</v>
      </c>
      <c r="O199" s="22" t="s">
        <v>593</v>
      </c>
      <c r="P199" s="24" t="s">
        <v>594</v>
      </c>
      <c r="V199" s="7"/>
    </row>
    <row r="200" spans="2:22" ht="18" customHeight="1">
      <c r="B200" s="355" t="str">
        <f>HYPERLINK("#LAYOUT_e4!lay초YPSY4A07","YPSY4A07")</f>
        <v>YPSY4A07</v>
      </c>
      <c r="C200" s="355"/>
      <c r="E200" s="7"/>
      <c r="G200" s="366" t="s">
        <v>701</v>
      </c>
      <c r="H200" s="366"/>
      <c r="I200" s="366"/>
      <c r="J200" s="366"/>
      <c r="K200" s="366"/>
      <c r="L200" s="367"/>
      <c r="M200" s="22" t="s">
        <v>591</v>
      </c>
      <c r="N200" s="22" t="s">
        <v>592</v>
      </c>
      <c r="O200" s="22" t="s">
        <v>593</v>
      </c>
      <c r="P200" s="24" t="s">
        <v>594</v>
      </c>
      <c r="V200" s="7"/>
    </row>
    <row r="201" spans="2:22" ht="18" customHeight="1">
      <c r="B201" s="355" t="str">
        <f>HYPERLINK("#LAYOUT_e4!lay초YPSY4B01","YPSY4B01")</f>
        <v>YPSY4B01</v>
      </c>
      <c r="C201" s="355"/>
      <c r="E201" s="7"/>
      <c r="G201" s="366" t="s">
        <v>702</v>
      </c>
      <c r="H201" s="366"/>
      <c r="I201" s="366"/>
      <c r="J201" s="366"/>
      <c r="K201" s="366"/>
      <c r="L201" s="367"/>
      <c r="M201" s="22" t="s">
        <v>591</v>
      </c>
      <c r="N201" s="22" t="s">
        <v>592</v>
      </c>
      <c r="O201" s="22" t="s">
        <v>593</v>
      </c>
      <c r="P201" s="24" t="s">
        <v>594</v>
      </c>
      <c r="V201" s="7"/>
    </row>
    <row r="202" spans="2:22" ht="18" customHeight="1">
      <c r="B202" s="355" t="str">
        <f>HYPERLINK("#LAYOUT_e4!lay초YPSY4B02","YPSY4B02")</f>
        <v>YPSY4B02</v>
      </c>
      <c r="C202" s="355"/>
      <c r="E202" s="7"/>
      <c r="G202" s="366" t="s">
        <v>703</v>
      </c>
      <c r="H202" s="366"/>
      <c r="I202" s="366"/>
      <c r="J202" s="366"/>
      <c r="K202" s="366"/>
      <c r="L202" s="367"/>
      <c r="M202" s="22" t="s">
        <v>591</v>
      </c>
      <c r="N202" s="22" t="s">
        <v>592</v>
      </c>
      <c r="O202" s="22" t="s">
        <v>593</v>
      </c>
      <c r="P202" s="24" t="s">
        <v>594</v>
      </c>
      <c r="V202" s="7"/>
    </row>
    <row r="203" spans="2:22" ht="18" customHeight="1">
      <c r="B203" s="355" t="str">
        <f>HYPERLINK("#LAYOUT_e4!lay초YPSY4B03","YPSY4B03")</f>
        <v>YPSY4B03</v>
      </c>
      <c r="C203" s="355"/>
      <c r="E203" s="7"/>
      <c r="G203" s="366" t="s">
        <v>704</v>
      </c>
      <c r="H203" s="366"/>
      <c r="I203" s="366"/>
      <c r="J203" s="366"/>
      <c r="K203" s="366"/>
      <c r="L203" s="367"/>
      <c r="M203" s="22" t="s">
        <v>591</v>
      </c>
      <c r="N203" s="22" t="s">
        <v>592</v>
      </c>
      <c r="O203" s="22" t="s">
        <v>593</v>
      </c>
      <c r="P203" s="24" t="s">
        <v>594</v>
      </c>
      <c r="V203" s="7"/>
    </row>
    <row r="204" spans="2:22" ht="18" customHeight="1">
      <c r="B204" s="355" t="str">
        <f>HYPERLINK("#LAYOUT_e4!lay초YPSY4B04","YPSY4B04")</f>
        <v>YPSY4B04</v>
      </c>
      <c r="C204" s="355"/>
      <c r="E204" s="7"/>
      <c r="G204" s="366" t="s">
        <v>705</v>
      </c>
      <c r="H204" s="366"/>
      <c r="I204" s="366"/>
      <c r="J204" s="366"/>
      <c r="K204" s="366"/>
      <c r="L204" s="367"/>
      <c r="M204" s="22" t="s">
        <v>591</v>
      </c>
      <c r="N204" s="22" t="s">
        <v>592</v>
      </c>
      <c r="O204" s="22" t="s">
        <v>593</v>
      </c>
      <c r="P204" s="24" t="s">
        <v>594</v>
      </c>
      <c r="V204" s="7"/>
    </row>
    <row r="205" spans="2:22" ht="18" customHeight="1">
      <c r="B205" s="355" t="str">
        <f>HYPERLINK("#LAYOUT_e4!lay초YPSY4B05","YPSY4B05")</f>
        <v>YPSY4B05</v>
      </c>
      <c r="C205" s="355"/>
      <c r="E205" s="7"/>
      <c r="G205" s="366" t="s">
        <v>706</v>
      </c>
      <c r="H205" s="366"/>
      <c r="I205" s="366"/>
      <c r="J205" s="366"/>
      <c r="K205" s="366"/>
      <c r="L205" s="367"/>
      <c r="M205" s="22" t="s">
        <v>591</v>
      </c>
      <c r="N205" s="22" t="s">
        <v>592</v>
      </c>
      <c r="O205" s="22" t="s">
        <v>593</v>
      </c>
      <c r="P205" s="24" t="s">
        <v>594</v>
      </c>
      <c r="V205" s="7"/>
    </row>
    <row r="206" spans="2:22" ht="18" customHeight="1">
      <c r="B206" s="355" t="str">
        <f>HYPERLINK("#LAYOUT_e4!lay초YPSY4B06","YPSY4B06")</f>
        <v>YPSY4B06</v>
      </c>
      <c r="C206" s="355"/>
      <c r="E206" s="7"/>
      <c r="G206" s="366" t="s">
        <v>707</v>
      </c>
      <c r="H206" s="366"/>
      <c r="I206" s="366"/>
      <c r="J206" s="366"/>
      <c r="K206" s="366"/>
      <c r="L206" s="367"/>
      <c r="M206" s="22" t="s">
        <v>591</v>
      </c>
      <c r="N206" s="22" t="s">
        <v>592</v>
      </c>
      <c r="O206" s="22" t="s">
        <v>593</v>
      </c>
      <c r="P206" s="24" t="s">
        <v>594</v>
      </c>
      <c r="V206" s="7"/>
    </row>
    <row r="207" spans="2:22" ht="18" customHeight="1">
      <c r="B207" s="355" t="str">
        <f>HYPERLINK("#LAYOUT_e4!lay초YPSY4C01","YPSY4C01")</f>
        <v>YPSY4C01</v>
      </c>
      <c r="C207" s="355"/>
      <c r="E207" s="7"/>
      <c r="G207" s="366" t="s">
        <v>708</v>
      </c>
      <c r="H207" s="366"/>
      <c r="I207" s="366"/>
      <c r="J207" s="366"/>
      <c r="K207" s="366"/>
      <c r="L207" s="367"/>
      <c r="M207" s="22" t="s">
        <v>591</v>
      </c>
      <c r="N207" s="22" t="s">
        <v>592</v>
      </c>
      <c r="O207" s="22" t="s">
        <v>593</v>
      </c>
      <c r="P207" s="24" t="s">
        <v>594</v>
      </c>
      <c r="V207" s="7"/>
    </row>
    <row r="208" spans="2:22" ht="18" customHeight="1">
      <c r="B208" s="355" t="str">
        <f>HYPERLINK("#LAYOUT_e4!lay초YPSY4C02","YPSY4C02")</f>
        <v>YPSY4C02</v>
      </c>
      <c r="C208" s="355"/>
      <c r="E208" s="7"/>
      <c r="G208" s="366" t="s">
        <v>709</v>
      </c>
      <c r="H208" s="366"/>
      <c r="I208" s="366"/>
      <c r="J208" s="366"/>
      <c r="K208" s="366"/>
      <c r="L208" s="367"/>
      <c r="M208" s="22" t="s">
        <v>591</v>
      </c>
      <c r="N208" s="22" t="s">
        <v>592</v>
      </c>
      <c r="O208" s="22" t="s">
        <v>593</v>
      </c>
      <c r="P208" s="24" t="s">
        <v>594</v>
      </c>
      <c r="V208" s="7"/>
    </row>
    <row r="209" spans="2:22" ht="18" customHeight="1">
      <c r="B209" s="355" t="str">
        <f>HYPERLINK("#LAYOUT_e4!lay초YPSY4C03","YPSY4C03")</f>
        <v>YPSY4C03</v>
      </c>
      <c r="C209" s="355"/>
      <c r="E209" s="7"/>
      <c r="G209" s="366" t="s">
        <v>710</v>
      </c>
      <c r="H209" s="366"/>
      <c r="I209" s="366"/>
      <c r="J209" s="366"/>
      <c r="K209" s="366"/>
      <c r="L209" s="367"/>
      <c r="M209" s="22" t="s">
        <v>591</v>
      </c>
      <c r="N209" s="22" t="s">
        <v>592</v>
      </c>
      <c r="O209" s="22" t="s">
        <v>593</v>
      </c>
      <c r="P209" s="24" t="s">
        <v>594</v>
      </c>
      <c r="V209" s="7"/>
    </row>
    <row r="210" spans="2:22" ht="18" customHeight="1">
      <c r="B210" s="355" t="str">
        <f>HYPERLINK("#LAYOUT_e4!lay초YPSY4C04","YPSY4C04")</f>
        <v>YPSY4C04</v>
      </c>
      <c r="C210" s="355"/>
      <c r="E210" s="7"/>
      <c r="G210" s="366" t="s">
        <v>711</v>
      </c>
      <c r="H210" s="366"/>
      <c r="I210" s="366"/>
      <c r="J210" s="366"/>
      <c r="K210" s="366"/>
      <c r="L210" s="367"/>
      <c r="M210" s="22" t="s">
        <v>591</v>
      </c>
      <c r="N210" s="22" t="s">
        <v>592</v>
      </c>
      <c r="O210" s="22" t="s">
        <v>593</v>
      </c>
      <c r="P210" s="24" t="s">
        <v>594</v>
      </c>
      <c r="V210" s="7"/>
    </row>
    <row r="211" spans="2:22" ht="18" customHeight="1">
      <c r="B211" s="355" t="str">
        <f>HYPERLINK("#LAYOUT_e4!lay초YPSY4C05","YPSY4C05")</f>
        <v>YPSY4C05</v>
      </c>
      <c r="C211" s="355"/>
      <c r="E211" s="7"/>
      <c r="G211" s="366" t="s">
        <v>712</v>
      </c>
      <c r="H211" s="366"/>
      <c r="I211" s="366"/>
      <c r="J211" s="366"/>
      <c r="K211" s="366"/>
      <c r="L211" s="367"/>
      <c r="M211" s="22" t="s">
        <v>591</v>
      </c>
      <c r="N211" s="22" t="s">
        <v>592</v>
      </c>
      <c r="O211" s="22" t="s">
        <v>593</v>
      </c>
      <c r="P211" s="24" t="s">
        <v>594</v>
      </c>
      <c r="V211" s="7"/>
    </row>
    <row r="212" spans="2:22" ht="18" customHeight="1">
      <c r="B212" s="355" t="str">
        <f>HYPERLINK("#LAYOUT_e4!lay초YPSY4C06","YPSY4C06")</f>
        <v>YPSY4C06</v>
      </c>
      <c r="C212" s="355"/>
      <c r="E212" s="7"/>
      <c r="G212" s="366" t="s">
        <v>713</v>
      </c>
      <c r="H212" s="366"/>
      <c r="I212" s="366"/>
      <c r="J212" s="366"/>
      <c r="K212" s="366"/>
      <c r="L212" s="367"/>
      <c r="M212" s="22" t="s">
        <v>591</v>
      </c>
      <c r="N212" s="22" t="s">
        <v>592</v>
      </c>
      <c r="O212" s="22" t="s">
        <v>593</v>
      </c>
      <c r="P212" s="24" t="s">
        <v>594</v>
      </c>
      <c r="V212" s="7"/>
    </row>
    <row r="213" spans="2:22" ht="18" customHeight="1">
      <c r="B213" s="355" t="str">
        <f>HYPERLINK("#LAYOUT_e4!lay초YPSY4C07","YPSY4C07")</f>
        <v>YPSY4C07</v>
      </c>
      <c r="C213" s="355"/>
      <c r="E213" s="7"/>
      <c r="G213" s="366" t="s">
        <v>714</v>
      </c>
      <c r="H213" s="366"/>
      <c r="I213" s="366"/>
      <c r="J213" s="366"/>
      <c r="K213" s="366"/>
      <c r="L213" s="367"/>
      <c r="M213" s="22" t="s">
        <v>591</v>
      </c>
      <c r="N213" s="22" t="s">
        <v>592</v>
      </c>
      <c r="O213" s="22" t="s">
        <v>593</v>
      </c>
      <c r="P213" s="24" t="s">
        <v>594</v>
      </c>
      <c r="V213" s="7"/>
    </row>
    <row r="214" spans="2:22" ht="18" customHeight="1">
      <c r="B214" s="355" t="str">
        <f>HYPERLINK("#LAYOUT_e4!lay초YPSY4C08","YPSY4C08")</f>
        <v>YPSY4C08</v>
      </c>
      <c r="C214" s="355"/>
      <c r="E214" s="7"/>
      <c r="G214" s="366" t="s">
        <v>715</v>
      </c>
      <c r="H214" s="366"/>
      <c r="I214" s="366"/>
      <c r="J214" s="366"/>
      <c r="K214" s="366"/>
      <c r="L214" s="367"/>
      <c r="M214" s="22" t="s">
        <v>591</v>
      </c>
      <c r="N214" s="22" t="s">
        <v>592</v>
      </c>
      <c r="O214" s="22" t="s">
        <v>593</v>
      </c>
      <c r="P214" s="24" t="s">
        <v>594</v>
      </c>
      <c r="V214" s="7"/>
    </row>
    <row r="215" spans="2:22" ht="18" customHeight="1">
      <c r="B215" s="355" t="str">
        <f>HYPERLINK("#LAYOUT_e4!lay초YPSY4D01","YPSY4D01")</f>
        <v>YPSY4D01</v>
      </c>
      <c r="C215" s="355"/>
      <c r="E215" s="7"/>
      <c r="G215" s="366" t="s">
        <v>716</v>
      </c>
      <c r="H215" s="366"/>
      <c r="I215" s="366"/>
      <c r="J215" s="366"/>
      <c r="K215" s="366"/>
      <c r="L215" s="367"/>
      <c r="M215" s="22" t="s">
        <v>591</v>
      </c>
      <c r="N215" s="22" t="s">
        <v>592</v>
      </c>
      <c r="O215" s="22" t="s">
        <v>593</v>
      </c>
      <c r="P215" s="24" t="s">
        <v>594</v>
      </c>
      <c r="V215" s="7"/>
    </row>
    <row r="216" spans="2:22" ht="18" customHeight="1">
      <c r="B216" s="355" t="str">
        <f>HYPERLINK("#LAYOUT_e4!lay초YPSY4D02","YPSY4D02")</f>
        <v>YPSY4D02</v>
      </c>
      <c r="C216" s="355"/>
      <c r="E216" s="7"/>
      <c r="G216" s="366" t="s">
        <v>717</v>
      </c>
      <c r="H216" s="366"/>
      <c r="I216" s="366"/>
      <c r="J216" s="366"/>
      <c r="K216" s="366"/>
      <c r="L216" s="367"/>
      <c r="M216" s="22" t="s">
        <v>591</v>
      </c>
      <c r="N216" s="22" t="s">
        <v>592</v>
      </c>
      <c r="O216" s="22" t="s">
        <v>593</v>
      </c>
      <c r="P216" s="24" t="s">
        <v>594</v>
      </c>
      <c r="V216" s="7"/>
    </row>
    <row r="217" spans="2:22" ht="18" customHeight="1">
      <c r="B217" s="355" t="str">
        <f>HYPERLINK("#LAYOUT_e4!lay초YPSY4D03","YPSY4D03")</f>
        <v>YPSY4D03</v>
      </c>
      <c r="C217" s="355"/>
      <c r="E217" s="7"/>
      <c r="G217" s="366" t="s">
        <v>718</v>
      </c>
      <c r="H217" s="366"/>
      <c r="I217" s="366"/>
      <c r="J217" s="366"/>
      <c r="K217" s="366"/>
      <c r="L217" s="367"/>
      <c r="M217" s="22" t="s">
        <v>591</v>
      </c>
      <c r="N217" s="22" t="s">
        <v>592</v>
      </c>
      <c r="O217" s="22" t="s">
        <v>593</v>
      </c>
      <c r="P217" s="24" t="s">
        <v>594</v>
      </c>
      <c r="V217" s="7"/>
    </row>
    <row r="218" spans="2:22" ht="18" customHeight="1">
      <c r="B218" s="355" t="str">
        <f>HYPERLINK("#LAYOUT_e4!lay초YPSY4D04","YPSY4D04")</f>
        <v>YPSY4D04</v>
      </c>
      <c r="C218" s="355"/>
      <c r="E218" s="7"/>
      <c r="G218" s="366" t="s">
        <v>719</v>
      </c>
      <c r="H218" s="366"/>
      <c r="I218" s="366"/>
      <c r="J218" s="366"/>
      <c r="K218" s="366"/>
      <c r="L218" s="367"/>
      <c r="M218" s="22" t="s">
        <v>591</v>
      </c>
      <c r="N218" s="22" t="s">
        <v>592</v>
      </c>
      <c r="O218" s="22" t="s">
        <v>593</v>
      </c>
      <c r="P218" s="24" t="s">
        <v>594</v>
      </c>
      <c r="V218" s="7"/>
    </row>
    <row r="219" spans="2:22" ht="18" customHeight="1">
      <c r="B219" s="355" t="str">
        <f>HYPERLINK("#LAYOUT_e4!lay초YPSY4D05","YPSY4D05")</f>
        <v>YPSY4D05</v>
      </c>
      <c r="C219" s="355"/>
      <c r="E219" s="7"/>
      <c r="G219" s="366" t="s">
        <v>720</v>
      </c>
      <c r="H219" s="366"/>
      <c r="I219" s="366"/>
      <c r="J219" s="366"/>
      <c r="K219" s="366"/>
      <c r="L219" s="367"/>
      <c r="M219" s="22" t="s">
        <v>591</v>
      </c>
      <c r="N219" s="22" t="s">
        <v>592</v>
      </c>
      <c r="O219" s="22" t="s">
        <v>593</v>
      </c>
      <c r="P219" s="24" t="s">
        <v>594</v>
      </c>
      <c r="V219" s="7"/>
    </row>
    <row r="220" spans="2:22" ht="18" customHeight="1">
      <c r="B220" s="355" t="str">
        <f>HYPERLINK("#LAYOUT_e4!lay초YPSY4E01","YPSY4E01")</f>
        <v>YPSY4E01</v>
      </c>
      <c r="C220" s="355"/>
      <c r="E220" s="7"/>
      <c r="G220" s="366" t="s">
        <v>721</v>
      </c>
      <c r="H220" s="366"/>
      <c r="I220" s="366"/>
      <c r="J220" s="366"/>
      <c r="K220" s="366"/>
      <c r="L220" s="367"/>
      <c r="M220" s="22" t="s">
        <v>591</v>
      </c>
      <c r="N220" s="22" t="s">
        <v>592</v>
      </c>
      <c r="O220" s="22" t="s">
        <v>593</v>
      </c>
      <c r="P220" s="24" t="s">
        <v>594</v>
      </c>
      <c r="V220" s="7"/>
    </row>
    <row r="221" spans="2:22" ht="18" customHeight="1">
      <c r="B221" s="355" t="str">
        <f>HYPERLINK("#LAYOUT_e4!lay초YPSY4E02","YPSY4E02")</f>
        <v>YPSY4E02</v>
      </c>
      <c r="C221" s="355"/>
      <c r="E221" s="7"/>
      <c r="G221" s="366" t="s">
        <v>722</v>
      </c>
      <c r="H221" s="366"/>
      <c r="I221" s="366"/>
      <c r="J221" s="366"/>
      <c r="K221" s="366"/>
      <c r="L221" s="367"/>
      <c r="M221" s="22" t="s">
        <v>591</v>
      </c>
      <c r="N221" s="22" t="s">
        <v>592</v>
      </c>
      <c r="O221" s="22" t="s">
        <v>593</v>
      </c>
      <c r="P221" s="24" t="s">
        <v>594</v>
      </c>
      <c r="V221" s="7"/>
    </row>
    <row r="222" spans="2:22" ht="18" customHeight="1">
      <c r="B222" s="355" t="str">
        <f>HYPERLINK("#LAYOUT_e4!lay초YPSY4E03","YPSY4E03")</f>
        <v>YPSY4E03</v>
      </c>
      <c r="C222" s="355"/>
      <c r="E222" s="7"/>
      <c r="G222" s="366" t="s">
        <v>723</v>
      </c>
      <c r="H222" s="366"/>
      <c r="I222" s="366"/>
      <c r="J222" s="366"/>
      <c r="K222" s="366"/>
      <c r="L222" s="367"/>
      <c r="M222" s="22" t="s">
        <v>591</v>
      </c>
      <c r="N222" s="22" t="s">
        <v>592</v>
      </c>
      <c r="O222" s="22" t="s">
        <v>593</v>
      </c>
      <c r="P222" s="24" t="s">
        <v>594</v>
      </c>
      <c r="V222" s="7"/>
    </row>
    <row r="223" spans="2:22" ht="18" customHeight="1">
      <c r="B223" s="355" t="str">
        <f>HYPERLINK("#LAYOUT_e4!lay초YPSY4E04","YPSY4E04")</f>
        <v>YPSY4E04</v>
      </c>
      <c r="C223" s="355"/>
      <c r="E223" s="7"/>
      <c r="G223" s="366" t="s">
        <v>724</v>
      </c>
      <c r="H223" s="366"/>
      <c r="I223" s="366"/>
      <c r="J223" s="366"/>
      <c r="K223" s="366"/>
      <c r="L223" s="367"/>
      <c r="M223" s="22" t="s">
        <v>591</v>
      </c>
      <c r="N223" s="22" t="s">
        <v>592</v>
      </c>
      <c r="O223" s="22" t="s">
        <v>593</v>
      </c>
      <c r="P223" s="24" t="s">
        <v>594</v>
      </c>
      <c r="V223" s="7"/>
    </row>
    <row r="224" spans="2:22" ht="18" customHeight="1">
      <c r="B224" s="355" t="str">
        <f>HYPERLINK("#LAYOUT_e4!lay초YPSY4E05","YPSY4E05")</f>
        <v>YPSY4E05</v>
      </c>
      <c r="C224" s="355"/>
      <c r="E224" s="7"/>
      <c r="G224" s="366" t="s">
        <v>725</v>
      </c>
      <c r="H224" s="366"/>
      <c r="I224" s="366"/>
      <c r="J224" s="366"/>
      <c r="K224" s="366"/>
      <c r="L224" s="367"/>
      <c r="M224" s="22" t="s">
        <v>591</v>
      </c>
      <c r="N224" s="22" t="s">
        <v>592</v>
      </c>
      <c r="O224" s="22" t="s">
        <v>593</v>
      </c>
      <c r="P224" s="24" t="s">
        <v>594</v>
      </c>
      <c r="V224" s="7"/>
    </row>
    <row r="225" spans="2:22" ht="18" customHeight="1">
      <c r="B225" s="355" t="str">
        <f>HYPERLINK("#LAYOUT_e4!lay초YPSY4E06","YPSY4E06")</f>
        <v>YPSY4E06</v>
      </c>
      <c r="C225" s="355"/>
      <c r="E225" s="7"/>
      <c r="G225" s="366" t="s">
        <v>726</v>
      </c>
      <c r="H225" s="366"/>
      <c r="I225" s="366"/>
      <c r="J225" s="366"/>
      <c r="K225" s="366"/>
      <c r="L225" s="367"/>
      <c r="M225" s="22" t="s">
        <v>591</v>
      </c>
      <c r="N225" s="22" t="s">
        <v>592</v>
      </c>
      <c r="O225" s="22" t="s">
        <v>593</v>
      </c>
      <c r="P225" s="24" t="s">
        <v>594</v>
      </c>
      <c r="V225" s="7"/>
    </row>
    <row r="226" spans="2:22" ht="18" customHeight="1">
      <c r="B226" s="355" t="str">
        <f>HYPERLINK("#LAYOUT_e4!lay초YPSY4E07","YPSY4E07")</f>
        <v>YPSY4E07</v>
      </c>
      <c r="C226" s="355"/>
      <c r="E226" s="7"/>
      <c r="G226" s="366" t="s">
        <v>727</v>
      </c>
      <c r="H226" s="366"/>
      <c r="I226" s="366"/>
      <c r="J226" s="366"/>
      <c r="K226" s="366"/>
      <c r="L226" s="367"/>
      <c r="M226" s="22" t="s">
        <v>591</v>
      </c>
      <c r="N226" s="22" t="s">
        <v>592</v>
      </c>
      <c r="O226" s="22" t="s">
        <v>593</v>
      </c>
      <c r="P226" s="24" t="s">
        <v>594</v>
      </c>
      <c r="V226" s="7"/>
    </row>
    <row r="227" spans="2:22" ht="18" customHeight="1">
      <c r="B227" s="355" t="str">
        <f>HYPERLINK("#LAYOUT_e4!lay초YPSY4E08","YPSY4E08")</f>
        <v>YPSY4E08</v>
      </c>
      <c r="C227" s="355"/>
      <c r="E227" s="7"/>
      <c r="G227" s="366" t="s">
        <v>728</v>
      </c>
      <c r="H227" s="366"/>
      <c r="I227" s="366"/>
      <c r="J227" s="366"/>
      <c r="K227" s="366"/>
      <c r="L227" s="367"/>
      <c r="M227" s="22" t="s">
        <v>591</v>
      </c>
      <c r="N227" s="22" t="s">
        <v>592</v>
      </c>
      <c r="O227" s="22" t="s">
        <v>593</v>
      </c>
      <c r="P227" s="24" t="s">
        <v>594</v>
      </c>
      <c r="V227" s="7"/>
    </row>
    <row r="228" spans="2:22" ht="18" customHeight="1">
      <c r="B228" s="355" t="str">
        <f>HYPERLINK("#LAYOUT_e4!lay초YPSY4E09","YPSY4E09")</f>
        <v>YPSY4E09</v>
      </c>
      <c r="C228" s="355"/>
      <c r="E228" s="7"/>
      <c r="G228" s="366" t="s">
        <v>729</v>
      </c>
      <c r="H228" s="366"/>
      <c r="I228" s="366"/>
      <c r="J228" s="366"/>
      <c r="K228" s="366"/>
      <c r="L228" s="367"/>
      <c r="M228" s="22" t="s">
        <v>591</v>
      </c>
      <c r="N228" s="22" t="s">
        <v>592</v>
      </c>
      <c r="O228" s="22" t="s">
        <v>593</v>
      </c>
      <c r="P228" s="24" t="s">
        <v>594</v>
      </c>
      <c r="V228" s="7"/>
    </row>
    <row r="229" spans="2:22" ht="18" customHeight="1">
      <c r="B229" s="355" t="str">
        <f>HYPERLINK("#LAYOUT_e4!lay초YPSY4E10","YPSY4E10")</f>
        <v>YPSY4E10</v>
      </c>
      <c r="C229" s="355"/>
      <c r="E229" s="7"/>
      <c r="G229" s="366" t="s">
        <v>730</v>
      </c>
      <c r="H229" s="366"/>
      <c r="I229" s="366"/>
      <c r="J229" s="366"/>
      <c r="K229" s="366"/>
      <c r="L229" s="367"/>
      <c r="M229" s="22" t="s">
        <v>591</v>
      </c>
      <c r="N229" s="22" t="s">
        <v>592</v>
      </c>
      <c r="O229" s="22" t="s">
        <v>593</v>
      </c>
      <c r="P229" s="24" t="s">
        <v>594</v>
      </c>
      <c r="V229" s="7"/>
    </row>
    <row r="230" spans="2:22" ht="18" customHeight="1">
      <c r="B230" s="195"/>
      <c r="C230" s="195"/>
      <c r="E230" s="7"/>
      <c r="V230" s="7"/>
    </row>
    <row r="231" spans="2:22" ht="18" customHeight="1">
      <c r="B231" s="195"/>
      <c r="C231" s="195"/>
      <c r="E231" s="7"/>
      <c r="V231" s="7"/>
    </row>
    <row r="232" spans="2:22" ht="18" customHeight="1" thickBot="1">
      <c r="B232" s="195"/>
      <c r="C232" s="195"/>
      <c r="E232" s="7"/>
      <c r="F232" s="6" t="s">
        <v>731</v>
      </c>
      <c r="V232" s="7"/>
    </row>
    <row r="233" spans="2:22" ht="31.5" thickTop="1" thickBot="1">
      <c r="B233" s="195"/>
      <c r="C233" s="195"/>
      <c r="E233" s="7"/>
      <c r="G233" s="397" t="s">
        <v>643</v>
      </c>
      <c r="H233" s="397"/>
      <c r="I233" s="397"/>
      <c r="J233" s="397"/>
      <c r="K233" s="397"/>
      <c r="L233" s="398"/>
      <c r="M233" s="9" t="s">
        <v>622</v>
      </c>
      <c r="N233" s="9" t="s">
        <v>623</v>
      </c>
      <c r="O233" s="9" t="s">
        <v>107</v>
      </c>
      <c r="P233" s="10" t="s">
        <v>108</v>
      </c>
      <c r="V233" s="7"/>
    </row>
    <row r="234" spans="2:22" ht="18" customHeight="1" thickTop="1">
      <c r="B234" s="355" t="str">
        <f>HYPERLINK("#LAYOUT_e4!lay초YPSY5A01","YPSY5A01")</f>
        <v>YPSY5A01</v>
      </c>
      <c r="C234" s="355"/>
      <c r="E234" s="7"/>
      <c r="G234" s="366" t="s">
        <v>732</v>
      </c>
      <c r="H234" s="366"/>
      <c r="I234" s="366"/>
      <c r="J234" s="366"/>
      <c r="K234" s="366"/>
      <c r="L234" s="367"/>
      <c r="M234" s="20" t="s">
        <v>591</v>
      </c>
      <c r="N234" s="20" t="s">
        <v>592</v>
      </c>
      <c r="O234" s="20" t="s">
        <v>593</v>
      </c>
      <c r="P234" s="25" t="s">
        <v>594</v>
      </c>
      <c r="V234" s="7"/>
    </row>
    <row r="235" spans="2:22" ht="18" customHeight="1">
      <c r="B235" s="355" t="str">
        <f>HYPERLINK("#LAYOUT_e4!lay초YPSY5A02","YPSY5A02")</f>
        <v>YPSY5A02</v>
      </c>
      <c r="C235" s="355"/>
      <c r="E235" s="7"/>
      <c r="G235" s="366" t="s">
        <v>733</v>
      </c>
      <c r="H235" s="366"/>
      <c r="I235" s="366"/>
      <c r="J235" s="366"/>
      <c r="K235" s="366"/>
      <c r="L235" s="367"/>
      <c r="M235" s="22" t="s">
        <v>591</v>
      </c>
      <c r="N235" s="22" t="s">
        <v>592</v>
      </c>
      <c r="O235" s="22" t="s">
        <v>593</v>
      </c>
      <c r="P235" s="24" t="s">
        <v>594</v>
      </c>
      <c r="V235" s="7"/>
    </row>
    <row r="236" spans="2:22" ht="18" customHeight="1">
      <c r="B236" s="355" t="str">
        <f>HYPERLINK("#LAYOUT_e4!lay초YPSY5A03","YPSY5A03")</f>
        <v>YPSY5A03</v>
      </c>
      <c r="C236" s="355"/>
      <c r="E236" s="7"/>
      <c r="G236" s="366" t="s">
        <v>734</v>
      </c>
      <c r="H236" s="366"/>
      <c r="I236" s="366"/>
      <c r="J236" s="366"/>
      <c r="K236" s="366"/>
      <c r="L236" s="367"/>
      <c r="M236" s="22" t="s">
        <v>591</v>
      </c>
      <c r="N236" s="22" t="s">
        <v>592</v>
      </c>
      <c r="O236" s="22" t="s">
        <v>593</v>
      </c>
      <c r="P236" s="24" t="s">
        <v>594</v>
      </c>
      <c r="V236" s="7"/>
    </row>
    <row r="237" spans="2:22" ht="18" customHeight="1">
      <c r="B237" s="355" t="str">
        <f>HYPERLINK("#LAYOUT_e4!lay초YPSY5A04","YPSY5A04")</f>
        <v>YPSY5A04</v>
      </c>
      <c r="C237" s="355"/>
      <c r="E237" s="7"/>
      <c r="G237" s="366" t="s">
        <v>735</v>
      </c>
      <c r="H237" s="366"/>
      <c r="I237" s="366"/>
      <c r="J237" s="366"/>
      <c r="K237" s="366"/>
      <c r="L237" s="367"/>
      <c r="M237" s="22" t="s">
        <v>591</v>
      </c>
      <c r="N237" s="22" t="s">
        <v>592</v>
      </c>
      <c r="O237" s="22" t="s">
        <v>593</v>
      </c>
      <c r="P237" s="24" t="s">
        <v>594</v>
      </c>
      <c r="V237" s="7"/>
    </row>
    <row r="238" spans="2:22" ht="18" customHeight="1">
      <c r="B238" s="355" t="str">
        <f>HYPERLINK("#LAYOUT_e4!lay초YPSY5A05","YPSY5A05")</f>
        <v>YPSY5A05</v>
      </c>
      <c r="C238" s="355"/>
      <c r="E238" s="7"/>
      <c r="G238" s="366" t="s">
        <v>736</v>
      </c>
      <c r="H238" s="366"/>
      <c r="I238" s="366"/>
      <c r="J238" s="366"/>
      <c r="K238" s="366"/>
      <c r="L238" s="367"/>
      <c r="M238" s="22" t="s">
        <v>591</v>
      </c>
      <c r="N238" s="22" t="s">
        <v>592</v>
      </c>
      <c r="O238" s="22" t="s">
        <v>593</v>
      </c>
      <c r="P238" s="24" t="s">
        <v>594</v>
      </c>
      <c r="V238" s="7"/>
    </row>
    <row r="239" spans="2:22" ht="18" customHeight="1">
      <c r="B239" s="355" t="str">
        <f>HYPERLINK("#LAYOUT_e4!lay초YPSY5A06","YPSY5A06")</f>
        <v>YPSY5A06</v>
      </c>
      <c r="C239" s="355"/>
      <c r="E239" s="7"/>
      <c r="G239" s="366" t="s">
        <v>737</v>
      </c>
      <c r="H239" s="366"/>
      <c r="I239" s="366"/>
      <c r="J239" s="366"/>
      <c r="K239" s="366"/>
      <c r="L239" s="367"/>
      <c r="M239" s="22" t="s">
        <v>591</v>
      </c>
      <c r="N239" s="22" t="s">
        <v>592</v>
      </c>
      <c r="O239" s="22" t="s">
        <v>593</v>
      </c>
      <c r="P239" s="24" t="s">
        <v>594</v>
      </c>
      <c r="V239" s="7"/>
    </row>
    <row r="240" spans="2:22" ht="18" customHeight="1">
      <c r="B240" s="355" t="str">
        <f>HYPERLINK("#LAYOUT_e4!lay초YPSY5A07","YPSY5A07")</f>
        <v>YPSY5A07</v>
      </c>
      <c r="C240" s="355"/>
      <c r="E240" s="7"/>
      <c r="G240" s="366" t="s">
        <v>738</v>
      </c>
      <c r="H240" s="366"/>
      <c r="I240" s="366"/>
      <c r="J240" s="366"/>
      <c r="K240" s="366"/>
      <c r="L240" s="367"/>
      <c r="M240" s="22" t="s">
        <v>591</v>
      </c>
      <c r="N240" s="22" t="s">
        <v>592</v>
      </c>
      <c r="O240" s="22" t="s">
        <v>593</v>
      </c>
      <c r="P240" s="24" t="s">
        <v>594</v>
      </c>
      <c r="V240" s="7"/>
    </row>
    <row r="241" spans="2:22" ht="18" customHeight="1">
      <c r="B241" s="355" t="str">
        <f>HYPERLINK("#LAYOUT_e4!lay초YPSY5A08","YPSY5A08")</f>
        <v>YPSY5A08</v>
      </c>
      <c r="C241" s="355"/>
      <c r="E241" s="7"/>
      <c r="G241" s="366" t="s">
        <v>739</v>
      </c>
      <c r="H241" s="366"/>
      <c r="I241" s="366"/>
      <c r="J241" s="366"/>
      <c r="K241" s="366"/>
      <c r="L241" s="367"/>
      <c r="M241" s="22" t="s">
        <v>591</v>
      </c>
      <c r="N241" s="22" t="s">
        <v>592</v>
      </c>
      <c r="O241" s="22" t="s">
        <v>593</v>
      </c>
      <c r="P241" s="24" t="s">
        <v>594</v>
      </c>
      <c r="V241" s="7"/>
    </row>
    <row r="242" spans="2:22" ht="18" customHeight="1">
      <c r="B242" s="355" t="str">
        <f>HYPERLINK("#LAYOUT_e4!lay초YPSY5A09","YPSY5A09")</f>
        <v>YPSY5A09</v>
      </c>
      <c r="C242" s="355"/>
      <c r="E242" s="7"/>
      <c r="G242" s="366" t="s">
        <v>740</v>
      </c>
      <c r="H242" s="366"/>
      <c r="I242" s="366"/>
      <c r="J242" s="366"/>
      <c r="K242" s="366"/>
      <c r="L242" s="367"/>
      <c r="M242" s="22" t="s">
        <v>591</v>
      </c>
      <c r="N242" s="22" t="s">
        <v>592</v>
      </c>
      <c r="O242" s="22" t="s">
        <v>593</v>
      </c>
      <c r="P242" s="24" t="s">
        <v>594</v>
      </c>
      <c r="V242" s="7"/>
    </row>
    <row r="243" spans="2:22" ht="18" customHeight="1">
      <c r="B243" s="355" t="str">
        <f>HYPERLINK("#LAYOUT_e4!lay초YPSY5A10","YPSY5A10")</f>
        <v>YPSY5A10</v>
      </c>
      <c r="C243" s="355"/>
      <c r="E243" s="7"/>
      <c r="G243" s="366" t="s">
        <v>741</v>
      </c>
      <c r="H243" s="366"/>
      <c r="I243" s="366"/>
      <c r="J243" s="366"/>
      <c r="K243" s="366"/>
      <c r="L243" s="367"/>
      <c r="M243" s="22" t="s">
        <v>591</v>
      </c>
      <c r="N243" s="22" t="s">
        <v>592</v>
      </c>
      <c r="O243" s="22" t="s">
        <v>593</v>
      </c>
      <c r="P243" s="24" t="s">
        <v>594</v>
      </c>
      <c r="V243" s="7"/>
    </row>
    <row r="244" spans="2:22" ht="18" customHeight="1">
      <c r="B244" s="355" t="str">
        <f>HYPERLINK("#LAYOUT_e4!lay초YPSY5A11","YPSY5A11")</f>
        <v>YPSY5A11</v>
      </c>
      <c r="C244" s="355"/>
      <c r="E244" s="7"/>
      <c r="G244" s="366" t="s">
        <v>742</v>
      </c>
      <c r="H244" s="366"/>
      <c r="I244" s="366"/>
      <c r="J244" s="366"/>
      <c r="K244" s="366"/>
      <c r="L244" s="367"/>
      <c r="M244" s="22" t="s">
        <v>591</v>
      </c>
      <c r="N244" s="22" t="s">
        <v>592</v>
      </c>
      <c r="O244" s="22" t="s">
        <v>593</v>
      </c>
      <c r="P244" s="24" t="s">
        <v>594</v>
      </c>
      <c r="V244" s="7"/>
    </row>
    <row r="245" spans="2:22" ht="18" customHeight="1">
      <c r="B245" s="355" t="str">
        <f>HYPERLINK("#LAYOUT_e4!lay초YPSY5A12","YPSY5A12")</f>
        <v>YPSY5A12</v>
      </c>
      <c r="C245" s="355"/>
      <c r="E245" s="7"/>
      <c r="G245" s="366" t="s">
        <v>743</v>
      </c>
      <c r="H245" s="366"/>
      <c r="I245" s="366"/>
      <c r="J245" s="366"/>
      <c r="K245" s="366"/>
      <c r="L245" s="367"/>
      <c r="M245" s="22" t="s">
        <v>591</v>
      </c>
      <c r="N245" s="22" t="s">
        <v>592</v>
      </c>
      <c r="O245" s="22" t="s">
        <v>593</v>
      </c>
      <c r="P245" s="24" t="s">
        <v>594</v>
      </c>
      <c r="V245" s="7"/>
    </row>
    <row r="246" spans="2:22" ht="18" customHeight="1">
      <c r="B246" s="355" t="str">
        <f>HYPERLINK("#LAYOUT_e4!lay초YPSY5A13","YPSY5A13")</f>
        <v>YPSY5A13</v>
      </c>
      <c r="C246" s="355"/>
      <c r="E246" s="7"/>
      <c r="G246" s="366" t="s">
        <v>744</v>
      </c>
      <c r="H246" s="366"/>
      <c r="I246" s="366"/>
      <c r="J246" s="366"/>
      <c r="K246" s="366"/>
      <c r="L246" s="367"/>
      <c r="M246" s="22" t="s">
        <v>591</v>
      </c>
      <c r="N246" s="22" t="s">
        <v>592</v>
      </c>
      <c r="O246" s="22" t="s">
        <v>593</v>
      </c>
      <c r="P246" s="24" t="s">
        <v>594</v>
      </c>
      <c r="V246" s="7"/>
    </row>
    <row r="247" spans="2:22" ht="18" customHeight="1">
      <c r="B247" s="355" t="str">
        <f>HYPERLINK("#LAYOUT_e4!lay초YPSY5A14","YPSY5A14")</f>
        <v>YPSY5A14</v>
      </c>
      <c r="C247" s="355"/>
      <c r="E247" s="7"/>
      <c r="G247" s="366" t="s">
        <v>745</v>
      </c>
      <c r="H247" s="366"/>
      <c r="I247" s="366"/>
      <c r="J247" s="366"/>
      <c r="K247" s="366"/>
      <c r="L247" s="367"/>
      <c r="M247" s="22" t="s">
        <v>591</v>
      </c>
      <c r="N247" s="22" t="s">
        <v>592</v>
      </c>
      <c r="O247" s="22" t="s">
        <v>593</v>
      </c>
      <c r="P247" s="24" t="s">
        <v>594</v>
      </c>
      <c r="V247" s="7"/>
    </row>
    <row r="248" spans="2:22" ht="18" customHeight="1">
      <c r="B248" s="195"/>
      <c r="C248" s="195"/>
      <c r="E248" s="7"/>
      <c r="V248" s="7"/>
    </row>
    <row r="249" spans="2:22" ht="18" customHeight="1">
      <c r="B249" s="195"/>
      <c r="C249" s="195"/>
      <c r="E249" s="7"/>
      <c r="V249" s="7"/>
    </row>
    <row r="250" spans="2:22" ht="18" customHeight="1" thickBot="1">
      <c r="B250" s="195"/>
      <c r="C250" s="195"/>
      <c r="E250" s="7"/>
      <c r="F250" s="6" t="s">
        <v>746</v>
      </c>
      <c r="V250" s="7"/>
    </row>
    <row r="251" spans="2:22" ht="31.5" thickTop="1" thickBot="1">
      <c r="B251" s="195"/>
      <c r="C251" s="195"/>
      <c r="E251" s="7"/>
      <c r="G251" s="397" t="s">
        <v>643</v>
      </c>
      <c r="H251" s="397"/>
      <c r="I251" s="397"/>
      <c r="J251" s="397"/>
      <c r="K251" s="397"/>
      <c r="L251" s="398"/>
      <c r="M251" s="9" t="s">
        <v>622</v>
      </c>
      <c r="N251" s="9" t="s">
        <v>623</v>
      </c>
      <c r="O251" s="9" t="s">
        <v>107</v>
      </c>
      <c r="P251" s="10" t="s">
        <v>108</v>
      </c>
      <c r="V251" s="7"/>
    </row>
    <row r="252" spans="2:22" ht="18" customHeight="1" thickTop="1">
      <c r="B252" s="355" t="str">
        <f>HYPERLINK("#LAYOUT_e4!lay초YPSY7A01","YPSY7A01")</f>
        <v>YPSY7A01</v>
      </c>
      <c r="C252" s="355"/>
      <c r="E252" s="7"/>
      <c r="G252" s="366" t="s">
        <v>747</v>
      </c>
      <c r="H252" s="366"/>
      <c r="I252" s="366"/>
      <c r="J252" s="366"/>
      <c r="K252" s="366"/>
      <c r="L252" s="367"/>
      <c r="M252" s="20" t="s">
        <v>591</v>
      </c>
      <c r="N252" s="20" t="s">
        <v>592</v>
      </c>
      <c r="O252" s="20" t="s">
        <v>593</v>
      </c>
      <c r="P252" s="25" t="s">
        <v>594</v>
      </c>
      <c r="V252" s="7"/>
    </row>
    <row r="253" spans="2:22" ht="31.5" customHeight="1">
      <c r="B253" s="355" t="str">
        <f>HYPERLINK("#LAYOUT_e4!lay초YPSY7A02","YPSY7A02")</f>
        <v>YPSY7A02</v>
      </c>
      <c r="C253" s="355"/>
      <c r="E253" s="7"/>
      <c r="G253" s="366" t="s">
        <v>748</v>
      </c>
      <c r="H253" s="366"/>
      <c r="I253" s="366"/>
      <c r="J253" s="366"/>
      <c r="K253" s="366"/>
      <c r="L253" s="367"/>
      <c r="M253" s="22" t="s">
        <v>591</v>
      </c>
      <c r="N253" s="22" t="s">
        <v>592</v>
      </c>
      <c r="O253" s="22" t="s">
        <v>593</v>
      </c>
      <c r="P253" s="24" t="s">
        <v>594</v>
      </c>
      <c r="V253" s="7"/>
    </row>
    <row r="254" spans="2:22" ht="18" customHeight="1">
      <c r="B254" s="355" t="str">
        <f>HYPERLINK("#LAYOUT_e4!lay초YPSY7A03","YPSY7A03")</f>
        <v>YPSY7A03</v>
      </c>
      <c r="C254" s="355"/>
      <c r="E254" s="7"/>
      <c r="G254" s="366" t="s">
        <v>749</v>
      </c>
      <c r="H254" s="366"/>
      <c r="I254" s="366"/>
      <c r="J254" s="366"/>
      <c r="K254" s="366"/>
      <c r="L254" s="367"/>
      <c r="M254" s="22" t="s">
        <v>591</v>
      </c>
      <c r="N254" s="22" t="s">
        <v>592</v>
      </c>
      <c r="O254" s="22" t="s">
        <v>593</v>
      </c>
      <c r="P254" s="24" t="s">
        <v>594</v>
      </c>
      <c r="V254" s="7"/>
    </row>
    <row r="255" spans="2:22" ht="18" customHeight="1">
      <c r="B255" s="355" t="str">
        <f>HYPERLINK("#LAYOUT_e4!lay초YPSY7A04","YPSY7A04")</f>
        <v>YPSY7A04</v>
      </c>
      <c r="C255" s="355"/>
      <c r="E255" s="7"/>
      <c r="G255" s="366" t="s">
        <v>750</v>
      </c>
      <c r="H255" s="366"/>
      <c r="I255" s="366"/>
      <c r="J255" s="366"/>
      <c r="K255" s="366"/>
      <c r="L255" s="367"/>
      <c r="M255" s="22" t="s">
        <v>591</v>
      </c>
      <c r="N255" s="22" t="s">
        <v>592</v>
      </c>
      <c r="O255" s="22" t="s">
        <v>593</v>
      </c>
      <c r="P255" s="24" t="s">
        <v>594</v>
      </c>
      <c r="V255" s="7"/>
    </row>
    <row r="256" spans="2:22" ht="18" customHeight="1">
      <c r="B256" s="355" t="str">
        <f>HYPERLINK("#LAYOUT_e4!lay초YPSY7A05","YPSY7A05")</f>
        <v>YPSY7A05</v>
      </c>
      <c r="C256" s="355"/>
      <c r="E256" s="7"/>
      <c r="G256" s="366" t="s">
        <v>751</v>
      </c>
      <c r="H256" s="366"/>
      <c r="I256" s="366"/>
      <c r="J256" s="366"/>
      <c r="K256" s="366"/>
      <c r="L256" s="367"/>
      <c r="M256" s="22" t="s">
        <v>591</v>
      </c>
      <c r="N256" s="22" t="s">
        <v>592</v>
      </c>
      <c r="O256" s="22" t="s">
        <v>593</v>
      </c>
      <c r="P256" s="24" t="s">
        <v>594</v>
      </c>
      <c r="V256" s="7"/>
    </row>
    <row r="257" spans="2:22" ht="18" customHeight="1">
      <c r="B257" s="355" t="str">
        <f>HYPERLINK("#LAYOUT_e4!lay초YPSY7A06","YPSY7A06")</f>
        <v>YPSY7A06</v>
      </c>
      <c r="C257" s="355"/>
      <c r="E257" s="7"/>
      <c r="G257" s="366" t="s">
        <v>752</v>
      </c>
      <c r="H257" s="366"/>
      <c r="I257" s="366"/>
      <c r="J257" s="366"/>
      <c r="K257" s="366"/>
      <c r="L257" s="367"/>
      <c r="M257" s="22" t="s">
        <v>591</v>
      </c>
      <c r="N257" s="22" t="s">
        <v>592</v>
      </c>
      <c r="O257" s="22" t="s">
        <v>593</v>
      </c>
      <c r="P257" s="24" t="s">
        <v>594</v>
      </c>
      <c r="V257" s="7"/>
    </row>
    <row r="258" spans="2:22" ht="18" customHeight="1">
      <c r="B258" s="355" t="str">
        <f>HYPERLINK("#LAYOUT_e4!lay초YPSY7A07","YPSY7A07")</f>
        <v>YPSY7A07</v>
      </c>
      <c r="C258" s="355"/>
      <c r="E258" s="7"/>
      <c r="G258" s="366" t="s">
        <v>753</v>
      </c>
      <c r="H258" s="366"/>
      <c r="I258" s="366"/>
      <c r="J258" s="366"/>
      <c r="K258" s="366"/>
      <c r="L258" s="367"/>
      <c r="M258" s="22" t="s">
        <v>591</v>
      </c>
      <c r="N258" s="22" t="s">
        <v>592</v>
      </c>
      <c r="O258" s="22" t="s">
        <v>593</v>
      </c>
      <c r="P258" s="24" t="s">
        <v>594</v>
      </c>
      <c r="V258" s="7"/>
    </row>
    <row r="259" spans="2:22" ht="18" customHeight="1">
      <c r="B259" s="355" t="str">
        <f>HYPERLINK("#LAYOUT_e4!lay초YPSY7A08","YPSY7A08")</f>
        <v>YPSY7A08</v>
      </c>
      <c r="C259" s="355"/>
      <c r="E259" s="7"/>
      <c r="G259" s="366" t="s">
        <v>754</v>
      </c>
      <c r="H259" s="366"/>
      <c r="I259" s="366"/>
      <c r="J259" s="366"/>
      <c r="K259" s="366"/>
      <c r="L259" s="367"/>
      <c r="M259" s="22" t="s">
        <v>591</v>
      </c>
      <c r="N259" s="22" t="s">
        <v>592</v>
      </c>
      <c r="O259" s="22" t="s">
        <v>593</v>
      </c>
      <c r="P259" s="24" t="s">
        <v>594</v>
      </c>
      <c r="V259" s="7"/>
    </row>
    <row r="260" spans="2:22" ht="18" customHeight="1">
      <c r="B260" s="195"/>
      <c r="C260" s="195"/>
      <c r="E260" s="7"/>
      <c r="V260" s="7"/>
    </row>
    <row r="261" spans="2:22" ht="18" customHeight="1">
      <c r="B261" s="195"/>
      <c r="C261" s="195"/>
      <c r="E261" s="7"/>
      <c r="V261" s="7"/>
    </row>
    <row r="262" spans="2:22" ht="18" customHeight="1">
      <c r="B262" s="195"/>
      <c r="C262" s="195"/>
      <c r="E262" s="7"/>
      <c r="F262" s="6" t="s">
        <v>755</v>
      </c>
      <c r="V262" s="7"/>
    </row>
    <row r="263" spans="2:22" ht="18" customHeight="1" thickBot="1">
      <c r="B263" s="195"/>
      <c r="C263" s="195"/>
      <c r="E263" s="7"/>
      <c r="G263" s="6" t="s">
        <v>756</v>
      </c>
      <c r="V263" s="7"/>
    </row>
    <row r="264" spans="2:22" ht="18" customHeight="1" thickTop="1" thickBot="1">
      <c r="B264" s="195"/>
      <c r="C264" s="195"/>
      <c r="E264" s="7"/>
      <c r="G264" s="401" t="s">
        <v>757</v>
      </c>
      <c r="H264" s="402"/>
      <c r="I264" s="368" t="s">
        <v>758</v>
      </c>
      <c r="J264" s="368"/>
      <c r="V264" s="7"/>
    </row>
    <row r="265" spans="2:22" ht="18" customHeight="1" thickTop="1">
      <c r="B265" s="195" t="str">
        <f>HYPERLINK("#LAYOUT_e4!lay초YFAM1A01","YFAM1A01")</f>
        <v>YFAM1A01</v>
      </c>
      <c r="C265" s="195" t="str">
        <f>HYPERLINK("#LAYOUT_e4!lay초YFAM1A03","YFAM1A03")</f>
        <v>YFAM1A03</v>
      </c>
      <c r="E265" s="7"/>
      <c r="G265" s="399" t="s">
        <v>1593</v>
      </c>
      <c r="H265" s="400"/>
      <c r="I265" s="399" t="s">
        <v>1594</v>
      </c>
      <c r="J265" s="399"/>
      <c r="V265" s="7"/>
    </row>
    <row r="266" spans="2:22" ht="18" customHeight="1">
      <c r="B266" s="195" t="str">
        <f>HYPERLINK("#LAYOUT_e4!lay초YFAM1A02","YFAM1A02")</f>
        <v>YFAM1A02</v>
      </c>
      <c r="C266" s="195" t="str">
        <f>HYPERLINK("#LAYOUT_e4!lay초YFAM1A04","YFAM1A04")</f>
        <v>YFAM1A04</v>
      </c>
      <c r="E266" s="7"/>
      <c r="G266" s="403" t="s">
        <v>1595</v>
      </c>
      <c r="H266" s="404"/>
      <c r="I266" s="405" t="s">
        <v>1595</v>
      </c>
      <c r="J266" s="405"/>
      <c r="V266" s="7"/>
    </row>
    <row r="267" spans="2:22" ht="18" customHeight="1">
      <c r="B267" s="195"/>
      <c r="C267" s="195"/>
      <c r="E267" s="7"/>
      <c r="G267" s="77"/>
      <c r="H267" s="77"/>
      <c r="I267" s="77"/>
      <c r="J267" s="77"/>
      <c r="V267" s="7"/>
    </row>
    <row r="268" spans="2:22" ht="18" customHeight="1">
      <c r="B268" s="195"/>
      <c r="C268" s="195"/>
      <c r="E268" s="7"/>
      <c r="G268" s="77"/>
      <c r="H268" s="77"/>
      <c r="I268" s="77"/>
      <c r="J268" s="77"/>
      <c r="V268" s="7"/>
    </row>
    <row r="269" spans="2:22" ht="18" customHeight="1">
      <c r="B269" s="355" t="str">
        <f>HYPERLINK("#LAYOUT_e4!lay초YFAM3A00","YFAM3A00")</f>
        <v>YFAM3A00</v>
      </c>
      <c r="C269" s="355"/>
      <c r="E269" s="7"/>
      <c r="F269" s="6" t="s">
        <v>1639</v>
      </c>
      <c r="G269" s="77"/>
      <c r="H269" s="77"/>
      <c r="I269" s="77"/>
      <c r="J269" s="77"/>
      <c r="V269" s="7"/>
    </row>
    <row r="270" spans="2:22" ht="18" customHeight="1">
      <c r="B270" s="195"/>
      <c r="C270" s="195"/>
      <c r="E270" s="7"/>
      <c r="G270" s="6" t="s">
        <v>1640</v>
      </c>
      <c r="H270" s="77"/>
      <c r="I270" s="77"/>
      <c r="J270" s="77"/>
      <c r="V270" s="7"/>
    </row>
    <row r="271" spans="2:22" ht="18" customHeight="1">
      <c r="B271" s="195"/>
      <c r="C271" s="195"/>
      <c r="E271" s="7"/>
      <c r="G271" s="77"/>
      <c r="H271" s="77"/>
      <c r="I271" s="77"/>
      <c r="J271" s="77"/>
      <c r="V271" s="7"/>
    </row>
    <row r="272" spans="2:22" ht="18" customHeight="1">
      <c r="B272" s="195"/>
      <c r="C272" s="195"/>
      <c r="E272" s="7"/>
      <c r="G272" s="77"/>
      <c r="H272" s="77"/>
      <c r="I272" s="77"/>
      <c r="J272" s="77"/>
      <c r="V272" s="7"/>
    </row>
    <row r="273" spans="2:22" ht="18" customHeight="1">
      <c r="B273" s="355" t="str">
        <f>HYPERLINK("#LAYOUT_e4!lay초YFAM3B00","YFAM3B00")</f>
        <v>YFAM3B00</v>
      </c>
      <c r="C273" s="355"/>
      <c r="E273" s="7"/>
      <c r="F273" s="6" t="s">
        <v>1641</v>
      </c>
      <c r="G273" s="77"/>
      <c r="H273" s="77"/>
      <c r="I273" s="77"/>
      <c r="J273" s="77"/>
      <c r="V273" s="7"/>
    </row>
    <row r="274" spans="2:22" ht="18" customHeight="1" thickBot="1">
      <c r="B274" s="195"/>
      <c r="C274" s="195"/>
      <c r="E274" s="7"/>
      <c r="G274" s="6" t="s">
        <v>1642</v>
      </c>
      <c r="H274" s="77"/>
      <c r="I274" s="77"/>
      <c r="J274" s="77"/>
      <c r="V274" s="7"/>
    </row>
    <row r="275" spans="2:22" ht="18" customHeight="1" thickTop="1" thickBot="1">
      <c r="B275" s="195"/>
      <c r="C275" s="195"/>
      <c r="E275" s="7"/>
      <c r="G275" s="152"/>
      <c r="H275" s="401" t="s">
        <v>1522</v>
      </c>
      <c r="I275" s="402"/>
      <c r="J275" s="401" t="s">
        <v>1523</v>
      </c>
      <c r="K275" s="402"/>
      <c r="L275" s="10"/>
      <c r="V275" s="7"/>
    </row>
    <row r="276" spans="2:22" ht="18" customHeight="1" thickTop="1">
      <c r="B276" s="195" t="str">
        <f>HYPERLINK("#LAYOUT_e4!lay초YFAM1B01","YFAM1B01")</f>
        <v>YFAM1B01</v>
      </c>
      <c r="C276" s="195" t="str">
        <f>HYPERLINK("#LAYOUT_e4!lay초YFAM1B03","YFAM1B03")</f>
        <v>YFAM1B03</v>
      </c>
      <c r="E276" s="7"/>
      <c r="G276" s="447" t="s">
        <v>1518</v>
      </c>
      <c r="H276" s="452" t="s">
        <v>249</v>
      </c>
      <c r="I276" s="447"/>
      <c r="J276" s="452" t="s">
        <v>249</v>
      </c>
      <c r="K276" s="447"/>
      <c r="L276" s="452" t="s">
        <v>1519</v>
      </c>
      <c r="V276" s="7"/>
    </row>
    <row r="277" spans="2:22" ht="18" customHeight="1">
      <c r="B277" s="195" t="str">
        <f>HYPERLINK("#LAYOUT_e4!lay초YFAM1B02","YFAM1B02")</f>
        <v>YFAM1B02</v>
      </c>
      <c r="C277" s="195" t="str">
        <f>HYPERLINK("#LAYOUT_e4!lay초YFAM1B04","YFAM1B04")</f>
        <v>YFAM1B04</v>
      </c>
      <c r="E277" s="7"/>
      <c r="G277" s="448"/>
      <c r="H277" s="449" t="s">
        <v>53</v>
      </c>
      <c r="I277" s="448"/>
      <c r="J277" s="449" t="s">
        <v>53</v>
      </c>
      <c r="K277" s="448"/>
      <c r="L277" s="449"/>
      <c r="V277" s="7"/>
    </row>
    <row r="278" spans="2:22" ht="18" customHeight="1">
      <c r="B278" s="195" t="str">
        <f>HYPERLINK("#LAYOUT_e4!lay초YFAM1C01","YFAM1C01")</f>
        <v>YFAM1C01</v>
      </c>
      <c r="C278" s="195" t="str">
        <f>HYPERLINK("#LAYOUT_e4!lay초YFAM1C03","YFAM1C03")</f>
        <v>YFAM1C03</v>
      </c>
      <c r="E278" s="7"/>
      <c r="G278" s="450" t="s">
        <v>1520</v>
      </c>
      <c r="H278" s="451" t="s">
        <v>249</v>
      </c>
      <c r="I278" s="450"/>
      <c r="J278" s="451" t="s">
        <v>249</v>
      </c>
      <c r="K278" s="450"/>
      <c r="L278" s="451" t="s">
        <v>1519</v>
      </c>
      <c r="V278" s="7"/>
    </row>
    <row r="279" spans="2:22" ht="18" customHeight="1">
      <c r="B279" s="195" t="str">
        <f>HYPERLINK("#LAYOUT_e4!lay초YFAM1C02","YFAM1C02")</f>
        <v>YFAM1C02</v>
      </c>
      <c r="C279" s="195" t="str">
        <f>HYPERLINK("#LAYOUT_e4!lay초YFAM1C04","YFAM1C04")</f>
        <v>YFAM1C04</v>
      </c>
      <c r="E279" s="7"/>
      <c r="G279" s="448"/>
      <c r="H279" s="449" t="s">
        <v>53</v>
      </c>
      <c r="I279" s="448"/>
      <c r="J279" s="449" t="s">
        <v>53</v>
      </c>
      <c r="K279" s="448"/>
      <c r="L279" s="449"/>
      <c r="V279" s="7"/>
    </row>
    <row r="280" spans="2:22" ht="18" customHeight="1">
      <c r="B280" s="195" t="str">
        <f>HYPERLINK("#LAYOUT_e4!lay초YFAM1D01","YFAM1D01")</f>
        <v>YFAM1D01</v>
      </c>
      <c r="C280" s="195" t="str">
        <f>HYPERLINK("#LAYOUT_e4!lay초YFAM1D03","YFAM1D03")</f>
        <v>YFAM1D03</v>
      </c>
      <c r="E280" s="7"/>
      <c r="G280" s="450" t="s">
        <v>1521</v>
      </c>
      <c r="H280" s="451" t="s">
        <v>249</v>
      </c>
      <c r="I280" s="450"/>
      <c r="J280" s="451" t="s">
        <v>249</v>
      </c>
      <c r="K280" s="450"/>
      <c r="L280" s="451" t="s">
        <v>1519</v>
      </c>
      <c r="V280" s="7"/>
    </row>
    <row r="281" spans="2:22" ht="18" customHeight="1">
      <c r="B281" s="195" t="str">
        <f>HYPERLINK("#LAYOUT_e4!lay초YFAM1D02","YFAM1D02")</f>
        <v>YFAM1D02</v>
      </c>
      <c r="C281" s="195" t="str">
        <f>HYPERLINK("#LAYOUT_e4!lay초YFAM1D04","YFAM1D04")</f>
        <v>YFAM1D04</v>
      </c>
      <c r="E281" s="7"/>
      <c r="G281" s="448"/>
      <c r="H281" s="449" t="s">
        <v>53</v>
      </c>
      <c r="I281" s="448"/>
      <c r="J281" s="449" t="s">
        <v>53</v>
      </c>
      <c r="K281" s="448"/>
      <c r="L281" s="449"/>
      <c r="V281" s="7"/>
    </row>
    <row r="282" spans="2:22" ht="18" customHeight="1">
      <c r="B282" s="195" t="str">
        <f>HYPERLINK("#LAYOUT_e4!lay초YFAM1E01","YFAM1E01")</f>
        <v>YFAM1E01</v>
      </c>
      <c r="C282" s="195" t="str">
        <f>HYPERLINK("#LAYOUT_e4!lay초YFAM1E03","YFAM1E03")</f>
        <v>YFAM1E03</v>
      </c>
      <c r="E282" s="7"/>
      <c r="G282" s="450" t="s">
        <v>1579</v>
      </c>
      <c r="H282" s="451" t="s">
        <v>249</v>
      </c>
      <c r="I282" s="450"/>
      <c r="J282" s="451" t="s">
        <v>249</v>
      </c>
      <c r="K282" s="450"/>
      <c r="L282" s="451" t="s">
        <v>1519</v>
      </c>
      <c r="V282" s="7"/>
    </row>
    <row r="283" spans="2:22" ht="18" customHeight="1">
      <c r="B283" s="195" t="str">
        <f>HYPERLINK("#LAYOUT_e4!lay초YFAM1E02","YFAM1E02")</f>
        <v>YFAM1E02</v>
      </c>
      <c r="C283" s="195" t="str">
        <f>HYPERLINK("#LAYOUT_e4!lay초YFAM1E04","YFAM1E04")</f>
        <v>YFAM1E04</v>
      </c>
      <c r="E283" s="7"/>
      <c r="G283" s="448"/>
      <c r="H283" s="449" t="s">
        <v>53</v>
      </c>
      <c r="I283" s="448"/>
      <c r="J283" s="449" t="s">
        <v>53</v>
      </c>
      <c r="K283" s="448"/>
      <c r="L283" s="449"/>
      <c r="V283" s="7"/>
    </row>
    <row r="284" spans="2:22" ht="18" customHeight="1">
      <c r="B284" s="195" t="str">
        <f>HYPERLINK("#LAYOUT_e4!lay초YFAM1F01","YFAM1F01")</f>
        <v>YFAM1F01</v>
      </c>
      <c r="C284" s="195" t="str">
        <f>HYPERLINK("#LAYOUT_e4!lay초YFAM1F03","YFAM1F03")</f>
        <v>YFAM1F03</v>
      </c>
      <c r="E284" s="7"/>
      <c r="G284" s="450" t="s">
        <v>1580</v>
      </c>
      <c r="H284" s="451" t="s">
        <v>249</v>
      </c>
      <c r="I284" s="450"/>
      <c r="J284" s="451" t="s">
        <v>249</v>
      </c>
      <c r="K284" s="450"/>
      <c r="L284" s="451" t="s">
        <v>1519</v>
      </c>
      <c r="V284" s="7"/>
    </row>
    <row r="285" spans="2:22" ht="18" customHeight="1">
      <c r="B285" s="195" t="str">
        <f>HYPERLINK("#LAYOUT_e4!lay초YFAM1F02","YFAM1F02")</f>
        <v>YFAM1F02</v>
      </c>
      <c r="C285" s="195" t="str">
        <f>HYPERLINK("#LAYOUT_e4!lay초YFAM1F04","YFAM1F04")</f>
        <v>YFAM1F04</v>
      </c>
      <c r="E285" s="7"/>
      <c r="G285" s="448"/>
      <c r="H285" s="449" t="s">
        <v>53</v>
      </c>
      <c r="I285" s="448"/>
      <c r="J285" s="449" t="s">
        <v>53</v>
      </c>
      <c r="K285" s="448"/>
      <c r="L285" s="449"/>
      <c r="V285" s="7"/>
    </row>
    <row r="286" spans="2:22" ht="18" customHeight="1">
      <c r="B286" s="195"/>
      <c r="C286" s="195"/>
      <c r="E286" s="7"/>
      <c r="G286" s="77"/>
      <c r="H286" s="77"/>
      <c r="I286" s="77"/>
      <c r="J286" s="77"/>
      <c r="V286" s="7"/>
    </row>
    <row r="287" spans="2:22" ht="18" customHeight="1">
      <c r="B287" s="195"/>
      <c r="C287" s="195"/>
      <c r="E287" s="7"/>
      <c r="G287" s="77"/>
      <c r="H287" s="77"/>
      <c r="I287" s="77"/>
      <c r="J287" s="77"/>
      <c r="V287" s="7"/>
    </row>
    <row r="288" spans="2:22" ht="18" customHeight="1" thickBot="1">
      <c r="B288" s="196"/>
      <c r="C288" s="196"/>
      <c r="E288" s="7"/>
      <c r="F288" s="6" t="s">
        <v>1524</v>
      </c>
      <c r="V288" s="7"/>
    </row>
    <row r="289" spans="2:22" ht="31.5" thickTop="1" thickBot="1">
      <c r="B289" s="195"/>
      <c r="C289" s="195"/>
      <c r="E289" s="7"/>
      <c r="G289" s="397" t="s">
        <v>643</v>
      </c>
      <c r="H289" s="397"/>
      <c r="I289" s="397"/>
      <c r="J289" s="397"/>
      <c r="K289" s="397"/>
      <c r="L289" s="398"/>
      <c r="M289" s="9" t="s">
        <v>622</v>
      </c>
      <c r="N289" s="9" t="s">
        <v>623</v>
      </c>
      <c r="O289" s="9" t="s">
        <v>107</v>
      </c>
      <c r="P289" s="10" t="s">
        <v>108</v>
      </c>
      <c r="V289" s="7"/>
    </row>
    <row r="290" spans="2:22" ht="18" customHeight="1" thickTop="1">
      <c r="B290" s="355" t="str">
        <f>HYPERLINK("#LAYOUT_e4!lay초YFAM2A01","YFAM2A01")</f>
        <v>YFAM2A01</v>
      </c>
      <c r="C290" s="355"/>
      <c r="E290" s="7"/>
      <c r="G290" s="366" t="s">
        <v>760</v>
      </c>
      <c r="H290" s="366"/>
      <c r="I290" s="366"/>
      <c r="J290" s="366"/>
      <c r="K290" s="366"/>
      <c r="L290" s="367"/>
      <c r="M290" s="20" t="s">
        <v>591</v>
      </c>
      <c r="N290" s="20" t="s">
        <v>592</v>
      </c>
      <c r="O290" s="20" t="s">
        <v>593</v>
      </c>
      <c r="P290" s="25" t="s">
        <v>594</v>
      </c>
      <c r="V290" s="7"/>
    </row>
    <row r="291" spans="2:22" ht="18" customHeight="1">
      <c r="B291" s="355" t="str">
        <f>HYPERLINK("#LAYOUT_e4!lay초YFAM2A02","YFAM2A02")</f>
        <v>YFAM2A02</v>
      </c>
      <c r="C291" s="355"/>
      <c r="E291" s="7"/>
      <c r="G291" s="366" t="s">
        <v>761</v>
      </c>
      <c r="H291" s="366"/>
      <c r="I291" s="366"/>
      <c r="J291" s="366"/>
      <c r="K291" s="366"/>
      <c r="L291" s="367"/>
      <c r="M291" s="22" t="s">
        <v>591</v>
      </c>
      <c r="N291" s="22" t="s">
        <v>592</v>
      </c>
      <c r="O291" s="22" t="s">
        <v>593</v>
      </c>
      <c r="P291" s="24" t="s">
        <v>594</v>
      </c>
      <c r="V291" s="7"/>
    </row>
    <row r="292" spans="2:22" ht="18" customHeight="1">
      <c r="B292" s="355" t="str">
        <f>HYPERLINK("#LAYOUT_e4!lay초YFAM2A03","YFAM2A03")</f>
        <v>YFAM2A03</v>
      </c>
      <c r="C292" s="355"/>
      <c r="E292" s="7"/>
      <c r="G292" s="366" t="s">
        <v>762</v>
      </c>
      <c r="H292" s="366"/>
      <c r="I292" s="366"/>
      <c r="J292" s="366"/>
      <c r="K292" s="366"/>
      <c r="L292" s="367"/>
      <c r="M292" s="22" t="s">
        <v>591</v>
      </c>
      <c r="N292" s="22" t="s">
        <v>592</v>
      </c>
      <c r="O292" s="22" t="s">
        <v>593</v>
      </c>
      <c r="P292" s="24" t="s">
        <v>594</v>
      </c>
      <c r="V292" s="7"/>
    </row>
    <row r="293" spans="2:22" ht="18" customHeight="1">
      <c r="B293" s="355" t="str">
        <f>HYPERLINK("#LAYOUT_e4!lay초YFAM2A04","YFAM2A04")</f>
        <v>YFAM2A04</v>
      </c>
      <c r="C293" s="355"/>
      <c r="E293" s="7"/>
      <c r="G293" s="366" t="s">
        <v>763</v>
      </c>
      <c r="H293" s="366"/>
      <c r="I293" s="366"/>
      <c r="J293" s="366"/>
      <c r="K293" s="366"/>
      <c r="L293" s="367"/>
      <c r="M293" s="22" t="s">
        <v>591</v>
      </c>
      <c r="N293" s="22" t="s">
        <v>592</v>
      </c>
      <c r="O293" s="22" t="s">
        <v>593</v>
      </c>
      <c r="P293" s="24" t="s">
        <v>594</v>
      </c>
      <c r="V293" s="7"/>
    </row>
    <row r="294" spans="2:22" ht="18" customHeight="1">
      <c r="B294" s="355" t="str">
        <f>HYPERLINK("#LAYOUT_e4!lay초YFAM2B01","YFAM2B01")</f>
        <v>YFAM2B01</v>
      </c>
      <c r="C294" s="355"/>
      <c r="E294" s="7"/>
      <c r="G294" s="366" t="s">
        <v>764</v>
      </c>
      <c r="H294" s="366"/>
      <c r="I294" s="366"/>
      <c r="J294" s="366"/>
      <c r="K294" s="366"/>
      <c r="L294" s="367"/>
      <c r="M294" s="22" t="s">
        <v>591</v>
      </c>
      <c r="N294" s="22" t="s">
        <v>592</v>
      </c>
      <c r="O294" s="22" t="s">
        <v>593</v>
      </c>
      <c r="P294" s="24" t="s">
        <v>594</v>
      </c>
      <c r="V294" s="7"/>
    </row>
    <row r="295" spans="2:22" ht="18" customHeight="1">
      <c r="B295" s="355" t="str">
        <f>HYPERLINK("#LAYOUT_e4!lay초YFAM2B02","YFAM2B02")</f>
        <v>YFAM2B02</v>
      </c>
      <c r="C295" s="355"/>
      <c r="E295" s="7"/>
      <c r="G295" s="366" t="s">
        <v>765</v>
      </c>
      <c r="H295" s="366"/>
      <c r="I295" s="366"/>
      <c r="J295" s="366"/>
      <c r="K295" s="366"/>
      <c r="L295" s="367"/>
      <c r="M295" s="22" t="s">
        <v>591</v>
      </c>
      <c r="N295" s="22" t="s">
        <v>592</v>
      </c>
      <c r="O295" s="22" t="s">
        <v>593</v>
      </c>
      <c r="P295" s="24" t="s">
        <v>594</v>
      </c>
      <c r="V295" s="7"/>
    </row>
    <row r="296" spans="2:22" ht="18" customHeight="1">
      <c r="B296" s="355" t="str">
        <f>HYPERLINK("#LAYOUT_e4!lay초YFAM2B03","YFAM2B03")</f>
        <v>YFAM2B03</v>
      </c>
      <c r="C296" s="355"/>
      <c r="E296" s="7"/>
      <c r="G296" s="366" t="s">
        <v>766</v>
      </c>
      <c r="H296" s="366"/>
      <c r="I296" s="366"/>
      <c r="J296" s="366"/>
      <c r="K296" s="366"/>
      <c r="L296" s="367"/>
      <c r="M296" s="22" t="s">
        <v>591</v>
      </c>
      <c r="N296" s="22" t="s">
        <v>592</v>
      </c>
      <c r="O296" s="22" t="s">
        <v>593</v>
      </c>
      <c r="P296" s="24" t="s">
        <v>594</v>
      </c>
      <c r="V296" s="7"/>
    </row>
    <row r="297" spans="2:22" ht="18" customHeight="1">
      <c r="B297" s="355" t="str">
        <f>HYPERLINK("#LAYOUT_e4!lay초YFAM2B04","YFAM2B04")</f>
        <v>YFAM2B04</v>
      </c>
      <c r="C297" s="355"/>
      <c r="E297" s="7"/>
      <c r="G297" s="366" t="s">
        <v>767</v>
      </c>
      <c r="H297" s="366"/>
      <c r="I297" s="366"/>
      <c r="J297" s="366"/>
      <c r="K297" s="366"/>
      <c r="L297" s="367"/>
      <c r="M297" s="22" t="s">
        <v>591</v>
      </c>
      <c r="N297" s="22" t="s">
        <v>592</v>
      </c>
      <c r="O297" s="22" t="s">
        <v>593</v>
      </c>
      <c r="P297" s="24" t="s">
        <v>594</v>
      </c>
      <c r="V297" s="7"/>
    </row>
    <row r="298" spans="2:22" ht="18" customHeight="1">
      <c r="B298" s="355" t="str">
        <f>HYPERLINK("#LAYOUT_e4!lay초YFAM2C01","YFAM2C01")</f>
        <v>YFAM2C01</v>
      </c>
      <c r="C298" s="355"/>
      <c r="E298" s="7"/>
      <c r="G298" s="366" t="s">
        <v>768</v>
      </c>
      <c r="H298" s="366"/>
      <c r="I298" s="366"/>
      <c r="J298" s="366"/>
      <c r="K298" s="366"/>
      <c r="L298" s="367"/>
      <c r="M298" s="22" t="s">
        <v>591</v>
      </c>
      <c r="N298" s="22" t="s">
        <v>592</v>
      </c>
      <c r="O298" s="22" t="s">
        <v>593</v>
      </c>
      <c r="P298" s="24" t="s">
        <v>594</v>
      </c>
      <c r="V298" s="7"/>
    </row>
    <row r="299" spans="2:22" ht="18" customHeight="1">
      <c r="B299" s="355" t="str">
        <f>HYPERLINK("#LAYOUT_e4!lay초YFAM2C02","YFAM2C02")</f>
        <v>YFAM2C02</v>
      </c>
      <c r="C299" s="355"/>
      <c r="E299" s="7"/>
      <c r="G299" s="366" t="s">
        <v>769</v>
      </c>
      <c r="H299" s="366"/>
      <c r="I299" s="366"/>
      <c r="J299" s="366"/>
      <c r="K299" s="366"/>
      <c r="L299" s="367"/>
      <c r="M299" s="22" t="s">
        <v>591</v>
      </c>
      <c r="N299" s="22" t="s">
        <v>592</v>
      </c>
      <c r="O299" s="22" t="s">
        <v>593</v>
      </c>
      <c r="P299" s="24" t="s">
        <v>594</v>
      </c>
      <c r="V299" s="7"/>
    </row>
    <row r="300" spans="2:22" ht="18" customHeight="1">
      <c r="B300" s="355" t="str">
        <f>HYPERLINK("#LAYOUT_e4!lay초YFAM2C03","YFAM2C03")</f>
        <v>YFAM2C03</v>
      </c>
      <c r="C300" s="355"/>
      <c r="E300" s="7"/>
      <c r="G300" s="366" t="s">
        <v>770</v>
      </c>
      <c r="H300" s="366"/>
      <c r="I300" s="366"/>
      <c r="J300" s="366"/>
      <c r="K300" s="366"/>
      <c r="L300" s="367"/>
      <c r="M300" s="22" t="s">
        <v>591</v>
      </c>
      <c r="N300" s="22" t="s">
        <v>592</v>
      </c>
      <c r="O300" s="22" t="s">
        <v>593</v>
      </c>
      <c r="P300" s="24" t="s">
        <v>594</v>
      </c>
      <c r="V300" s="7"/>
    </row>
    <row r="301" spans="2:22" ht="18" customHeight="1">
      <c r="B301" s="355" t="str">
        <f>HYPERLINK("#LAYOUT_e4!lay초YFAM2C04","YFAM2C04")</f>
        <v>YFAM2C04</v>
      </c>
      <c r="C301" s="355"/>
      <c r="E301" s="7"/>
      <c r="G301" s="366" t="s">
        <v>771</v>
      </c>
      <c r="H301" s="366"/>
      <c r="I301" s="366"/>
      <c r="J301" s="366"/>
      <c r="K301" s="366"/>
      <c r="L301" s="367"/>
      <c r="M301" s="22" t="s">
        <v>591</v>
      </c>
      <c r="N301" s="22" t="s">
        <v>592</v>
      </c>
      <c r="O301" s="22" t="s">
        <v>593</v>
      </c>
      <c r="P301" s="24" t="s">
        <v>594</v>
      </c>
      <c r="V301" s="7"/>
    </row>
    <row r="302" spans="2:22" ht="18" customHeight="1">
      <c r="B302" s="355" t="str">
        <f>HYPERLINK("#LAYOUT_e4!lay초YFAM2D01","YFAM2D01")</f>
        <v>YFAM2D01</v>
      </c>
      <c r="C302" s="355"/>
      <c r="E302" s="7"/>
      <c r="G302" s="366" t="s">
        <v>772</v>
      </c>
      <c r="H302" s="366"/>
      <c r="I302" s="366"/>
      <c r="J302" s="366"/>
      <c r="K302" s="366"/>
      <c r="L302" s="367"/>
      <c r="M302" s="22" t="s">
        <v>591</v>
      </c>
      <c r="N302" s="22" t="s">
        <v>592</v>
      </c>
      <c r="O302" s="22" t="s">
        <v>593</v>
      </c>
      <c r="P302" s="24" t="s">
        <v>594</v>
      </c>
      <c r="V302" s="7"/>
    </row>
    <row r="303" spans="2:22" ht="18" customHeight="1">
      <c r="B303" s="355" t="str">
        <f>HYPERLINK("#LAYOUT_e4!lay초YFAM2D02","YFAM2D02")</f>
        <v>YFAM2D02</v>
      </c>
      <c r="C303" s="355"/>
      <c r="E303" s="7"/>
      <c r="G303" s="366" t="s">
        <v>773</v>
      </c>
      <c r="H303" s="366"/>
      <c r="I303" s="366"/>
      <c r="J303" s="366"/>
      <c r="K303" s="366"/>
      <c r="L303" s="367"/>
      <c r="M303" s="22" t="s">
        <v>591</v>
      </c>
      <c r="N303" s="22" t="s">
        <v>592</v>
      </c>
      <c r="O303" s="22" t="s">
        <v>593</v>
      </c>
      <c r="P303" s="24" t="s">
        <v>594</v>
      </c>
      <c r="V303" s="7"/>
    </row>
    <row r="304" spans="2:22" ht="18" customHeight="1">
      <c r="B304" s="355" t="str">
        <f>HYPERLINK("#LAYOUT_e4!lay초YFAM2D03","YFAM2D03")</f>
        <v>YFAM2D03</v>
      </c>
      <c r="C304" s="355"/>
      <c r="E304" s="7"/>
      <c r="G304" s="366" t="s">
        <v>774</v>
      </c>
      <c r="H304" s="366"/>
      <c r="I304" s="366"/>
      <c r="J304" s="366"/>
      <c r="K304" s="366"/>
      <c r="L304" s="367"/>
      <c r="M304" s="22" t="s">
        <v>591</v>
      </c>
      <c r="N304" s="22" t="s">
        <v>592</v>
      </c>
      <c r="O304" s="22" t="s">
        <v>593</v>
      </c>
      <c r="P304" s="24" t="s">
        <v>594</v>
      </c>
      <c r="V304" s="7"/>
    </row>
    <row r="305" spans="2:22" ht="18" customHeight="1">
      <c r="B305" s="355" t="str">
        <f>HYPERLINK("#LAYOUT_e4!lay초YFAM2D04","YFAM2D04")</f>
        <v>YFAM2D04</v>
      </c>
      <c r="C305" s="355"/>
      <c r="E305" s="7"/>
      <c r="G305" s="366" t="s">
        <v>775</v>
      </c>
      <c r="H305" s="366"/>
      <c r="I305" s="366"/>
      <c r="J305" s="366"/>
      <c r="K305" s="366"/>
      <c r="L305" s="367"/>
      <c r="M305" s="22" t="s">
        <v>591</v>
      </c>
      <c r="N305" s="22" t="s">
        <v>592</v>
      </c>
      <c r="O305" s="22" t="s">
        <v>593</v>
      </c>
      <c r="P305" s="24" t="s">
        <v>594</v>
      </c>
      <c r="V305" s="7"/>
    </row>
    <row r="306" spans="2:22" ht="18" customHeight="1">
      <c r="B306" s="355" t="str">
        <f>HYPERLINK("#LAYOUT_e4!lay초YFAM2E01","YFAM2E01")</f>
        <v>YFAM2E01</v>
      </c>
      <c r="C306" s="355"/>
      <c r="E306" s="7"/>
      <c r="G306" s="366" t="s">
        <v>776</v>
      </c>
      <c r="H306" s="366"/>
      <c r="I306" s="366"/>
      <c r="J306" s="366"/>
      <c r="K306" s="366"/>
      <c r="L306" s="367"/>
      <c r="M306" s="22" t="s">
        <v>591</v>
      </c>
      <c r="N306" s="22" t="s">
        <v>592</v>
      </c>
      <c r="O306" s="22" t="s">
        <v>593</v>
      </c>
      <c r="P306" s="24" t="s">
        <v>594</v>
      </c>
      <c r="V306" s="7"/>
    </row>
    <row r="307" spans="2:22" ht="18" customHeight="1">
      <c r="B307" s="355" t="str">
        <f>HYPERLINK("#LAYOUT_e4!lay초YFAM2E02","YFAM2E02")</f>
        <v>YFAM2E02</v>
      </c>
      <c r="C307" s="355"/>
      <c r="E307" s="7"/>
      <c r="G307" s="366" t="s">
        <v>777</v>
      </c>
      <c r="H307" s="366"/>
      <c r="I307" s="366"/>
      <c r="J307" s="366"/>
      <c r="K307" s="366"/>
      <c r="L307" s="367"/>
      <c r="M307" s="22" t="s">
        <v>591</v>
      </c>
      <c r="N307" s="22" t="s">
        <v>592</v>
      </c>
      <c r="O307" s="22" t="s">
        <v>593</v>
      </c>
      <c r="P307" s="24" t="s">
        <v>594</v>
      </c>
      <c r="V307" s="7"/>
    </row>
    <row r="308" spans="2:22" ht="18" customHeight="1">
      <c r="B308" s="355" t="str">
        <f>HYPERLINK("#LAYOUT_e4!lay초YFAM2E03","YFAM2E03")</f>
        <v>YFAM2E03</v>
      </c>
      <c r="C308" s="355"/>
      <c r="E308" s="7"/>
      <c r="G308" s="366" t="s">
        <v>778</v>
      </c>
      <c r="H308" s="366"/>
      <c r="I308" s="366"/>
      <c r="J308" s="366"/>
      <c r="K308" s="366"/>
      <c r="L308" s="367"/>
      <c r="M308" s="22" t="s">
        <v>591</v>
      </c>
      <c r="N308" s="22" t="s">
        <v>592</v>
      </c>
      <c r="O308" s="22" t="s">
        <v>593</v>
      </c>
      <c r="P308" s="24" t="s">
        <v>594</v>
      </c>
      <c r="V308" s="7"/>
    </row>
    <row r="309" spans="2:22" ht="18" customHeight="1">
      <c r="B309" s="355" t="str">
        <f>HYPERLINK("#LAYOUT_e4!lay초YFAM2E04","YFAM2E04")</f>
        <v>YFAM2E04</v>
      </c>
      <c r="C309" s="355"/>
      <c r="E309" s="7"/>
      <c r="G309" s="366" t="s">
        <v>779</v>
      </c>
      <c r="H309" s="366"/>
      <c r="I309" s="366"/>
      <c r="J309" s="366"/>
      <c r="K309" s="366"/>
      <c r="L309" s="367"/>
      <c r="M309" s="22" t="s">
        <v>591</v>
      </c>
      <c r="N309" s="22" t="s">
        <v>592</v>
      </c>
      <c r="O309" s="22" t="s">
        <v>593</v>
      </c>
      <c r="P309" s="24" t="s">
        <v>594</v>
      </c>
      <c r="V309" s="7"/>
    </row>
    <row r="310" spans="2:22" ht="18" customHeight="1">
      <c r="B310" s="355" t="str">
        <f>HYPERLINK("#LAYOUT_e4!lay초YFAM2F01","YFAM2F01")</f>
        <v>YFAM2F01</v>
      </c>
      <c r="C310" s="355"/>
      <c r="E310" s="7"/>
      <c r="G310" s="366" t="s">
        <v>780</v>
      </c>
      <c r="H310" s="366"/>
      <c r="I310" s="366"/>
      <c r="J310" s="366"/>
      <c r="K310" s="366"/>
      <c r="L310" s="367"/>
      <c r="M310" s="22" t="s">
        <v>591</v>
      </c>
      <c r="N310" s="22" t="s">
        <v>592</v>
      </c>
      <c r="O310" s="22" t="s">
        <v>593</v>
      </c>
      <c r="P310" s="24" t="s">
        <v>594</v>
      </c>
      <c r="V310" s="7"/>
    </row>
    <row r="311" spans="2:22" ht="18" customHeight="1">
      <c r="B311" s="355" t="str">
        <f>HYPERLINK("#LAYOUT_e4!lay초YFAM2F02","YFAM2F02")</f>
        <v>YFAM2F02</v>
      </c>
      <c r="C311" s="355"/>
      <c r="E311" s="7"/>
      <c r="G311" s="366" t="s">
        <v>781</v>
      </c>
      <c r="H311" s="366"/>
      <c r="I311" s="366"/>
      <c r="J311" s="366"/>
      <c r="K311" s="366"/>
      <c r="L311" s="367"/>
      <c r="M311" s="22" t="s">
        <v>591</v>
      </c>
      <c r="N311" s="22" t="s">
        <v>592</v>
      </c>
      <c r="O311" s="22" t="s">
        <v>593</v>
      </c>
      <c r="P311" s="24" t="s">
        <v>594</v>
      </c>
      <c r="V311" s="7"/>
    </row>
    <row r="312" spans="2:22" ht="18" customHeight="1">
      <c r="B312" s="355" t="str">
        <f>HYPERLINK("#LAYOUT_e4!lay초YFAM2F03","YFAM2F03")</f>
        <v>YFAM2F03</v>
      </c>
      <c r="C312" s="355"/>
      <c r="E312" s="7"/>
      <c r="G312" s="366" t="s">
        <v>782</v>
      </c>
      <c r="H312" s="366"/>
      <c r="I312" s="366"/>
      <c r="J312" s="366"/>
      <c r="K312" s="366"/>
      <c r="L312" s="367"/>
      <c r="M312" s="22" t="s">
        <v>591</v>
      </c>
      <c r="N312" s="22" t="s">
        <v>592</v>
      </c>
      <c r="O312" s="22" t="s">
        <v>593</v>
      </c>
      <c r="P312" s="24" t="s">
        <v>594</v>
      </c>
      <c r="V312" s="7"/>
    </row>
    <row r="313" spans="2:22" ht="18" customHeight="1">
      <c r="B313" s="355" t="str">
        <f>HYPERLINK("#LAYOUT_e4!lay초YFAM2F04","YFAM2F04")</f>
        <v>YFAM2F04</v>
      </c>
      <c r="C313" s="355"/>
      <c r="E313" s="7"/>
      <c r="G313" s="366" t="s">
        <v>783</v>
      </c>
      <c r="H313" s="366"/>
      <c r="I313" s="366"/>
      <c r="J313" s="366"/>
      <c r="K313" s="366"/>
      <c r="L313" s="367"/>
      <c r="M313" s="22" t="s">
        <v>591</v>
      </c>
      <c r="N313" s="22" t="s">
        <v>592</v>
      </c>
      <c r="O313" s="22" t="s">
        <v>593</v>
      </c>
      <c r="P313" s="24" t="s">
        <v>594</v>
      </c>
      <c r="V313" s="7"/>
    </row>
    <row r="314" spans="2:22" ht="18" customHeight="1">
      <c r="B314" s="195"/>
      <c r="C314" s="195"/>
      <c r="E314" s="7"/>
      <c r="V314" s="7"/>
    </row>
    <row r="315" spans="2:22" ht="18" customHeight="1">
      <c r="B315" s="195"/>
      <c r="C315" s="195"/>
      <c r="E315" s="7"/>
      <c r="V315" s="7"/>
    </row>
    <row r="316" spans="2:22" ht="18" customHeight="1" thickBot="1">
      <c r="B316" s="195"/>
      <c r="C316" s="195"/>
      <c r="E316" s="7"/>
      <c r="F316" s="6" t="s">
        <v>1525</v>
      </c>
      <c r="V316" s="7"/>
    </row>
    <row r="317" spans="2:22" ht="31.5" thickTop="1" thickBot="1">
      <c r="B317" s="195"/>
      <c r="C317" s="195"/>
      <c r="E317" s="7"/>
      <c r="G317" s="397" t="s">
        <v>643</v>
      </c>
      <c r="H317" s="397"/>
      <c r="I317" s="397"/>
      <c r="J317" s="397"/>
      <c r="K317" s="397"/>
      <c r="L317" s="398"/>
      <c r="M317" s="9" t="s">
        <v>622</v>
      </c>
      <c r="N317" s="9" t="s">
        <v>623</v>
      </c>
      <c r="O317" s="9" t="s">
        <v>107</v>
      </c>
      <c r="P317" s="10" t="s">
        <v>108</v>
      </c>
      <c r="V317" s="7"/>
    </row>
    <row r="318" spans="2:22" ht="18" customHeight="1" thickTop="1">
      <c r="B318" s="355" t="str">
        <f>HYPERLINK("#LAYOUT_e4!lay초YEDU2A01","YEDU2A01")</f>
        <v>YEDU2A01</v>
      </c>
      <c r="C318" s="355"/>
      <c r="E318" s="7"/>
      <c r="G318" s="366" t="s">
        <v>785</v>
      </c>
      <c r="H318" s="366"/>
      <c r="I318" s="366"/>
      <c r="J318" s="366"/>
      <c r="K318" s="366"/>
      <c r="L318" s="367"/>
      <c r="M318" s="20" t="s">
        <v>591</v>
      </c>
      <c r="N318" s="20" t="s">
        <v>592</v>
      </c>
      <c r="O318" s="20" t="s">
        <v>593</v>
      </c>
      <c r="P318" s="25" t="s">
        <v>594</v>
      </c>
      <c r="V318" s="7"/>
    </row>
    <row r="319" spans="2:22" ht="18" customHeight="1">
      <c r="B319" s="355" t="str">
        <f>HYPERLINK("#LAYOUT_e4!lay초YEDU2A02","YEDU2A02")</f>
        <v>YEDU2A02</v>
      </c>
      <c r="C319" s="355"/>
      <c r="E319" s="7"/>
      <c r="G319" s="366" t="s">
        <v>786</v>
      </c>
      <c r="H319" s="366"/>
      <c r="I319" s="366"/>
      <c r="J319" s="366"/>
      <c r="K319" s="366"/>
      <c r="L319" s="367"/>
      <c r="M319" s="22" t="s">
        <v>591</v>
      </c>
      <c r="N319" s="22" t="s">
        <v>592</v>
      </c>
      <c r="O319" s="22" t="s">
        <v>593</v>
      </c>
      <c r="P319" s="24" t="s">
        <v>594</v>
      </c>
      <c r="V319" s="7"/>
    </row>
    <row r="320" spans="2:22" ht="18" customHeight="1">
      <c r="B320" s="355" t="str">
        <f>HYPERLINK("#LAYOUT_e4!lay초YEDU2A03","YEDU2A03")</f>
        <v>YEDU2A03</v>
      </c>
      <c r="C320" s="355"/>
      <c r="E320" s="7"/>
      <c r="G320" s="366" t="s">
        <v>787</v>
      </c>
      <c r="H320" s="366"/>
      <c r="I320" s="366"/>
      <c r="J320" s="366"/>
      <c r="K320" s="366"/>
      <c r="L320" s="367"/>
      <c r="M320" s="22" t="s">
        <v>591</v>
      </c>
      <c r="N320" s="22" t="s">
        <v>592</v>
      </c>
      <c r="O320" s="22" t="s">
        <v>593</v>
      </c>
      <c r="P320" s="24" t="s">
        <v>594</v>
      </c>
      <c r="V320" s="7"/>
    </row>
    <row r="321" spans="2:22" ht="18" customHeight="1">
      <c r="B321" s="355" t="str">
        <f>HYPERLINK("#LAYOUT_e4!lay초YEDU2A04","YEDU2A04")</f>
        <v>YEDU2A04</v>
      </c>
      <c r="C321" s="355"/>
      <c r="E321" s="7"/>
      <c r="G321" s="366" t="s">
        <v>788</v>
      </c>
      <c r="H321" s="366"/>
      <c r="I321" s="366"/>
      <c r="J321" s="366"/>
      <c r="K321" s="366"/>
      <c r="L321" s="367"/>
      <c r="M321" s="22" t="s">
        <v>591</v>
      </c>
      <c r="N321" s="22" t="s">
        <v>592</v>
      </c>
      <c r="O321" s="22" t="s">
        <v>593</v>
      </c>
      <c r="P321" s="24" t="s">
        <v>594</v>
      </c>
      <c r="V321" s="7"/>
    </row>
    <row r="322" spans="2:22" ht="18" customHeight="1">
      <c r="B322" s="355" t="str">
        <f>HYPERLINK("#LAYOUT_e4!lay초YEDU2A05","YEDU2A05")</f>
        <v>YEDU2A05</v>
      </c>
      <c r="C322" s="355"/>
      <c r="E322" s="7"/>
      <c r="G322" s="366" t="s">
        <v>789</v>
      </c>
      <c r="H322" s="366"/>
      <c r="I322" s="366"/>
      <c r="J322" s="366"/>
      <c r="K322" s="366"/>
      <c r="L322" s="367"/>
      <c r="M322" s="22" t="s">
        <v>591</v>
      </c>
      <c r="N322" s="22" t="s">
        <v>592</v>
      </c>
      <c r="O322" s="22" t="s">
        <v>593</v>
      </c>
      <c r="P322" s="24" t="s">
        <v>594</v>
      </c>
      <c r="V322" s="7"/>
    </row>
    <row r="323" spans="2:22" ht="18" customHeight="1">
      <c r="B323" s="355" t="str">
        <f>HYPERLINK("#LAYOUT_e4!lay초YEDU2A06","YEDU2A06")</f>
        <v>YEDU2A06</v>
      </c>
      <c r="C323" s="355"/>
      <c r="E323" s="7"/>
      <c r="G323" s="366" t="s">
        <v>790</v>
      </c>
      <c r="H323" s="366"/>
      <c r="I323" s="366"/>
      <c r="J323" s="366"/>
      <c r="K323" s="366"/>
      <c r="L323" s="367"/>
      <c r="M323" s="22" t="s">
        <v>591</v>
      </c>
      <c r="N323" s="22" t="s">
        <v>592</v>
      </c>
      <c r="O323" s="22" t="s">
        <v>593</v>
      </c>
      <c r="P323" s="24" t="s">
        <v>594</v>
      </c>
      <c r="V323" s="7"/>
    </row>
    <row r="324" spans="2:22" ht="18" customHeight="1">
      <c r="B324" s="355" t="str">
        <f>HYPERLINK("#LAYOUT_e4!lay초YEDU2A07","YEDU2A07")</f>
        <v>YEDU2A07</v>
      </c>
      <c r="C324" s="355"/>
      <c r="E324" s="7"/>
      <c r="G324" s="366" t="s">
        <v>791</v>
      </c>
      <c r="H324" s="366"/>
      <c r="I324" s="366"/>
      <c r="J324" s="366"/>
      <c r="K324" s="366"/>
      <c r="L324" s="367"/>
      <c r="M324" s="22" t="s">
        <v>591</v>
      </c>
      <c r="N324" s="22" t="s">
        <v>592</v>
      </c>
      <c r="O324" s="22" t="s">
        <v>593</v>
      </c>
      <c r="P324" s="24" t="s">
        <v>594</v>
      </c>
      <c r="V324" s="7"/>
    </row>
    <row r="325" spans="2:22" ht="18" customHeight="1">
      <c r="B325" s="355" t="str">
        <f>HYPERLINK("#LAYOUT_e4!lay초YEDU2A08","YEDU2A08")</f>
        <v>YEDU2A08</v>
      </c>
      <c r="C325" s="355"/>
      <c r="E325" s="7"/>
      <c r="G325" s="366" t="s">
        <v>792</v>
      </c>
      <c r="H325" s="366"/>
      <c r="I325" s="366"/>
      <c r="J325" s="366"/>
      <c r="K325" s="366"/>
      <c r="L325" s="367"/>
      <c r="M325" s="22" t="s">
        <v>591</v>
      </c>
      <c r="N325" s="22" t="s">
        <v>592</v>
      </c>
      <c r="O325" s="22" t="s">
        <v>593</v>
      </c>
      <c r="P325" s="24" t="s">
        <v>594</v>
      </c>
      <c r="V325" s="7"/>
    </row>
    <row r="326" spans="2:22" ht="18" customHeight="1">
      <c r="B326" s="355" t="str">
        <f>HYPERLINK("#LAYOUT_e4!lay초YEDU2A09","YEDU2A09")</f>
        <v>YEDU2A09</v>
      </c>
      <c r="C326" s="355"/>
      <c r="E326" s="7"/>
      <c r="G326" s="366" t="s">
        <v>793</v>
      </c>
      <c r="H326" s="366"/>
      <c r="I326" s="366"/>
      <c r="J326" s="366"/>
      <c r="K326" s="366"/>
      <c r="L326" s="367"/>
      <c r="M326" s="22" t="s">
        <v>591</v>
      </c>
      <c r="N326" s="22" t="s">
        <v>592</v>
      </c>
      <c r="O326" s="22" t="s">
        <v>593</v>
      </c>
      <c r="P326" s="24" t="s">
        <v>594</v>
      </c>
      <c r="V326" s="7"/>
    </row>
    <row r="327" spans="2:22" ht="18" customHeight="1">
      <c r="B327" s="355" t="str">
        <f>HYPERLINK("#LAYOUT_e4!lay초YEDU2A10","YEDU2A10")</f>
        <v>YEDU2A10</v>
      </c>
      <c r="C327" s="355"/>
      <c r="E327" s="7"/>
      <c r="G327" s="366" t="s">
        <v>794</v>
      </c>
      <c r="H327" s="366"/>
      <c r="I327" s="366"/>
      <c r="J327" s="366"/>
      <c r="K327" s="366"/>
      <c r="L327" s="367"/>
      <c r="M327" s="22" t="s">
        <v>591</v>
      </c>
      <c r="N327" s="22" t="s">
        <v>592</v>
      </c>
      <c r="O327" s="22" t="s">
        <v>593</v>
      </c>
      <c r="P327" s="24" t="s">
        <v>594</v>
      </c>
      <c r="V327" s="7"/>
    </row>
    <row r="328" spans="2:22" ht="18" customHeight="1">
      <c r="B328" s="355" t="str">
        <f>HYPERLINK("#LAYOUT_e4!lay초YEDU2A11","YEDU2A11")</f>
        <v>YEDU2A11</v>
      </c>
      <c r="C328" s="355"/>
      <c r="E328" s="7"/>
      <c r="G328" s="366" t="s">
        <v>795</v>
      </c>
      <c r="H328" s="366"/>
      <c r="I328" s="366"/>
      <c r="J328" s="366"/>
      <c r="K328" s="366"/>
      <c r="L328" s="367"/>
      <c r="M328" s="22" t="s">
        <v>591</v>
      </c>
      <c r="N328" s="22" t="s">
        <v>592</v>
      </c>
      <c r="O328" s="22" t="s">
        <v>593</v>
      </c>
      <c r="P328" s="24" t="s">
        <v>594</v>
      </c>
      <c r="V328" s="7"/>
    </row>
    <row r="329" spans="2:22" ht="18" customHeight="1">
      <c r="B329" s="355" t="str">
        <f>HYPERLINK("#LAYOUT_e4!lay초YEDU2A12","YEDU2A12")</f>
        <v>YEDU2A12</v>
      </c>
      <c r="C329" s="355"/>
      <c r="E329" s="7"/>
      <c r="G329" s="366" t="s">
        <v>796</v>
      </c>
      <c r="H329" s="366"/>
      <c r="I329" s="366"/>
      <c r="J329" s="366"/>
      <c r="K329" s="366"/>
      <c r="L329" s="367"/>
      <c r="M329" s="22" t="s">
        <v>591</v>
      </c>
      <c r="N329" s="22" t="s">
        <v>592</v>
      </c>
      <c r="O329" s="22" t="s">
        <v>593</v>
      </c>
      <c r="P329" s="24" t="s">
        <v>594</v>
      </c>
      <c r="V329" s="7"/>
    </row>
    <row r="330" spans="2:22" ht="18" customHeight="1">
      <c r="B330" s="355" t="str">
        <f>HYPERLINK("#LAYOUT_e4!lay초YEDU2A13","YEDU2A13")</f>
        <v>YEDU2A13</v>
      </c>
      <c r="C330" s="355"/>
      <c r="E330" s="7"/>
      <c r="G330" s="366" t="s">
        <v>797</v>
      </c>
      <c r="H330" s="366"/>
      <c r="I330" s="366"/>
      <c r="J330" s="366"/>
      <c r="K330" s="366"/>
      <c r="L330" s="367"/>
      <c r="M330" s="22" t="s">
        <v>591</v>
      </c>
      <c r="N330" s="22" t="s">
        <v>592</v>
      </c>
      <c r="O330" s="22" t="s">
        <v>593</v>
      </c>
      <c r="P330" s="24" t="s">
        <v>594</v>
      </c>
      <c r="V330" s="7"/>
    </row>
    <row r="331" spans="2:22" ht="18" customHeight="1">
      <c r="B331" s="195"/>
      <c r="C331" s="195"/>
      <c r="E331" s="7"/>
      <c r="V331" s="7"/>
    </row>
    <row r="332" spans="2:22" ht="18" customHeight="1">
      <c r="B332" s="195"/>
      <c r="C332" s="195"/>
      <c r="E332" s="7"/>
      <c r="V332" s="7"/>
    </row>
    <row r="333" spans="2:22" ht="18" customHeight="1" thickBot="1">
      <c r="B333" s="195"/>
      <c r="C333" s="195"/>
      <c r="E333" s="7"/>
      <c r="F333" s="6" t="s">
        <v>1526</v>
      </c>
      <c r="V333" s="7"/>
    </row>
    <row r="334" spans="2:22" ht="31.5" thickTop="1" thickBot="1">
      <c r="B334" s="195"/>
      <c r="C334" s="195"/>
      <c r="E334" s="7"/>
      <c r="G334" s="397" t="s">
        <v>643</v>
      </c>
      <c r="H334" s="397"/>
      <c r="I334" s="397"/>
      <c r="J334" s="397"/>
      <c r="K334" s="397"/>
      <c r="L334" s="398"/>
      <c r="M334" s="9" t="s">
        <v>622</v>
      </c>
      <c r="N334" s="9" t="s">
        <v>623</v>
      </c>
      <c r="O334" s="9" t="s">
        <v>107</v>
      </c>
      <c r="P334" s="10" t="s">
        <v>108</v>
      </c>
      <c r="V334" s="7"/>
    </row>
    <row r="335" spans="2:22" ht="18" customHeight="1" thickTop="1">
      <c r="B335" s="355" t="str">
        <f>HYPERLINK("#LAYOUT_e4!lay초YEDU3A01","YEDU3A01")</f>
        <v>YEDU3A01</v>
      </c>
      <c r="C335" s="355"/>
      <c r="E335" s="7"/>
      <c r="G335" s="366" t="s">
        <v>799</v>
      </c>
      <c r="H335" s="366"/>
      <c r="I335" s="366"/>
      <c r="J335" s="366"/>
      <c r="K335" s="366"/>
      <c r="L335" s="367"/>
      <c r="M335" s="20" t="s">
        <v>591</v>
      </c>
      <c r="N335" s="20" t="s">
        <v>592</v>
      </c>
      <c r="O335" s="20" t="s">
        <v>593</v>
      </c>
      <c r="P335" s="25" t="s">
        <v>594</v>
      </c>
      <c r="V335" s="7"/>
    </row>
    <row r="336" spans="2:22" ht="18" customHeight="1">
      <c r="B336" s="355" t="str">
        <f>HYPERLINK("#LAYOUT_e4!lay초YEDU3A02","YEDU3A02")</f>
        <v>YEDU3A02</v>
      </c>
      <c r="C336" s="355"/>
      <c r="E336" s="7"/>
      <c r="G336" s="366" t="s">
        <v>800</v>
      </c>
      <c r="H336" s="366"/>
      <c r="I336" s="366"/>
      <c r="J336" s="366"/>
      <c r="K336" s="366"/>
      <c r="L336" s="367"/>
      <c r="M336" s="22" t="s">
        <v>591</v>
      </c>
      <c r="N336" s="22" t="s">
        <v>592</v>
      </c>
      <c r="O336" s="22" t="s">
        <v>593</v>
      </c>
      <c r="P336" s="24" t="s">
        <v>594</v>
      </c>
      <c r="V336" s="7"/>
    </row>
    <row r="337" spans="2:22" ht="18" customHeight="1">
      <c r="B337" s="355" t="str">
        <f>HYPERLINK("#LAYOUT_e4!lay초YEDU3A03","YEDU3A03")</f>
        <v>YEDU3A03</v>
      </c>
      <c r="C337" s="355"/>
      <c r="E337" s="7"/>
      <c r="G337" s="366" t="s">
        <v>801</v>
      </c>
      <c r="H337" s="366"/>
      <c r="I337" s="366"/>
      <c r="J337" s="366"/>
      <c r="K337" s="366"/>
      <c r="L337" s="367"/>
      <c r="M337" s="22" t="s">
        <v>591</v>
      </c>
      <c r="N337" s="22" t="s">
        <v>592</v>
      </c>
      <c r="O337" s="22" t="s">
        <v>593</v>
      </c>
      <c r="P337" s="24" t="s">
        <v>594</v>
      </c>
      <c r="V337" s="7"/>
    </row>
    <row r="338" spans="2:22" ht="18" customHeight="1">
      <c r="B338" s="355" t="str">
        <f>HYPERLINK("#LAYOUT_e4!lay초YEDU3A04","YEDU3A04")</f>
        <v>YEDU3A04</v>
      </c>
      <c r="C338" s="355"/>
      <c r="E338" s="7"/>
      <c r="G338" s="366" t="s">
        <v>802</v>
      </c>
      <c r="H338" s="366"/>
      <c r="I338" s="366"/>
      <c r="J338" s="366"/>
      <c r="K338" s="366"/>
      <c r="L338" s="367"/>
      <c r="M338" s="22" t="s">
        <v>591</v>
      </c>
      <c r="N338" s="22" t="s">
        <v>592</v>
      </c>
      <c r="O338" s="22" t="s">
        <v>593</v>
      </c>
      <c r="P338" s="24" t="s">
        <v>594</v>
      </c>
      <c r="V338" s="7"/>
    </row>
    <row r="339" spans="2:22" ht="18" customHeight="1">
      <c r="B339" s="355" t="str">
        <f>HYPERLINK("#LAYOUT_e4!lay초YEDU3A05","YEDU3A05")</f>
        <v>YEDU3A05</v>
      </c>
      <c r="C339" s="355"/>
      <c r="E339" s="7"/>
      <c r="G339" s="366" t="s">
        <v>803</v>
      </c>
      <c r="H339" s="366"/>
      <c r="I339" s="366"/>
      <c r="J339" s="366"/>
      <c r="K339" s="366"/>
      <c r="L339" s="367"/>
      <c r="M339" s="22" t="s">
        <v>591</v>
      </c>
      <c r="N339" s="22" t="s">
        <v>592</v>
      </c>
      <c r="O339" s="22" t="s">
        <v>593</v>
      </c>
      <c r="P339" s="24" t="s">
        <v>594</v>
      </c>
      <c r="V339" s="7"/>
    </row>
    <row r="340" spans="2:22" ht="18" customHeight="1">
      <c r="B340" s="355" t="str">
        <f>HYPERLINK("#LAYOUT_e4!lay초YEDU3A06","YEDU3A06")</f>
        <v>YEDU3A06</v>
      </c>
      <c r="C340" s="355"/>
      <c r="E340" s="7"/>
      <c r="G340" s="366" t="s">
        <v>804</v>
      </c>
      <c r="H340" s="366"/>
      <c r="I340" s="366"/>
      <c r="J340" s="366"/>
      <c r="K340" s="366"/>
      <c r="L340" s="367"/>
      <c r="M340" s="22" t="s">
        <v>591</v>
      </c>
      <c r="N340" s="22" t="s">
        <v>592</v>
      </c>
      <c r="O340" s="22" t="s">
        <v>593</v>
      </c>
      <c r="P340" s="24" t="s">
        <v>594</v>
      </c>
      <c r="V340" s="7"/>
    </row>
    <row r="341" spans="2:22" ht="18" customHeight="1">
      <c r="B341" s="355" t="str">
        <f>HYPERLINK("#LAYOUT_e4!lay초YEDU3A07","YEDU3A07")</f>
        <v>YEDU3A07</v>
      </c>
      <c r="C341" s="355"/>
      <c r="E341" s="7"/>
      <c r="G341" s="366" t="s">
        <v>805</v>
      </c>
      <c r="H341" s="366"/>
      <c r="I341" s="366"/>
      <c r="J341" s="366"/>
      <c r="K341" s="366"/>
      <c r="L341" s="367"/>
      <c r="M341" s="22" t="s">
        <v>591</v>
      </c>
      <c r="N341" s="22" t="s">
        <v>592</v>
      </c>
      <c r="O341" s="22" t="s">
        <v>593</v>
      </c>
      <c r="P341" s="24" t="s">
        <v>594</v>
      </c>
      <c r="V341" s="7"/>
    </row>
    <row r="342" spans="2:22" ht="18" customHeight="1">
      <c r="B342" s="355" t="str">
        <f>HYPERLINK("#LAYOUT_e4!lay초YEDU3A08","YEDU3A08")</f>
        <v>YEDU3A08</v>
      </c>
      <c r="C342" s="355"/>
      <c r="E342" s="7"/>
      <c r="G342" s="366" t="s">
        <v>806</v>
      </c>
      <c r="H342" s="366"/>
      <c r="I342" s="366"/>
      <c r="J342" s="366"/>
      <c r="K342" s="366"/>
      <c r="L342" s="367"/>
      <c r="M342" s="22" t="s">
        <v>591</v>
      </c>
      <c r="N342" s="22" t="s">
        <v>592</v>
      </c>
      <c r="O342" s="22" t="s">
        <v>593</v>
      </c>
      <c r="P342" s="24" t="s">
        <v>594</v>
      </c>
      <c r="V342" s="7"/>
    </row>
    <row r="343" spans="2:22" ht="18" customHeight="1">
      <c r="B343" s="355" t="str">
        <f>HYPERLINK("#LAYOUT_e4!lay초YEDU3A09","YEDU3A09")</f>
        <v>YEDU3A09</v>
      </c>
      <c r="C343" s="355"/>
      <c r="E343" s="7"/>
      <c r="G343" s="366" t="s">
        <v>807</v>
      </c>
      <c r="H343" s="366"/>
      <c r="I343" s="366"/>
      <c r="J343" s="366"/>
      <c r="K343" s="366"/>
      <c r="L343" s="367"/>
      <c r="M343" s="22" t="s">
        <v>591</v>
      </c>
      <c r="N343" s="22" t="s">
        <v>592</v>
      </c>
      <c r="O343" s="22" t="s">
        <v>593</v>
      </c>
      <c r="P343" s="24" t="s">
        <v>594</v>
      </c>
      <c r="V343" s="7"/>
    </row>
    <row r="344" spans="2:22" ht="18" customHeight="1">
      <c r="B344" s="355" t="str">
        <f>HYPERLINK("#LAYOUT_e4!lay초YEDU3A10","YEDU3A10")</f>
        <v>YEDU3A10</v>
      </c>
      <c r="C344" s="355"/>
      <c r="E344" s="7"/>
      <c r="G344" s="366" t="s">
        <v>808</v>
      </c>
      <c r="H344" s="366"/>
      <c r="I344" s="366"/>
      <c r="J344" s="366"/>
      <c r="K344" s="366"/>
      <c r="L344" s="367"/>
      <c r="M344" s="22" t="s">
        <v>591</v>
      </c>
      <c r="N344" s="22" t="s">
        <v>592</v>
      </c>
      <c r="O344" s="22" t="s">
        <v>593</v>
      </c>
      <c r="P344" s="24" t="s">
        <v>594</v>
      </c>
      <c r="V344" s="7"/>
    </row>
    <row r="345" spans="2:22" ht="18" customHeight="1">
      <c r="B345" s="355" t="str">
        <f>HYPERLINK("#LAYOUT_e4!lay초YEDU3A11","YEDU3A11")</f>
        <v>YEDU3A11</v>
      </c>
      <c r="C345" s="355"/>
      <c r="E345" s="7"/>
      <c r="G345" s="366" t="s">
        <v>809</v>
      </c>
      <c r="H345" s="366"/>
      <c r="I345" s="366"/>
      <c r="J345" s="366"/>
      <c r="K345" s="366"/>
      <c r="L345" s="367"/>
      <c r="M345" s="22" t="s">
        <v>591</v>
      </c>
      <c r="N345" s="22" t="s">
        <v>592</v>
      </c>
      <c r="O345" s="22" t="s">
        <v>593</v>
      </c>
      <c r="P345" s="24" t="s">
        <v>594</v>
      </c>
      <c r="V345" s="7"/>
    </row>
    <row r="346" spans="2:22" ht="18" customHeight="1">
      <c r="B346" s="355" t="str">
        <f>HYPERLINK("#LAYOUT_e4!lay초YEDU3A12","YEDU3A12")</f>
        <v>YEDU3A12</v>
      </c>
      <c r="C346" s="355"/>
      <c r="E346" s="7"/>
      <c r="G346" s="366" t="s">
        <v>810</v>
      </c>
      <c r="H346" s="366"/>
      <c r="I346" s="366"/>
      <c r="J346" s="366"/>
      <c r="K346" s="366"/>
      <c r="L346" s="367"/>
      <c r="M346" s="22" t="s">
        <v>591</v>
      </c>
      <c r="N346" s="22" t="s">
        <v>592</v>
      </c>
      <c r="O346" s="22" t="s">
        <v>593</v>
      </c>
      <c r="P346" s="24" t="s">
        <v>594</v>
      </c>
      <c r="V346" s="7"/>
    </row>
    <row r="347" spans="2:22" ht="18" customHeight="1">
      <c r="B347" s="355" t="str">
        <f>HYPERLINK("#LAYOUT_e4!lay초YEDU3A13","YEDU3A13")</f>
        <v>YEDU3A13</v>
      </c>
      <c r="C347" s="355"/>
      <c r="E347" s="7"/>
      <c r="G347" s="366" t="s">
        <v>811</v>
      </c>
      <c r="H347" s="366"/>
      <c r="I347" s="366"/>
      <c r="J347" s="366"/>
      <c r="K347" s="366"/>
      <c r="L347" s="367"/>
      <c r="M347" s="22" t="s">
        <v>591</v>
      </c>
      <c r="N347" s="22" t="s">
        <v>592</v>
      </c>
      <c r="O347" s="22" t="s">
        <v>593</v>
      </c>
      <c r="P347" s="24" t="s">
        <v>594</v>
      </c>
      <c r="V347" s="7"/>
    </row>
    <row r="348" spans="2:22" ht="18" customHeight="1">
      <c r="B348" s="355" t="str">
        <f>HYPERLINK("#LAYOUT_e4!lay초YEDU3A14","YEDU3A14")</f>
        <v>YEDU3A14</v>
      </c>
      <c r="C348" s="355"/>
      <c r="E348" s="7"/>
      <c r="G348" s="366" t="s">
        <v>812</v>
      </c>
      <c r="H348" s="366"/>
      <c r="I348" s="366"/>
      <c r="J348" s="366"/>
      <c r="K348" s="366"/>
      <c r="L348" s="367"/>
      <c r="M348" s="22" t="s">
        <v>591</v>
      </c>
      <c r="N348" s="22" t="s">
        <v>592</v>
      </c>
      <c r="O348" s="22" t="s">
        <v>593</v>
      </c>
      <c r="P348" s="24" t="s">
        <v>594</v>
      </c>
      <c r="V348" s="7"/>
    </row>
    <row r="349" spans="2:22" ht="18" customHeight="1">
      <c r="B349" s="195"/>
      <c r="C349" s="195"/>
      <c r="E349" s="7"/>
      <c r="V349" s="7"/>
    </row>
    <row r="350" spans="2:22" ht="18" customHeight="1">
      <c r="B350" s="195"/>
      <c r="C350" s="195"/>
      <c r="E350" s="7"/>
      <c r="V350" s="7"/>
    </row>
    <row r="351" spans="2:22" ht="18" customHeight="1">
      <c r="B351" s="355" t="str">
        <f>HYPERLINK("#LAYOUT_e4!lay초YPHY1A00","YPHY1A00")</f>
        <v>YPHY1A00</v>
      </c>
      <c r="C351" s="355"/>
      <c r="E351" s="7"/>
      <c r="F351" s="6" t="s">
        <v>1527</v>
      </c>
      <c r="V351" s="7"/>
    </row>
    <row r="352" spans="2:22" ht="18" customHeight="1">
      <c r="B352" s="195"/>
      <c r="C352" s="195"/>
      <c r="E352" s="7"/>
      <c r="G352" s="396" t="s">
        <v>814</v>
      </c>
      <c r="H352" s="396"/>
      <c r="I352" s="396" t="s">
        <v>815</v>
      </c>
      <c r="J352" s="396"/>
      <c r="V352" s="7"/>
    </row>
    <row r="353" spans="2:22" ht="18" customHeight="1">
      <c r="B353" s="195"/>
      <c r="C353" s="195"/>
      <c r="E353" s="7"/>
      <c r="G353" s="396" t="s">
        <v>816</v>
      </c>
      <c r="H353" s="396"/>
      <c r="I353" s="396" t="s">
        <v>817</v>
      </c>
      <c r="J353" s="396"/>
      <c r="V353" s="7"/>
    </row>
    <row r="354" spans="2:22" ht="18" customHeight="1">
      <c r="B354" s="195"/>
      <c r="C354" s="195"/>
      <c r="E354" s="7"/>
      <c r="V354" s="7"/>
    </row>
    <row r="355" spans="2:22" ht="18" customHeight="1">
      <c r="B355" s="195"/>
      <c r="C355" s="195"/>
      <c r="E355" s="7"/>
      <c r="V355" s="7"/>
    </row>
    <row r="356" spans="2:22" ht="18" customHeight="1">
      <c r="B356" s="355" t="str">
        <f>HYPERLINK("#LAYOUT_e4!lay초YPHY1B00","YPHY1B00")</f>
        <v>YPHY1B00</v>
      </c>
      <c r="C356" s="355"/>
      <c r="E356" s="7"/>
      <c r="F356" s="6" t="s">
        <v>1528</v>
      </c>
      <c r="V356" s="7"/>
    </row>
    <row r="357" spans="2:22" ht="18" customHeight="1">
      <c r="B357" s="195"/>
      <c r="C357" s="195"/>
      <c r="E357" s="7"/>
      <c r="G357" s="6" t="s">
        <v>819</v>
      </c>
      <c r="H357" s="6" t="s">
        <v>820</v>
      </c>
      <c r="I357" s="6" t="s">
        <v>821</v>
      </c>
      <c r="V357" s="7"/>
    </row>
    <row r="358" spans="2:22" ht="18" customHeight="1">
      <c r="B358" s="195"/>
      <c r="C358" s="195"/>
      <c r="E358" s="7"/>
      <c r="G358" s="6" t="s">
        <v>822</v>
      </c>
      <c r="H358" s="6" t="s">
        <v>823</v>
      </c>
      <c r="V358" s="7"/>
    </row>
    <row r="359" spans="2:22" ht="18" customHeight="1">
      <c r="B359" s="195"/>
      <c r="C359" s="195"/>
      <c r="E359" s="7"/>
      <c r="V359" s="7"/>
    </row>
    <row r="360" spans="2:22" ht="18" customHeight="1">
      <c r="B360" s="195"/>
      <c r="C360" s="195"/>
      <c r="E360" s="7"/>
      <c r="V360" s="7"/>
    </row>
    <row r="361" spans="2:22" ht="18" customHeight="1">
      <c r="B361" s="355" t="str">
        <f>HYPERLINK("#LAYOUT_e4!lay초YPHY1C00","YPHY1C00")</f>
        <v>YPHY1C00</v>
      </c>
      <c r="C361" s="355"/>
      <c r="E361" s="7"/>
      <c r="F361" s="6" t="s">
        <v>1529</v>
      </c>
      <c r="V361" s="7"/>
    </row>
    <row r="362" spans="2:22" ht="18" customHeight="1">
      <c r="B362" s="195"/>
      <c r="C362" s="195"/>
      <c r="E362" s="7"/>
      <c r="G362" s="6" t="s">
        <v>1596</v>
      </c>
      <c r="V362" s="7"/>
    </row>
    <row r="363" spans="2:22" ht="18" customHeight="1">
      <c r="B363" s="195"/>
      <c r="C363" s="195"/>
      <c r="E363" s="7"/>
      <c r="V363" s="7"/>
    </row>
    <row r="364" spans="2:22" ht="18" customHeight="1">
      <c r="B364" s="195"/>
      <c r="C364" s="195"/>
      <c r="E364" s="7"/>
      <c r="V364" s="7"/>
    </row>
    <row r="365" spans="2:22" ht="18" customHeight="1">
      <c r="B365" s="195"/>
      <c r="C365" s="195"/>
      <c r="E365" s="7"/>
      <c r="F365" s="6" t="s">
        <v>1530</v>
      </c>
      <c r="V365" s="7"/>
    </row>
    <row r="366" spans="2:22" ht="18" customHeight="1">
      <c r="B366" s="355" t="str">
        <f>HYPERLINK("#LAYOUT_e4!lay초YPHY2A00","YPHY2A00")</f>
        <v>YPHY2A00</v>
      </c>
      <c r="C366" s="355"/>
      <c r="E366" s="7"/>
      <c r="G366" s="407" t="s">
        <v>1597</v>
      </c>
      <c r="H366" s="407"/>
      <c r="I366" s="407"/>
      <c r="V366" s="7"/>
    </row>
    <row r="367" spans="2:22" ht="18" customHeight="1">
      <c r="B367" s="355" t="str">
        <f>HYPERLINK("#LAYOUT_e4!lay초YPHY2B00","YPHY2B00")</f>
        <v>YPHY2B00</v>
      </c>
      <c r="C367" s="355"/>
      <c r="E367" s="7"/>
      <c r="G367" s="407" t="s">
        <v>1598</v>
      </c>
      <c r="H367" s="407"/>
      <c r="I367" s="407"/>
      <c r="V367" s="7"/>
    </row>
    <row r="368" spans="2:22" ht="18" customHeight="1">
      <c r="E368" s="7"/>
      <c r="V368" s="7"/>
    </row>
    <row r="369" spans="5:22" ht="9.75" customHeight="1"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</sheetData>
  <sheetProtection algorithmName="SHA-512" hashValue="aYQVO57qSsvaMYehBGCanXxm7/q8cNYfTSVeU6zl95ccBhM26WleUg9r8/AfXuyVCho0LZVra+QlG2cf6V3ULg==" saltValue="GY5hYRJduMfqTHuPPgm6OA==" spinCount="100000" sheet="1" objects="1" scenarios="1"/>
  <mergeCells count="493">
    <mergeCell ref="B290:C290"/>
    <mergeCell ref="B291:C291"/>
    <mergeCell ref="B187:C187"/>
    <mergeCell ref="B188:C188"/>
    <mergeCell ref="B189:C189"/>
    <mergeCell ref="B194:C194"/>
    <mergeCell ref="B195:C195"/>
    <mergeCell ref="B196:C196"/>
    <mergeCell ref="B227:C227"/>
    <mergeCell ref="B228:C228"/>
    <mergeCell ref="B229:C229"/>
    <mergeCell ref="B201:C201"/>
    <mergeCell ref="B206:C206"/>
    <mergeCell ref="B212:C212"/>
    <mergeCell ref="B218:C218"/>
    <mergeCell ref="B224:C224"/>
    <mergeCell ref="B241:C241"/>
    <mergeCell ref="B246:C246"/>
    <mergeCell ref="B256:C256"/>
    <mergeCell ref="B259:C259"/>
    <mergeCell ref="H283:I283"/>
    <mergeCell ref="J283:K283"/>
    <mergeCell ref="G284:G285"/>
    <mergeCell ref="H284:I284"/>
    <mergeCell ref="J284:K284"/>
    <mergeCell ref="L284:L285"/>
    <mergeCell ref="H285:I285"/>
    <mergeCell ref="J285:K285"/>
    <mergeCell ref="B10:C10"/>
    <mergeCell ref="B11:C11"/>
    <mergeCell ref="B14:C14"/>
    <mergeCell ref="B26:B29"/>
    <mergeCell ref="C26:C29"/>
    <mergeCell ref="B32:C32"/>
    <mergeCell ref="B33:C33"/>
    <mergeCell ref="B34:C34"/>
    <mergeCell ref="B35:C35"/>
    <mergeCell ref="B234:C234"/>
    <mergeCell ref="B235:C235"/>
    <mergeCell ref="B236:C236"/>
    <mergeCell ref="G24:L25"/>
    <mergeCell ref="B40:C40"/>
    <mergeCell ref="G40:L41"/>
    <mergeCell ref="B41:C41"/>
    <mergeCell ref="F2:U3"/>
    <mergeCell ref="F5:U5"/>
    <mergeCell ref="G20:L21"/>
    <mergeCell ref="M20:N20"/>
    <mergeCell ref="O20:P20"/>
    <mergeCell ref="M21:N21"/>
    <mergeCell ref="O21:P21"/>
    <mergeCell ref="G22:L23"/>
    <mergeCell ref="M22:N22"/>
    <mergeCell ref="O22:P22"/>
    <mergeCell ref="M23:N23"/>
    <mergeCell ref="O23:P23"/>
    <mergeCell ref="F6:U6"/>
    <mergeCell ref="M24:N24"/>
    <mergeCell ref="O24:P24"/>
    <mergeCell ref="M25:N25"/>
    <mergeCell ref="O25:P25"/>
    <mergeCell ref="O29:P29"/>
    <mergeCell ref="G31:M31"/>
    <mergeCell ref="G32:L33"/>
    <mergeCell ref="G34:L35"/>
    <mergeCell ref="G26:L29"/>
    <mergeCell ref="M26:N26"/>
    <mergeCell ref="O26:P26"/>
    <mergeCell ref="M27:N27"/>
    <mergeCell ref="O27:P27"/>
    <mergeCell ref="M28:N28"/>
    <mergeCell ref="O28:P28"/>
    <mergeCell ref="M29:N29"/>
    <mergeCell ref="B42:C42"/>
    <mergeCell ref="G42:L43"/>
    <mergeCell ref="B43:C43"/>
    <mergeCell ref="B36:C36"/>
    <mergeCell ref="G36:L37"/>
    <mergeCell ref="B37:C37"/>
    <mergeCell ref="B38:C38"/>
    <mergeCell ref="G38:L39"/>
    <mergeCell ref="B39:C39"/>
    <mergeCell ref="B48:C48"/>
    <mergeCell ref="G48:L49"/>
    <mergeCell ref="B49:C49"/>
    <mergeCell ref="B50:C50"/>
    <mergeCell ref="G50:L51"/>
    <mergeCell ref="B51:C51"/>
    <mergeCell ref="B44:C44"/>
    <mergeCell ref="G44:L45"/>
    <mergeCell ref="B45:C45"/>
    <mergeCell ref="B46:C46"/>
    <mergeCell ref="G46:L47"/>
    <mergeCell ref="B47:C47"/>
    <mergeCell ref="B65:C65"/>
    <mergeCell ref="G65:L65"/>
    <mergeCell ref="B66:C66"/>
    <mergeCell ref="G66:L66"/>
    <mergeCell ref="B67:C67"/>
    <mergeCell ref="G67:L67"/>
    <mergeCell ref="B52:C52"/>
    <mergeCell ref="G52:L53"/>
    <mergeCell ref="B53:C53"/>
    <mergeCell ref="B56:C56"/>
    <mergeCell ref="G63:L63"/>
    <mergeCell ref="B64:C64"/>
    <mergeCell ref="G64:L64"/>
    <mergeCell ref="B71:C71"/>
    <mergeCell ref="G71:L71"/>
    <mergeCell ref="B72:C72"/>
    <mergeCell ref="G72:L72"/>
    <mergeCell ref="B73:C73"/>
    <mergeCell ref="G73:L73"/>
    <mergeCell ref="B68:C68"/>
    <mergeCell ref="G68:L68"/>
    <mergeCell ref="B69:C69"/>
    <mergeCell ref="G69:L69"/>
    <mergeCell ref="B70:C70"/>
    <mergeCell ref="G70:L70"/>
    <mergeCell ref="B82:C82"/>
    <mergeCell ref="G82:L82"/>
    <mergeCell ref="B83:C83"/>
    <mergeCell ref="G83:L83"/>
    <mergeCell ref="B84:C84"/>
    <mergeCell ref="G84:L84"/>
    <mergeCell ref="B74:C74"/>
    <mergeCell ref="G74:L74"/>
    <mergeCell ref="G76:L76"/>
    <mergeCell ref="G80:L80"/>
    <mergeCell ref="B81:C81"/>
    <mergeCell ref="G81:L81"/>
    <mergeCell ref="B75:C75"/>
    <mergeCell ref="G75:L75"/>
    <mergeCell ref="B88:C88"/>
    <mergeCell ref="G88:L88"/>
    <mergeCell ref="B89:C89"/>
    <mergeCell ref="G89:L89"/>
    <mergeCell ref="B90:C90"/>
    <mergeCell ref="G90:L90"/>
    <mergeCell ref="B85:C85"/>
    <mergeCell ref="G85:L85"/>
    <mergeCell ref="B86:C86"/>
    <mergeCell ref="G86:L86"/>
    <mergeCell ref="B87:C87"/>
    <mergeCell ref="G87:L87"/>
    <mergeCell ref="B94:C94"/>
    <mergeCell ref="G94:L94"/>
    <mergeCell ref="B95:C95"/>
    <mergeCell ref="G95:L95"/>
    <mergeCell ref="B98:C98"/>
    <mergeCell ref="B107:C107"/>
    <mergeCell ref="B91:C91"/>
    <mergeCell ref="G91:L91"/>
    <mergeCell ref="B92:C92"/>
    <mergeCell ref="G92:L92"/>
    <mergeCell ref="B93:C93"/>
    <mergeCell ref="G93:L93"/>
    <mergeCell ref="B129:C129"/>
    <mergeCell ref="G129:L129"/>
    <mergeCell ref="B130:C130"/>
    <mergeCell ref="G130:L130"/>
    <mergeCell ref="B131:C131"/>
    <mergeCell ref="G131:L131"/>
    <mergeCell ref="B116:C116"/>
    <mergeCell ref="G126:L126"/>
    <mergeCell ref="B127:C127"/>
    <mergeCell ref="G127:L127"/>
    <mergeCell ref="B128:C128"/>
    <mergeCell ref="G128:L128"/>
    <mergeCell ref="B135:C135"/>
    <mergeCell ref="G135:L135"/>
    <mergeCell ref="B136:C136"/>
    <mergeCell ref="G136:L136"/>
    <mergeCell ref="B137:C137"/>
    <mergeCell ref="G137:L137"/>
    <mergeCell ref="B132:C132"/>
    <mergeCell ref="G132:L132"/>
    <mergeCell ref="B133:C133"/>
    <mergeCell ref="G133:L133"/>
    <mergeCell ref="B134:C134"/>
    <mergeCell ref="G134:L134"/>
    <mergeCell ref="B141:C141"/>
    <mergeCell ref="G141:L141"/>
    <mergeCell ref="B142:C142"/>
    <mergeCell ref="G142:L142"/>
    <mergeCell ref="G146:L146"/>
    <mergeCell ref="B147:C147"/>
    <mergeCell ref="G147:L147"/>
    <mergeCell ref="B138:C138"/>
    <mergeCell ref="G138:L138"/>
    <mergeCell ref="B139:C139"/>
    <mergeCell ref="G139:L139"/>
    <mergeCell ref="B140:C140"/>
    <mergeCell ref="G140:L140"/>
    <mergeCell ref="B151:C151"/>
    <mergeCell ref="G151:L151"/>
    <mergeCell ref="B152:C152"/>
    <mergeCell ref="G152:L152"/>
    <mergeCell ref="B153:C153"/>
    <mergeCell ref="G153:L153"/>
    <mergeCell ref="B148:C148"/>
    <mergeCell ref="G148:L148"/>
    <mergeCell ref="B149:C149"/>
    <mergeCell ref="G149:L149"/>
    <mergeCell ref="B150:C150"/>
    <mergeCell ref="G150:L150"/>
    <mergeCell ref="B161:C161"/>
    <mergeCell ref="G161:L161"/>
    <mergeCell ref="B162:C162"/>
    <mergeCell ref="G162:L162"/>
    <mergeCell ref="B163:C163"/>
    <mergeCell ref="G163:L163"/>
    <mergeCell ref="G154:L154"/>
    <mergeCell ref="G158:L158"/>
    <mergeCell ref="B159:C159"/>
    <mergeCell ref="G159:L159"/>
    <mergeCell ref="B160:C160"/>
    <mergeCell ref="G160:L160"/>
    <mergeCell ref="B174:C174"/>
    <mergeCell ref="G174:L174"/>
    <mergeCell ref="B175:C175"/>
    <mergeCell ref="G175:L175"/>
    <mergeCell ref="G179:L179"/>
    <mergeCell ref="B180:C180"/>
    <mergeCell ref="G180:L180"/>
    <mergeCell ref="G167:L167"/>
    <mergeCell ref="B168:C168"/>
    <mergeCell ref="G168:L168"/>
    <mergeCell ref="B169:C169"/>
    <mergeCell ref="G169:L169"/>
    <mergeCell ref="G173:L173"/>
    <mergeCell ref="B184:C184"/>
    <mergeCell ref="G184:L184"/>
    <mergeCell ref="B185:C185"/>
    <mergeCell ref="G185:L185"/>
    <mergeCell ref="B186:C186"/>
    <mergeCell ref="G186:L186"/>
    <mergeCell ref="B181:C181"/>
    <mergeCell ref="G181:L181"/>
    <mergeCell ref="B182:C182"/>
    <mergeCell ref="G182:L182"/>
    <mergeCell ref="B183:C183"/>
    <mergeCell ref="G183:L183"/>
    <mergeCell ref="G193:L193"/>
    <mergeCell ref="G194:L194"/>
    <mergeCell ref="G195:L195"/>
    <mergeCell ref="G196:L196"/>
    <mergeCell ref="G187:L187"/>
    <mergeCell ref="G188:L188"/>
    <mergeCell ref="G189:L189"/>
    <mergeCell ref="B200:C200"/>
    <mergeCell ref="G200:L200"/>
    <mergeCell ref="G201:L201"/>
    <mergeCell ref="B202:C202"/>
    <mergeCell ref="G202:L202"/>
    <mergeCell ref="B197:C197"/>
    <mergeCell ref="G197:L197"/>
    <mergeCell ref="B198:C198"/>
    <mergeCell ref="G198:L198"/>
    <mergeCell ref="B199:C199"/>
    <mergeCell ref="G199:L199"/>
    <mergeCell ref="G206:L206"/>
    <mergeCell ref="B207:C207"/>
    <mergeCell ref="G207:L207"/>
    <mergeCell ref="B208:C208"/>
    <mergeCell ref="G208:L208"/>
    <mergeCell ref="B203:C203"/>
    <mergeCell ref="G203:L203"/>
    <mergeCell ref="B204:C204"/>
    <mergeCell ref="G204:L204"/>
    <mergeCell ref="B205:C205"/>
    <mergeCell ref="G205:L205"/>
    <mergeCell ref="G212:L212"/>
    <mergeCell ref="B213:C213"/>
    <mergeCell ref="G213:L213"/>
    <mergeCell ref="B214:C214"/>
    <mergeCell ref="G214:L214"/>
    <mergeCell ref="B209:C209"/>
    <mergeCell ref="G209:L209"/>
    <mergeCell ref="B210:C210"/>
    <mergeCell ref="G210:L210"/>
    <mergeCell ref="B211:C211"/>
    <mergeCell ref="G211:L211"/>
    <mergeCell ref="G218:L218"/>
    <mergeCell ref="B219:C219"/>
    <mergeCell ref="G219:L219"/>
    <mergeCell ref="B220:C220"/>
    <mergeCell ref="G220:L220"/>
    <mergeCell ref="B215:C215"/>
    <mergeCell ref="G215:L215"/>
    <mergeCell ref="B216:C216"/>
    <mergeCell ref="G216:L216"/>
    <mergeCell ref="B217:C217"/>
    <mergeCell ref="G217:L217"/>
    <mergeCell ref="G224:L224"/>
    <mergeCell ref="B225:C225"/>
    <mergeCell ref="G225:L225"/>
    <mergeCell ref="B226:C226"/>
    <mergeCell ref="G226:L226"/>
    <mergeCell ref="B221:C221"/>
    <mergeCell ref="G221:L221"/>
    <mergeCell ref="B222:C222"/>
    <mergeCell ref="G222:L222"/>
    <mergeCell ref="B223:C223"/>
    <mergeCell ref="G223:L223"/>
    <mergeCell ref="G233:L233"/>
    <mergeCell ref="G234:L234"/>
    <mergeCell ref="G235:L235"/>
    <mergeCell ref="G236:L236"/>
    <mergeCell ref="G227:L227"/>
    <mergeCell ref="G228:L228"/>
    <mergeCell ref="G229:L229"/>
    <mergeCell ref="B240:C240"/>
    <mergeCell ref="G240:L240"/>
    <mergeCell ref="G241:L241"/>
    <mergeCell ref="B242:C242"/>
    <mergeCell ref="G242:L242"/>
    <mergeCell ref="B237:C237"/>
    <mergeCell ref="G237:L237"/>
    <mergeCell ref="B238:C238"/>
    <mergeCell ref="G238:L238"/>
    <mergeCell ref="B239:C239"/>
    <mergeCell ref="G239:L239"/>
    <mergeCell ref="G246:L246"/>
    <mergeCell ref="B247:C247"/>
    <mergeCell ref="G247:L247"/>
    <mergeCell ref="G251:L251"/>
    <mergeCell ref="B252:C252"/>
    <mergeCell ref="G252:L252"/>
    <mergeCell ref="B243:C243"/>
    <mergeCell ref="G243:L243"/>
    <mergeCell ref="B244:C244"/>
    <mergeCell ref="G244:L244"/>
    <mergeCell ref="B245:C245"/>
    <mergeCell ref="G245:L245"/>
    <mergeCell ref="G256:L256"/>
    <mergeCell ref="B257:C257"/>
    <mergeCell ref="G257:L257"/>
    <mergeCell ref="B258:C258"/>
    <mergeCell ref="G258:L258"/>
    <mergeCell ref="B253:C253"/>
    <mergeCell ref="G253:L253"/>
    <mergeCell ref="B254:C254"/>
    <mergeCell ref="G254:L254"/>
    <mergeCell ref="B255:C255"/>
    <mergeCell ref="G255:L255"/>
    <mergeCell ref="G259:L259"/>
    <mergeCell ref="G264:H264"/>
    <mergeCell ref="I264:J264"/>
    <mergeCell ref="G265:H265"/>
    <mergeCell ref="I265:J265"/>
    <mergeCell ref="J278:K278"/>
    <mergeCell ref="L278:L279"/>
    <mergeCell ref="H279:I279"/>
    <mergeCell ref="B269:C269"/>
    <mergeCell ref="B273:C273"/>
    <mergeCell ref="G266:H266"/>
    <mergeCell ref="I266:J266"/>
    <mergeCell ref="G289:L289"/>
    <mergeCell ref="G290:L290"/>
    <mergeCell ref="G291:L291"/>
    <mergeCell ref="H275:I275"/>
    <mergeCell ref="J275:K275"/>
    <mergeCell ref="G276:G277"/>
    <mergeCell ref="J279:K279"/>
    <mergeCell ref="G280:G281"/>
    <mergeCell ref="H280:I280"/>
    <mergeCell ref="J280:K280"/>
    <mergeCell ref="L280:L281"/>
    <mergeCell ref="H281:I281"/>
    <mergeCell ref="J281:K281"/>
    <mergeCell ref="H276:I276"/>
    <mergeCell ref="J276:K276"/>
    <mergeCell ref="L276:L277"/>
    <mergeCell ref="H277:I277"/>
    <mergeCell ref="J277:K277"/>
    <mergeCell ref="G278:G279"/>
    <mergeCell ref="H278:I278"/>
    <mergeCell ref="G282:G283"/>
    <mergeCell ref="H282:I282"/>
    <mergeCell ref="J282:K282"/>
    <mergeCell ref="L282:L283"/>
    <mergeCell ref="B295:C295"/>
    <mergeCell ref="G295:L295"/>
    <mergeCell ref="B296:C296"/>
    <mergeCell ref="G296:L296"/>
    <mergeCell ref="B297:C297"/>
    <mergeCell ref="G297:L297"/>
    <mergeCell ref="B292:C292"/>
    <mergeCell ref="G292:L292"/>
    <mergeCell ref="B293:C293"/>
    <mergeCell ref="G293:L293"/>
    <mergeCell ref="B294:C294"/>
    <mergeCell ref="G294:L294"/>
    <mergeCell ref="B301:C301"/>
    <mergeCell ref="G301:L301"/>
    <mergeCell ref="B302:C302"/>
    <mergeCell ref="G302:L302"/>
    <mergeCell ref="B303:C303"/>
    <mergeCell ref="G303:L303"/>
    <mergeCell ref="B298:C298"/>
    <mergeCell ref="G298:L298"/>
    <mergeCell ref="B299:C299"/>
    <mergeCell ref="G299:L299"/>
    <mergeCell ref="B300:C300"/>
    <mergeCell ref="G300:L300"/>
    <mergeCell ref="B307:C307"/>
    <mergeCell ref="G307:L307"/>
    <mergeCell ref="B308:C308"/>
    <mergeCell ref="G308:L308"/>
    <mergeCell ref="B309:C309"/>
    <mergeCell ref="G309:L309"/>
    <mergeCell ref="B304:C304"/>
    <mergeCell ref="G304:L304"/>
    <mergeCell ref="B305:C305"/>
    <mergeCell ref="G305:L305"/>
    <mergeCell ref="B306:C306"/>
    <mergeCell ref="G306:L306"/>
    <mergeCell ref="B313:C313"/>
    <mergeCell ref="G313:L313"/>
    <mergeCell ref="G317:L317"/>
    <mergeCell ref="B318:C318"/>
    <mergeCell ref="G318:L318"/>
    <mergeCell ref="B319:C319"/>
    <mergeCell ref="G319:L319"/>
    <mergeCell ref="B310:C310"/>
    <mergeCell ref="G310:L310"/>
    <mergeCell ref="B311:C311"/>
    <mergeCell ref="G311:L311"/>
    <mergeCell ref="B312:C312"/>
    <mergeCell ref="G312:L312"/>
    <mergeCell ref="B323:C323"/>
    <mergeCell ref="G323:L323"/>
    <mergeCell ref="B324:C324"/>
    <mergeCell ref="G324:L324"/>
    <mergeCell ref="B325:C325"/>
    <mergeCell ref="G325:L325"/>
    <mergeCell ref="B320:C320"/>
    <mergeCell ref="G320:L320"/>
    <mergeCell ref="B321:C321"/>
    <mergeCell ref="G321:L321"/>
    <mergeCell ref="B322:C322"/>
    <mergeCell ref="G322:L322"/>
    <mergeCell ref="B329:C329"/>
    <mergeCell ref="G329:L329"/>
    <mergeCell ref="B330:C330"/>
    <mergeCell ref="G330:L330"/>
    <mergeCell ref="G334:L334"/>
    <mergeCell ref="B335:C335"/>
    <mergeCell ref="G335:L335"/>
    <mergeCell ref="B326:C326"/>
    <mergeCell ref="G326:L326"/>
    <mergeCell ref="B327:C327"/>
    <mergeCell ref="G327:L327"/>
    <mergeCell ref="B328:C328"/>
    <mergeCell ref="G328:L328"/>
    <mergeCell ref="B339:C339"/>
    <mergeCell ref="G339:L339"/>
    <mergeCell ref="B340:C340"/>
    <mergeCell ref="G340:L340"/>
    <mergeCell ref="B341:C341"/>
    <mergeCell ref="G341:L341"/>
    <mergeCell ref="B336:C336"/>
    <mergeCell ref="G336:L336"/>
    <mergeCell ref="B337:C337"/>
    <mergeCell ref="G337:L337"/>
    <mergeCell ref="B338:C338"/>
    <mergeCell ref="G338:L338"/>
    <mergeCell ref="B361:C361"/>
    <mergeCell ref="B366:C366"/>
    <mergeCell ref="G366:I366"/>
    <mergeCell ref="B367:C367"/>
    <mergeCell ref="G367:I367"/>
    <mergeCell ref="B348:C348"/>
    <mergeCell ref="G348:L348"/>
    <mergeCell ref="B351:C351"/>
    <mergeCell ref="G352:H352"/>
    <mergeCell ref="I352:J352"/>
    <mergeCell ref="G353:H353"/>
    <mergeCell ref="I353:J353"/>
    <mergeCell ref="B345:C345"/>
    <mergeCell ref="G345:L345"/>
    <mergeCell ref="B346:C346"/>
    <mergeCell ref="G346:L346"/>
    <mergeCell ref="B347:C347"/>
    <mergeCell ref="G347:L347"/>
    <mergeCell ref="B342:C342"/>
    <mergeCell ref="G342:L342"/>
    <mergeCell ref="B356:C356"/>
    <mergeCell ref="B343:C343"/>
    <mergeCell ref="G343:L343"/>
    <mergeCell ref="B344:C344"/>
    <mergeCell ref="G344:L344"/>
  </mergeCells>
  <phoneticPr fontId="1" type="noConversion"/>
  <pageMargins left="0.25" right="0.25" top="0.75" bottom="0.75" header="0.3" footer="0.3"/>
  <pageSetup paperSize="9" scale="41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509"/>
  <sheetViews>
    <sheetView showGridLines="0" zoomScaleNormal="100" workbookViewId="0">
      <pane ySplit="6" topLeftCell="A7" activePane="bottomLeft" state="frozen"/>
      <selection pane="bottomLeft" activeCell="F2" sqref="F2:U3"/>
    </sheetView>
  </sheetViews>
  <sheetFormatPr defaultColWidth="9" defaultRowHeight="18" customHeight="1"/>
  <cols>
    <col min="1" max="1" width="1.625" style="6" customWidth="1"/>
    <col min="2" max="3" width="12.375" style="1" customWidth="1"/>
    <col min="4" max="4" width="1.625" style="2" customWidth="1"/>
    <col min="5" max="5" width="1.625" style="6" customWidth="1"/>
    <col min="6" max="6" width="5.125" style="6" customWidth="1"/>
    <col min="7" max="20" width="13.5" style="6" customWidth="1"/>
    <col min="21" max="21" width="5.125" style="6" customWidth="1"/>
    <col min="22" max="22" width="1.625" style="6" customWidth="1"/>
    <col min="23" max="16384" width="9" style="6"/>
  </cols>
  <sheetData>
    <row r="1" spans="2:22" ht="9.75" customHeight="1" thickBot="1"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"/>
      <c r="V1" s="3"/>
    </row>
    <row r="2" spans="2:22" ht="18" customHeight="1">
      <c r="E2" s="4"/>
      <c r="F2" s="356" t="s">
        <v>1765</v>
      </c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8"/>
      <c r="V2" s="3"/>
    </row>
    <row r="3" spans="2:22" ht="18" customHeight="1" thickBot="1">
      <c r="E3" s="4"/>
      <c r="F3" s="359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1"/>
      <c r="V3" s="3"/>
    </row>
    <row r="4" spans="2:22" ht="9.75" customHeight="1">
      <c r="E4" s="3"/>
      <c r="F4" s="3"/>
      <c r="U4" s="3"/>
      <c r="V4" s="3"/>
    </row>
    <row r="5" spans="2:22" ht="18" customHeight="1">
      <c r="F5" s="354" t="s">
        <v>1771</v>
      </c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</row>
    <row r="6" spans="2:22" ht="18" customHeight="1">
      <c r="B6" s="193"/>
      <c r="C6" s="193"/>
      <c r="F6" s="406" t="s">
        <v>1067</v>
      </c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</row>
    <row r="7" spans="2:22" ht="9.75" customHeight="1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2:22" ht="18" customHeight="1">
      <c r="E8" s="7"/>
      <c r="V8" s="7"/>
    </row>
    <row r="9" spans="2:22" ht="18" customHeight="1">
      <c r="E9" s="7"/>
      <c r="F9" s="6" t="s">
        <v>569</v>
      </c>
      <c r="V9" s="7"/>
    </row>
    <row r="10" spans="2:22" ht="18" customHeight="1">
      <c r="B10" s="355" t="str">
        <f>HYPERLINK("#LAYOUT_m1!lay중YBRT1A","YBRT1A")</f>
        <v>YBRT1A</v>
      </c>
      <c r="C10" s="355"/>
      <c r="E10" s="7"/>
      <c r="G10" s="6" t="s">
        <v>1581</v>
      </c>
      <c r="V10" s="7"/>
    </row>
    <row r="11" spans="2:22" ht="18" customHeight="1">
      <c r="B11" s="355" t="str">
        <f>HYPERLINK("#LAYOUT_m1!lay중YBRT1B","YBRT1B")</f>
        <v>YBRT1B</v>
      </c>
      <c r="C11" s="355"/>
      <c r="E11" s="7"/>
      <c r="G11" s="6" t="s">
        <v>1582</v>
      </c>
      <c r="V11" s="7"/>
    </row>
    <row r="12" spans="2:22" ht="18" customHeight="1">
      <c r="B12" s="195"/>
      <c r="C12" s="195"/>
      <c r="E12" s="7"/>
      <c r="V12" s="7"/>
    </row>
    <row r="13" spans="2:22" ht="18" customHeight="1">
      <c r="B13" s="195"/>
      <c r="C13" s="195"/>
      <c r="E13" s="7"/>
      <c r="V13" s="7"/>
    </row>
    <row r="14" spans="2:22" ht="18" customHeight="1">
      <c r="B14" s="355" t="str">
        <f>HYPERLINK("#LAYOUT_m1!lay중YGENDER","YGENDER")</f>
        <v>YGENDER</v>
      </c>
      <c r="C14" s="355"/>
      <c r="E14" s="7"/>
      <c r="F14" s="6" t="s">
        <v>570</v>
      </c>
      <c r="V14" s="7"/>
    </row>
    <row r="15" spans="2:22" ht="18" customHeight="1">
      <c r="B15" s="195"/>
      <c r="C15" s="195"/>
      <c r="E15" s="7"/>
      <c r="G15" s="6" t="s">
        <v>571</v>
      </c>
      <c r="H15" s="6" t="s">
        <v>572</v>
      </c>
      <c r="V15" s="7"/>
    </row>
    <row r="16" spans="2:22" ht="18" customHeight="1">
      <c r="B16" s="195"/>
      <c r="C16" s="195"/>
      <c r="E16" s="7"/>
      <c r="V16" s="7"/>
    </row>
    <row r="17" spans="2:22" ht="18" customHeight="1">
      <c r="B17" s="195"/>
      <c r="C17" s="195"/>
      <c r="E17" s="7"/>
      <c r="V17" s="7"/>
    </row>
    <row r="18" spans="2:22" ht="18" customHeight="1">
      <c r="B18" s="195"/>
      <c r="C18" s="195"/>
      <c r="E18" s="7"/>
      <c r="F18" s="6" t="s">
        <v>1569</v>
      </c>
      <c r="V18" s="7"/>
    </row>
    <row r="19" spans="2:22" ht="18" customHeight="1" thickBot="1">
      <c r="B19" s="195"/>
      <c r="C19" s="195"/>
      <c r="E19" s="7"/>
      <c r="G19" s="6" t="s">
        <v>573</v>
      </c>
      <c r="H19" s="8"/>
      <c r="I19" s="8"/>
      <c r="J19" s="8"/>
      <c r="K19" s="8"/>
      <c r="L19" s="8"/>
      <c r="M19" s="8"/>
      <c r="N19" s="8"/>
      <c r="O19" s="8"/>
      <c r="P19" s="8"/>
      <c r="V19" s="7"/>
    </row>
    <row r="20" spans="2:22" ht="18" customHeight="1" thickTop="1">
      <c r="B20" s="195"/>
      <c r="C20" s="195"/>
      <c r="E20" s="7"/>
      <c r="G20" s="388" t="s">
        <v>574</v>
      </c>
      <c r="H20" s="388"/>
      <c r="I20" s="388"/>
      <c r="J20" s="388"/>
      <c r="K20" s="388"/>
      <c r="L20" s="389"/>
      <c r="M20" s="375" t="s">
        <v>575</v>
      </c>
      <c r="N20" s="376"/>
      <c r="O20" s="316" t="s">
        <v>576</v>
      </c>
      <c r="P20" s="316"/>
      <c r="V20" s="7"/>
    </row>
    <row r="21" spans="2:22" ht="18" customHeight="1" thickBot="1">
      <c r="B21" s="195"/>
      <c r="C21" s="195"/>
      <c r="E21" s="7"/>
      <c r="G21" s="374"/>
      <c r="H21" s="374"/>
      <c r="I21" s="374"/>
      <c r="J21" s="374"/>
      <c r="K21" s="374"/>
      <c r="L21" s="378"/>
      <c r="M21" s="377" t="s">
        <v>577</v>
      </c>
      <c r="N21" s="378"/>
      <c r="O21" s="374" t="s">
        <v>578</v>
      </c>
      <c r="P21" s="374"/>
      <c r="V21" s="7"/>
    </row>
    <row r="22" spans="2:22" ht="18" customHeight="1" thickTop="1">
      <c r="B22" s="195" t="str">
        <f>HYPERLINK("#LAYOUT_m1!lay중YTIM1A01","YTIM1A01")</f>
        <v>YTIM1A01</v>
      </c>
      <c r="C22" s="195" t="str">
        <f>HYPERLINK("#LAYOUT_m1!lay중YTIM1A03","YTIM1A03")</f>
        <v>YTIM1A03</v>
      </c>
      <c r="E22" s="7"/>
      <c r="G22" s="380" t="s">
        <v>579</v>
      </c>
      <c r="H22" s="380"/>
      <c r="I22" s="380"/>
      <c r="J22" s="380"/>
      <c r="K22" s="380"/>
      <c r="L22" s="381"/>
      <c r="M22" s="384" t="s">
        <v>1583</v>
      </c>
      <c r="N22" s="385"/>
      <c r="O22" s="384" t="s">
        <v>1583</v>
      </c>
      <c r="P22" s="387"/>
      <c r="Q22" s="5"/>
      <c r="V22" s="7"/>
    </row>
    <row r="23" spans="2:22" ht="18" customHeight="1">
      <c r="B23" s="195" t="str">
        <f>HYPERLINK("#LAYOUT_m1!lay중YTIM1A02","YTIM1A02")</f>
        <v>YTIM1A02</v>
      </c>
      <c r="C23" s="195" t="str">
        <f>HYPERLINK("#LAYOUT_m1!lay중YTIM1A04","YTIM1A04")</f>
        <v>YTIM1A04</v>
      </c>
      <c r="E23" s="7"/>
      <c r="G23" s="371"/>
      <c r="H23" s="371"/>
      <c r="I23" s="371"/>
      <c r="J23" s="371"/>
      <c r="K23" s="371"/>
      <c r="L23" s="382"/>
      <c r="M23" s="379" t="s">
        <v>1584</v>
      </c>
      <c r="N23" s="386"/>
      <c r="O23" s="379" t="s">
        <v>1584</v>
      </c>
      <c r="P23" s="317"/>
      <c r="Q23" s="5"/>
      <c r="V23" s="7"/>
    </row>
    <row r="24" spans="2:22" ht="18" customHeight="1">
      <c r="B24" s="195" t="str">
        <f>HYPERLINK("#LAYOUT_m1!lay중YTIM1B01","YTIM1B01")</f>
        <v>YTIM1B01</v>
      </c>
      <c r="C24" s="195" t="str">
        <f>HYPERLINK("#LAYOUT_m1!lay중YTIM1B03","YTIM1B03")</f>
        <v>YTIM1B03</v>
      </c>
      <c r="E24" s="7"/>
      <c r="G24" s="370" t="s">
        <v>580</v>
      </c>
      <c r="H24" s="370"/>
      <c r="I24" s="370"/>
      <c r="J24" s="370"/>
      <c r="K24" s="370"/>
      <c r="L24" s="383"/>
      <c r="M24" s="375" t="s">
        <v>1583</v>
      </c>
      <c r="N24" s="376"/>
      <c r="O24" s="375" t="s">
        <v>1583</v>
      </c>
      <c r="P24" s="316"/>
      <c r="Q24" s="5"/>
      <c r="V24" s="7"/>
    </row>
    <row r="25" spans="2:22" ht="18" customHeight="1">
      <c r="B25" s="195" t="str">
        <f>HYPERLINK("#LAYOUT_m1!lay중YTIM1B02","YTIM1B02")</f>
        <v>YTIM1B02</v>
      </c>
      <c r="C25" s="195" t="str">
        <f>HYPERLINK("#LAYOUT_m1!lay중YTIM1B04","YTIM1B04")</f>
        <v>YTIM1B04</v>
      </c>
      <c r="E25" s="7"/>
      <c r="G25" s="371"/>
      <c r="H25" s="371"/>
      <c r="I25" s="371"/>
      <c r="J25" s="371"/>
      <c r="K25" s="371"/>
      <c r="L25" s="382"/>
      <c r="M25" s="379" t="s">
        <v>1584</v>
      </c>
      <c r="N25" s="386"/>
      <c r="O25" s="379" t="s">
        <v>1584</v>
      </c>
      <c r="P25" s="317"/>
      <c r="Q25" s="5"/>
      <c r="V25" s="7"/>
    </row>
    <row r="26" spans="2:22" ht="18" customHeight="1">
      <c r="B26" s="355" t="str">
        <f>HYPERLINK("#LAYOUT_m1!lay중YTIM1C01","YTIM1C01")</f>
        <v>YTIM1C01</v>
      </c>
      <c r="C26" s="355" t="str">
        <f>HYPERLINK("#LAYOUT_m1!lay중YTIM1C02","YTIM1C02")</f>
        <v>YTIM1C02</v>
      </c>
      <c r="E26" s="7"/>
      <c r="G26" s="370" t="s">
        <v>581</v>
      </c>
      <c r="H26" s="370"/>
      <c r="I26" s="370"/>
      <c r="J26" s="370"/>
      <c r="K26" s="370"/>
      <c r="L26" s="383"/>
      <c r="M26" s="392" t="s">
        <v>582</v>
      </c>
      <c r="N26" s="383"/>
      <c r="O26" s="370" t="s">
        <v>582</v>
      </c>
      <c r="P26" s="370"/>
      <c r="V26" s="7"/>
    </row>
    <row r="27" spans="2:22" ht="18" customHeight="1">
      <c r="B27" s="355"/>
      <c r="C27" s="355"/>
      <c r="E27" s="7"/>
      <c r="G27" s="370"/>
      <c r="H27" s="370"/>
      <c r="I27" s="370"/>
      <c r="J27" s="370"/>
      <c r="K27" s="370"/>
      <c r="L27" s="383"/>
      <c r="M27" s="392" t="s">
        <v>583</v>
      </c>
      <c r="N27" s="383"/>
      <c r="O27" s="370" t="s">
        <v>583</v>
      </c>
      <c r="P27" s="370"/>
      <c r="V27" s="7"/>
    </row>
    <row r="28" spans="2:22" ht="18" customHeight="1">
      <c r="B28" s="355"/>
      <c r="C28" s="355"/>
      <c r="E28" s="7"/>
      <c r="G28" s="370"/>
      <c r="H28" s="370"/>
      <c r="I28" s="370"/>
      <c r="J28" s="370"/>
      <c r="K28" s="370"/>
      <c r="L28" s="383"/>
      <c r="M28" s="392" t="s">
        <v>584</v>
      </c>
      <c r="N28" s="383"/>
      <c r="O28" s="370" t="s">
        <v>584</v>
      </c>
      <c r="P28" s="370"/>
      <c r="V28" s="7"/>
    </row>
    <row r="29" spans="2:22" ht="18" customHeight="1">
      <c r="B29" s="355"/>
      <c r="C29" s="355"/>
      <c r="E29" s="7"/>
      <c r="G29" s="371"/>
      <c r="H29" s="371"/>
      <c r="I29" s="371"/>
      <c r="J29" s="371"/>
      <c r="K29" s="371"/>
      <c r="L29" s="382"/>
      <c r="M29" s="393" t="s">
        <v>585</v>
      </c>
      <c r="N29" s="382"/>
      <c r="O29" s="371" t="s">
        <v>585</v>
      </c>
      <c r="P29" s="371"/>
      <c r="V29" s="7"/>
    </row>
    <row r="30" spans="2:22" ht="18" customHeight="1" thickBot="1">
      <c r="B30" s="195"/>
      <c r="C30" s="195"/>
      <c r="E30" s="7"/>
      <c r="V30" s="7"/>
    </row>
    <row r="31" spans="2:22" ht="31.5" thickTop="1" thickBot="1">
      <c r="B31" s="195"/>
      <c r="C31" s="195"/>
      <c r="E31" s="7"/>
      <c r="G31" s="390" t="s">
        <v>574</v>
      </c>
      <c r="H31" s="390"/>
      <c r="I31" s="390"/>
      <c r="J31" s="390"/>
      <c r="K31" s="390"/>
      <c r="L31" s="390"/>
      <c r="M31" s="391"/>
      <c r="N31" s="9" t="s">
        <v>62</v>
      </c>
      <c r="O31" s="9" t="s">
        <v>63</v>
      </c>
      <c r="P31" s="9" t="s">
        <v>586</v>
      </c>
      <c r="Q31" s="9" t="s">
        <v>587</v>
      </c>
      <c r="R31" s="9" t="s">
        <v>588</v>
      </c>
      <c r="S31" s="9" t="s">
        <v>589</v>
      </c>
      <c r="T31" s="10" t="s">
        <v>68</v>
      </c>
      <c r="U31" s="11"/>
      <c r="V31" s="7"/>
    </row>
    <row r="32" spans="2:22" ht="18" customHeight="1" thickTop="1">
      <c r="B32" s="355" t="str">
        <f>HYPERLINK("#LAYOUT_m1!lay중YTIM1D01","YTIM1D01")</f>
        <v>YTIM1D01</v>
      </c>
      <c r="C32" s="355"/>
      <c r="E32" s="7"/>
      <c r="G32" s="394" t="s">
        <v>590</v>
      </c>
      <c r="H32" s="394"/>
      <c r="I32" s="394"/>
      <c r="J32" s="394"/>
      <c r="K32" s="394"/>
      <c r="L32" s="395"/>
      <c r="M32" s="12" t="s">
        <v>61</v>
      </c>
      <c r="N32" s="12" t="s">
        <v>591</v>
      </c>
      <c r="O32" s="12" t="s">
        <v>592</v>
      </c>
      <c r="P32" s="12" t="s">
        <v>593</v>
      </c>
      <c r="Q32" s="12" t="s">
        <v>594</v>
      </c>
      <c r="R32" s="12" t="s">
        <v>595</v>
      </c>
      <c r="S32" s="12" t="s">
        <v>596</v>
      </c>
      <c r="T32" s="13" t="s">
        <v>597</v>
      </c>
      <c r="U32" s="11"/>
      <c r="V32" s="7"/>
    </row>
    <row r="33" spans="2:22" ht="18" customHeight="1">
      <c r="B33" s="355" t="str">
        <f>HYPERLINK("#LAYOUT_m1!lay중YTIM1D02","YTIM1D02")</f>
        <v>YTIM1D02</v>
      </c>
      <c r="C33" s="355"/>
      <c r="E33" s="7"/>
      <c r="G33" s="366"/>
      <c r="H33" s="366"/>
      <c r="I33" s="366"/>
      <c r="J33" s="366"/>
      <c r="K33" s="366"/>
      <c r="L33" s="367"/>
      <c r="M33" s="14" t="s">
        <v>69</v>
      </c>
      <c r="N33" s="14" t="s">
        <v>591</v>
      </c>
      <c r="O33" s="14" t="s">
        <v>592</v>
      </c>
      <c r="P33" s="14" t="s">
        <v>593</v>
      </c>
      <c r="Q33" s="14" t="s">
        <v>594</v>
      </c>
      <c r="R33" s="14" t="s">
        <v>595</v>
      </c>
      <c r="S33" s="14" t="s">
        <v>596</v>
      </c>
      <c r="T33" s="15" t="s">
        <v>597</v>
      </c>
      <c r="U33" s="11"/>
      <c r="V33" s="7"/>
    </row>
    <row r="34" spans="2:22" ht="18" customHeight="1">
      <c r="B34" s="355" t="str">
        <f>HYPERLINK("#LAYOUT_m1!lay중YTIM1E01","YTIM1E01")</f>
        <v>YTIM1E01</v>
      </c>
      <c r="C34" s="355"/>
      <c r="E34" s="7"/>
      <c r="G34" s="364" t="s">
        <v>598</v>
      </c>
      <c r="H34" s="364"/>
      <c r="I34" s="364"/>
      <c r="J34" s="364"/>
      <c r="K34" s="364"/>
      <c r="L34" s="365"/>
      <c r="M34" s="16" t="s">
        <v>61</v>
      </c>
      <c r="N34" s="16" t="s">
        <v>591</v>
      </c>
      <c r="O34" s="16" t="s">
        <v>592</v>
      </c>
      <c r="P34" s="16" t="s">
        <v>593</v>
      </c>
      <c r="Q34" s="16" t="s">
        <v>594</v>
      </c>
      <c r="R34" s="16" t="s">
        <v>595</v>
      </c>
      <c r="S34" s="16" t="s">
        <v>596</v>
      </c>
      <c r="T34" s="17" t="s">
        <v>597</v>
      </c>
      <c r="U34" s="11"/>
      <c r="V34" s="7"/>
    </row>
    <row r="35" spans="2:22" ht="18" customHeight="1">
      <c r="B35" s="355" t="str">
        <f>HYPERLINK("#LAYOUT_m1!lay중YTIM1E02","YTIM1E02")</f>
        <v>YTIM1E02</v>
      </c>
      <c r="C35" s="355"/>
      <c r="E35" s="7"/>
      <c r="G35" s="366"/>
      <c r="H35" s="366"/>
      <c r="I35" s="366"/>
      <c r="J35" s="366"/>
      <c r="K35" s="366"/>
      <c r="L35" s="367"/>
      <c r="M35" s="14" t="s">
        <v>69</v>
      </c>
      <c r="N35" s="14" t="s">
        <v>591</v>
      </c>
      <c r="O35" s="14" t="s">
        <v>592</v>
      </c>
      <c r="P35" s="14" t="s">
        <v>593</v>
      </c>
      <c r="Q35" s="14" t="s">
        <v>594</v>
      </c>
      <c r="R35" s="14" t="s">
        <v>595</v>
      </c>
      <c r="S35" s="14" t="s">
        <v>596</v>
      </c>
      <c r="T35" s="15" t="s">
        <v>597</v>
      </c>
      <c r="U35" s="11"/>
      <c r="V35" s="7"/>
    </row>
    <row r="36" spans="2:22" ht="18" customHeight="1">
      <c r="B36" s="355" t="str">
        <f>HYPERLINK("#LAYOUT_m1!lay중YTIM1F01","YTIM1F01")</f>
        <v>YTIM1F01</v>
      </c>
      <c r="C36" s="355"/>
      <c r="E36" s="7"/>
      <c r="G36" s="364" t="s">
        <v>599</v>
      </c>
      <c r="H36" s="364"/>
      <c r="I36" s="364"/>
      <c r="J36" s="364"/>
      <c r="K36" s="364"/>
      <c r="L36" s="365"/>
      <c r="M36" s="16" t="s">
        <v>61</v>
      </c>
      <c r="N36" s="16" t="s">
        <v>591</v>
      </c>
      <c r="O36" s="16" t="s">
        <v>592</v>
      </c>
      <c r="P36" s="16" t="s">
        <v>593</v>
      </c>
      <c r="Q36" s="16" t="s">
        <v>594</v>
      </c>
      <c r="R36" s="16" t="s">
        <v>595</v>
      </c>
      <c r="S36" s="16" t="s">
        <v>596</v>
      </c>
      <c r="T36" s="17" t="s">
        <v>597</v>
      </c>
      <c r="U36" s="11"/>
      <c r="V36" s="7"/>
    </row>
    <row r="37" spans="2:22" ht="18" customHeight="1">
      <c r="B37" s="355" t="str">
        <f>HYPERLINK("#LAYOUT_m1!lay중YTIM1F02","YTIM1F02")</f>
        <v>YTIM1F02</v>
      </c>
      <c r="C37" s="355"/>
      <c r="E37" s="7"/>
      <c r="G37" s="366"/>
      <c r="H37" s="366"/>
      <c r="I37" s="366"/>
      <c r="J37" s="366"/>
      <c r="K37" s="366"/>
      <c r="L37" s="367"/>
      <c r="M37" s="14" t="s">
        <v>69</v>
      </c>
      <c r="N37" s="14" t="s">
        <v>591</v>
      </c>
      <c r="O37" s="14" t="s">
        <v>592</v>
      </c>
      <c r="P37" s="14" t="s">
        <v>593</v>
      </c>
      <c r="Q37" s="14" t="s">
        <v>594</v>
      </c>
      <c r="R37" s="14" t="s">
        <v>595</v>
      </c>
      <c r="S37" s="14" t="s">
        <v>596</v>
      </c>
      <c r="T37" s="15" t="s">
        <v>597</v>
      </c>
      <c r="U37" s="11"/>
      <c r="V37" s="7"/>
    </row>
    <row r="38" spans="2:22" ht="18" customHeight="1">
      <c r="B38" s="355" t="str">
        <f>HYPERLINK("#LAYOUT_m1!lay중YTIM1G01","YTIM1G01")</f>
        <v>YTIM1G01</v>
      </c>
      <c r="C38" s="355"/>
      <c r="E38" s="7"/>
      <c r="G38" s="364" t="s">
        <v>600</v>
      </c>
      <c r="H38" s="364"/>
      <c r="I38" s="364"/>
      <c r="J38" s="364"/>
      <c r="K38" s="364"/>
      <c r="L38" s="365"/>
      <c r="M38" s="16" t="s">
        <v>61</v>
      </c>
      <c r="N38" s="16" t="s">
        <v>591</v>
      </c>
      <c r="O38" s="16" t="s">
        <v>592</v>
      </c>
      <c r="P38" s="16" t="s">
        <v>593</v>
      </c>
      <c r="Q38" s="16" t="s">
        <v>594</v>
      </c>
      <c r="R38" s="16" t="s">
        <v>595</v>
      </c>
      <c r="S38" s="16" t="s">
        <v>596</v>
      </c>
      <c r="T38" s="17" t="s">
        <v>597</v>
      </c>
      <c r="U38" s="11"/>
      <c r="V38" s="7"/>
    </row>
    <row r="39" spans="2:22" ht="18" customHeight="1">
      <c r="B39" s="355" t="str">
        <f>HYPERLINK("#LAYOUT_m1!lay중YTIM1G02","YTIM1G02")</f>
        <v>YTIM1G02</v>
      </c>
      <c r="C39" s="355"/>
      <c r="E39" s="7"/>
      <c r="G39" s="366"/>
      <c r="H39" s="366"/>
      <c r="I39" s="366"/>
      <c r="J39" s="366"/>
      <c r="K39" s="366"/>
      <c r="L39" s="367"/>
      <c r="M39" s="14" t="s">
        <v>69</v>
      </c>
      <c r="N39" s="14" t="s">
        <v>591</v>
      </c>
      <c r="O39" s="14" t="s">
        <v>592</v>
      </c>
      <c r="P39" s="14" t="s">
        <v>593</v>
      </c>
      <c r="Q39" s="14" t="s">
        <v>594</v>
      </c>
      <c r="R39" s="14" t="s">
        <v>595</v>
      </c>
      <c r="S39" s="14" t="s">
        <v>596</v>
      </c>
      <c r="T39" s="15" t="s">
        <v>597</v>
      </c>
      <c r="U39" s="11"/>
      <c r="V39" s="7"/>
    </row>
    <row r="40" spans="2:22" ht="18" customHeight="1">
      <c r="B40" s="355" t="str">
        <f>HYPERLINK("#LAYOUT_m1!lay중YTIM1H01","YTIM1H01")</f>
        <v>YTIM1H01</v>
      </c>
      <c r="C40" s="355"/>
      <c r="E40" s="7"/>
      <c r="G40" s="364" t="s">
        <v>601</v>
      </c>
      <c r="H40" s="364"/>
      <c r="I40" s="364"/>
      <c r="J40" s="364"/>
      <c r="K40" s="364"/>
      <c r="L40" s="365"/>
      <c r="M40" s="16" t="s">
        <v>61</v>
      </c>
      <c r="N40" s="16" t="s">
        <v>591</v>
      </c>
      <c r="O40" s="16" t="s">
        <v>592</v>
      </c>
      <c r="P40" s="16" t="s">
        <v>593</v>
      </c>
      <c r="Q40" s="16" t="s">
        <v>594</v>
      </c>
      <c r="R40" s="16" t="s">
        <v>595</v>
      </c>
      <c r="S40" s="16" t="s">
        <v>596</v>
      </c>
      <c r="T40" s="17" t="s">
        <v>597</v>
      </c>
      <c r="U40" s="11"/>
      <c r="V40" s="7"/>
    </row>
    <row r="41" spans="2:22" ht="18" customHeight="1">
      <c r="B41" s="355" t="str">
        <f>HYPERLINK("#LAYOUT_m1!lay중YTIM1H02","YTIM1H02")</f>
        <v>YTIM1H02</v>
      </c>
      <c r="C41" s="355"/>
      <c r="E41" s="7"/>
      <c r="G41" s="366"/>
      <c r="H41" s="366"/>
      <c r="I41" s="366"/>
      <c r="J41" s="366"/>
      <c r="K41" s="366"/>
      <c r="L41" s="367"/>
      <c r="M41" s="14" t="s">
        <v>69</v>
      </c>
      <c r="N41" s="14" t="s">
        <v>591</v>
      </c>
      <c r="O41" s="14" t="s">
        <v>592</v>
      </c>
      <c r="P41" s="14" t="s">
        <v>593</v>
      </c>
      <c r="Q41" s="14" t="s">
        <v>594</v>
      </c>
      <c r="R41" s="14" t="s">
        <v>595</v>
      </c>
      <c r="S41" s="14" t="s">
        <v>596</v>
      </c>
      <c r="T41" s="15" t="s">
        <v>597</v>
      </c>
      <c r="U41" s="11"/>
      <c r="V41" s="7"/>
    </row>
    <row r="42" spans="2:22" ht="18" customHeight="1">
      <c r="B42" s="355" t="str">
        <f>HYPERLINK("#LAYOUT_m1!lay중YTIM1I01","YTIM1I01")</f>
        <v>YTIM1I01</v>
      </c>
      <c r="C42" s="355"/>
      <c r="E42" s="7"/>
      <c r="G42" s="364" t="s">
        <v>602</v>
      </c>
      <c r="H42" s="364"/>
      <c r="I42" s="364"/>
      <c r="J42" s="364"/>
      <c r="K42" s="364"/>
      <c r="L42" s="365"/>
      <c r="M42" s="16" t="s">
        <v>61</v>
      </c>
      <c r="N42" s="16" t="s">
        <v>591</v>
      </c>
      <c r="O42" s="16" t="s">
        <v>592</v>
      </c>
      <c r="P42" s="16" t="s">
        <v>593</v>
      </c>
      <c r="Q42" s="16" t="s">
        <v>594</v>
      </c>
      <c r="R42" s="16" t="s">
        <v>595</v>
      </c>
      <c r="S42" s="16" t="s">
        <v>596</v>
      </c>
      <c r="T42" s="17" t="s">
        <v>597</v>
      </c>
      <c r="U42" s="11"/>
      <c r="V42" s="7"/>
    </row>
    <row r="43" spans="2:22" ht="18" customHeight="1">
      <c r="B43" s="355" t="str">
        <f>HYPERLINK("#LAYOUT_m1!lay중YTIM1I02","YTIM1I02")</f>
        <v>YTIM1I02</v>
      </c>
      <c r="C43" s="355"/>
      <c r="E43" s="7"/>
      <c r="G43" s="366"/>
      <c r="H43" s="366"/>
      <c r="I43" s="366"/>
      <c r="J43" s="366"/>
      <c r="K43" s="366"/>
      <c r="L43" s="367"/>
      <c r="M43" s="14" t="s">
        <v>69</v>
      </c>
      <c r="N43" s="14" t="s">
        <v>591</v>
      </c>
      <c r="O43" s="14" t="s">
        <v>592</v>
      </c>
      <c r="P43" s="14" t="s">
        <v>593</v>
      </c>
      <c r="Q43" s="14" t="s">
        <v>594</v>
      </c>
      <c r="R43" s="14" t="s">
        <v>595</v>
      </c>
      <c r="S43" s="14" t="s">
        <v>596</v>
      </c>
      <c r="T43" s="15" t="s">
        <v>597</v>
      </c>
      <c r="U43" s="11"/>
      <c r="V43" s="7"/>
    </row>
    <row r="44" spans="2:22" ht="18" customHeight="1">
      <c r="B44" s="355" t="str">
        <f>HYPERLINK("#LAYOUT_m1!lay중YTIM1J01","YTIM1J01")</f>
        <v>YTIM1J01</v>
      </c>
      <c r="C44" s="355"/>
      <c r="E44" s="7"/>
      <c r="G44" s="364" t="s">
        <v>603</v>
      </c>
      <c r="H44" s="364"/>
      <c r="I44" s="364"/>
      <c r="J44" s="364"/>
      <c r="K44" s="364"/>
      <c r="L44" s="365"/>
      <c r="M44" s="16" t="s">
        <v>61</v>
      </c>
      <c r="N44" s="16" t="s">
        <v>591</v>
      </c>
      <c r="O44" s="16" t="s">
        <v>592</v>
      </c>
      <c r="P44" s="16" t="s">
        <v>593</v>
      </c>
      <c r="Q44" s="16" t="s">
        <v>594</v>
      </c>
      <c r="R44" s="16" t="s">
        <v>595</v>
      </c>
      <c r="S44" s="16" t="s">
        <v>596</v>
      </c>
      <c r="T44" s="17" t="s">
        <v>597</v>
      </c>
      <c r="U44" s="11"/>
      <c r="V44" s="7"/>
    </row>
    <row r="45" spans="2:22" ht="18" customHeight="1">
      <c r="B45" s="355" t="str">
        <f>HYPERLINK("#LAYOUT_m1!lay중YTIM1J02","YTIM1J02")</f>
        <v>YTIM1J02</v>
      </c>
      <c r="C45" s="355"/>
      <c r="E45" s="7"/>
      <c r="G45" s="366"/>
      <c r="H45" s="366"/>
      <c r="I45" s="366"/>
      <c r="J45" s="366"/>
      <c r="K45" s="366"/>
      <c r="L45" s="367"/>
      <c r="M45" s="14" t="s">
        <v>69</v>
      </c>
      <c r="N45" s="14" t="s">
        <v>591</v>
      </c>
      <c r="O45" s="14" t="s">
        <v>592</v>
      </c>
      <c r="P45" s="14" t="s">
        <v>593</v>
      </c>
      <c r="Q45" s="14" t="s">
        <v>594</v>
      </c>
      <c r="R45" s="14" t="s">
        <v>595</v>
      </c>
      <c r="S45" s="14" t="s">
        <v>596</v>
      </c>
      <c r="T45" s="15" t="s">
        <v>597</v>
      </c>
      <c r="U45" s="11"/>
      <c r="V45" s="7"/>
    </row>
    <row r="46" spans="2:22" ht="18" customHeight="1">
      <c r="B46" s="355" t="str">
        <f>HYPERLINK("#LAYOUT_m1!lay중YTIM1K01","YTIM1K01")</f>
        <v>YTIM1K01</v>
      </c>
      <c r="C46" s="355"/>
      <c r="E46" s="7"/>
      <c r="G46" s="364" t="s">
        <v>604</v>
      </c>
      <c r="H46" s="364"/>
      <c r="I46" s="364"/>
      <c r="J46" s="364"/>
      <c r="K46" s="364"/>
      <c r="L46" s="365"/>
      <c r="M46" s="16" t="s">
        <v>61</v>
      </c>
      <c r="N46" s="16" t="s">
        <v>591</v>
      </c>
      <c r="O46" s="16" t="s">
        <v>592</v>
      </c>
      <c r="P46" s="16" t="s">
        <v>593</v>
      </c>
      <c r="Q46" s="16" t="s">
        <v>594</v>
      </c>
      <c r="R46" s="16" t="s">
        <v>595</v>
      </c>
      <c r="S46" s="16" t="s">
        <v>596</v>
      </c>
      <c r="T46" s="17" t="s">
        <v>597</v>
      </c>
      <c r="U46" s="11"/>
      <c r="V46" s="7"/>
    </row>
    <row r="47" spans="2:22" ht="18" customHeight="1">
      <c r="B47" s="355" t="str">
        <f>HYPERLINK("#LAYOUT_m1!lay중YTIM1K02","YTIM1K02")</f>
        <v>YTIM1K02</v>
      </c>
      <c r="C47" s="355"/>
      <c r="E47" s="7"/>
      <c r="G47" s="366"/>
      <c r="H47" s="366"/>
      <c r="I47" s="366"/>
      <c r="J47" s="366"/>
      <c r="K47" s="366"/>
      <c r="L47" s="367"/>
      <c r="M47" s="14" t="s">
        <v>69</v>
      </c>
      <c r="N47" s="14" t="s">
        <v>591</v>
      </c>
      <c r="O47" s="14" t="s">
        <v>592</v>
      </c>
      <c r="P47" s="14" t="s">
        <v>593</v>
      </c>
      <c r="Q47" s="14" t="s">
        <v>594</v>
      </c>
      <c r="R47" s="14" t="s">
        <v>595</v>
      </c>
      <c r="S47" s="14" t="s">
        <v>596</v>
      </c>
      <c r="T47" s="15" t="s">
        <v>597</v>
      </c>
      <c r="U47" s="11"/>
      <c r="V47" s="7"/>
    </row>
    <row r="48" spans="2:22" ht="18" customHeight="1">
      <c r="B48" s="355" t="str">
        <f>HYPERLINK("#LAYOUT_m1!lay중YTIM1L01","YTIM1L01")</f>
        <v>YTIM1L01</v>
      </c>
      <c r="C48" s="355"/>
      <c r="E48" s="7"/>
      <c r="G48" s="364" t="s">
        <v>605</v>
      </c>
      <c r="H48" s="364"/>
      <c r="I48" s="364"/>
      <c r="J48" s="364"/>
      <c r="K48" s="364"/>
      <c r="L48" s="365"/>
      <c r="M48" s="16" t="s">
        <v>61</v>
      </c>
      <c r="N48" s="16" t="s">
        <v>591</v>
      </c>
      <c r="O48" s="16" t="s">
        <v>592</v>
      </c>
      <c r="P48" s="16" t="s">
        <v>593</v>
      </c>
      <c r="Q48" s="16" t="s">
        <v>594</v>
      </c>
      <c r="R48" s="16" t="s">
        <v>595</v>
      </c>
      <c r="S48" s="16" t="s">
        <v>596</v>
      </c>
      <c r="T48" s="17" t="s">
        <v>597</v>
      </c>
      <c r="U48" s="11"/>
      <c r="V48" s="7"/>
    </row>
    <row r="49" spans="2:22" ht="18" customHeight="1">
      <c r="B49" s="355" t="str">
        <f>HYPERLINK("#LAYOUT_m1!lay중YTIM1L02","YTIM1L02")</f>
        <v>YTIM1L02</v>
      </c>
      <c r="C49" s="355"/>
      <c r="E49" s="7"/>
      <c r="G49" s="366"/>
      <c r="H49" s="366"/>
      <c r="I49" s="366"/>
      <c r="J49" s="366"/>
      <c r="K49" s="366"/>
      <c r="L49" s="367"/>
      <c r="M49" s="14" t="s">
        <v>69</v>
      </c>
      <c r="N49" s="14" t="s">
        <v>591</v>
      </c>
      <c r="O49" s="14" t="s">
        <v>592</v>
      </c>
      <c r="P49" s="14" t="s">
        <v>593</v>
      </c>
      <c r="Q49" s="14" t="s">
        <v>594</v>
      </c>
      <c r="R49" s="14" t="s">
        <v>595</v>
      </c>
      <c r="S49" s="14" t="s">
        <v>596</v>
      </c>
      <c r="T49" s="15" t="s">
        <v>597</v>
      </c>
      <c r="U49" s="11"/>
      <c r="V49" s="7"/>
    </row>
    <row r="50" spans="2:22" ht="18" customHeight="1">
      <c r="B50" s="355" t="str">
        <f>HYPERLINK("#LAYOUT_m1!lay중YTIM1M01","YTIM1M01")</f>
        <v>YTIM1M01</v>
      </c>
      <c r="C50" s="355"/>
      <c r="E50" s="7"/>
      <c r="G50" s="364" t="s">
        <v>606</v>
      </c>
      <c r="H50" s="364"/>
      <c r="I50" s="364"/>
      <c r="J50" s="364"/>
      <c r="K50" s="364"/>
      <c r="L50" s="365"/>
      <c r="M50" s="16" t="s">
        <v>61</v>
      </c>
      <c r="N50" s="16" t="s">
        <v>591</v>
      </c>
      <c r="O50" s="16" t="s">
        <v>592</v>
      </c>
      <c r="P50" s="16" t="s">
        <v>593</v>
      </c>
      <c r="Q50" s="16" t="s">
        <v>594</v>
      </c>
      <c r="R50" s="16" t="s">
        <v>595</v>
      </c>
      <c r="S50" s="16" t="s">
        <v>596</v>
      </c>
      <c r="T50" s="17" t="s">
        <v>597</v>
      </c>
      <c r="U50" s="11"/>
      <c r="V50" s="7"/>
    </row>
    <row r="51" spans="2:22" ht="18" customHeight="1">
      <c r="B51" s="355" t="str">
        <f>HYPERLINK("#LAYOUT_m1!lay중YTIM1M02","YTIM1M02")</f>
        <v>YTIM1M02</v>
      </c>
      <c r="C51" s="355"/>
      <c r="E51" s="7"/>
      <c r="G51" s="366"/>
      <c r="H51" s="366"/>
      <c r="I51" s="366"/>
      <c r="J51" s="366"/>
      <c r="K51" s="366"/>
      <c r="L51" s="367"/>
      <c r="M51" s="14" t="s">
        <v>69</v>
      </c>
      <c r="N51" s="14" t="s">
        <v>591</v>
      </c>
      <c r="O51" s="14" t="s">
        <v>592</v>
      </c>
      <c r="P51" s="14" t="s">
        <v>593</v>
      </c>
      <c r="Q51" s="14" t="s">
        <v>594</v>
      </c>
      <c r="R51" s="14" t="s">
        <v>595</v>
      </c>
      <c r="S51" s="14" t="s">
        <v>596</v>
      </c>
      <c r="T51" s="15" t="s">
        <v>597</v>
      </c>
      <c r="U51" s="11"/>
      <c r="V51" s="7"/>
    </row>
    <row r="52" spans="2:22" ht="18" customHeight="1">
      <c r="B52" s="355" t="str">
        <f>HYPERLINK("#LAYOUT_m1!lay중YTIM1N01","YTIM1N01")</f>
        <v>YTIM1N01</v>
      </c>
      <c r="C52" s="355"/>
      <c r="E52" s="7"/>
      <c r="G52" s="364" t="s">
        <v>607</v>
      </c>
      <c r="H52" s="364"/>
      <c r="I52" s="364"/>
      <c r="J52" s="364"/>
      <c r="K52" s="364"/>
      <c r="L52" s="365"/>
      <c r="M52" s="16" t="s">
        <v>61</v>
      </c>
      <c r="N52" s="16" t="s">
        <v>591</v>
      </c>
      <c r="O52" s="16" t="s">
        <v>592</v>
      </c>
      <c r="P52" s="16" t="s">
        <v>593</v>
      </c>
      <c r="Q52" s="16" t="s">
        <v>594</v>
      </c>
      <c r="R52" s="16" t="s">
        <v>595</v>
      </c>
      <c r="S52" s="16" t="s">
        <v>596</v>
      </c>
      <c r="T52" s="17" t="s">
        <v>597</v>
      </c>
      <c r="U52" s="11"/>
      <c r="V52" s="7"/>
    </row>
    <row r="53" spans="2:22" ht="18" customHeight="1">
      <c r="B53" s="355" t="str">
        <f>HYPERLINK("#LAYOUT_m1!lay중YTIM1N02","YTIM1N02")</f>
        <v>YTIM1N02</v>
      </c>
      <c r="C53" s="355"/>
      <c r="E53" s="7"/>
      <c r="G53" s="366"/>
      <c r="H53" s="366"/>
      <c r="I53" s="366"/>
      <c r="J53" s="366"/>
      <c r="K53" s="366"/>
      <c r="L53" s="367"/>
      <c r="M53" s="14" t="s">
        <v>69</v>
      </c>
      <c r="N53" s="14" t="s">
        <v>591</v>
      </c>
      <c r="O53" s="14" t="s">
        <v>592</v>
      </c>
      <c r="P53" s="14" t="s">
        <v>593</v>
      </c>
      <c r="Q53" s="14" t="s">
        <v>594</v>
      </c>
      <c r="R53" s="14" t="s">
        <v>595</v>
      </c>
      <c r="S53" s="14" t="s">
        <v>596</v>
      </c>
      <c r="T53" s="15" t="s">
        <v>597</v>
      </c>
      <c r="U53" s="11"/>
      <c r="V53" s="7"/>
    </row>
    <row r="54" spans="2:22" ht="18" customHeight="1">
      <c r="B54" s="195"/>
      <c r="C54" s="195"/>
      <c r="E54" s="7"/>
      <c r="V54" s="7"/>
    </row>
    <row r="55" spans="2:22" ht="18" customHeight="1">
      <c r="B55" s="195"/>
      <c r="C55" s="195"/>
      <c r="E55" s="7"/>
      <c r="V55" s="7"/>
    </row>
    <row r="56" spans="2:22" ht="18" customHeight="1">
      <c r="B56" s="355" t="str">
        <f>HYPERLINK("#LAYOUT_m1!lay중YMDA1A00","YMDA1A00")</f>
        <v>YMDA1A00</v>
      </c>
      <c r="C56" s="355"/>
      <c r="E56" s="7"/>
      <c r="F56" s="6" t="s">
        <v>608</v>
      </c>
      <c r="V56" s="7"/>
    </row>
    <row r="57" spans="2:22" ht="18" customHeight="1">
      <c r="B57" s="195"/>
      <c r="C57" s="195"/>
      <c r="E57" s="7"/>
      <c r="G57" s="6" t="s">
        <v>1585</v>
      </c>
      <c r="V57" s="7"/>
    </row>
    <row r="58" spans="2:22" ht="18" customHeight="1">
      <c r="B58" s="195"/>
      <c r="C58" s="195"/>
      <c r="E58" s="7"/>
      <c r="G58" s="6" t="s">
        <v>1586</v>
      </c>
      <c r="V58" s="7"/>
    </row>
    <row r="59" spans="2:22" ht="18" customHeight="1">
      <c r="B59" s="195"/>
      <c r="C59" s="195"/>
      <c r="E59" s="7"/>
      <c r="G59" s="6" t="s">
        <v>1587</v>
      </c>
      <c r="V59" s="7"/>
    </row>
    <row r="60" spans="2:22" ht="18" customHeight="1">
      <c r="B60" s="195"/>
      <c r="C60" s="195"/>
      <c r="E60" s="7"/>
      <c r="V60" s="7"/>
    </row>
    <row r="61" spans="2:22" ht="18" customHeight="1">
      <c r="B61" s="195"/>
      <c r="C61" s="195"/>
      <c r="E61" s="7"/>
      <c r="V61" s="7"/>
    </row>
    <row r="62" spans="2:22" ht="18" customHeight="1" thickBot="1">
      <c r="B62" s="195"/>
      <c r="C62" s="195"/>
      <c r="E62" s="7"/>
      <c r="F62" s="6" t="s">
        <v>1588</v>
      </c>
      <c r="V62" s="7"/>
    </row>
    <row r="63" spans="2:22" ht="31.5" thickTop="1" thickBot="1">
      <c r="B63" s="195"/>
      <c r="C63" s="195"/>
      <c r="E63" s="7"/>
      <c r="F63" s="18"/>
      <c r="G63" s="368" t="s">
        <v>574</v>
      </c>
      <c r="H63" s="368"/>
      <c r="I63" s="368"/>
      <c r="J63" s="368"/>
      <c r="K63" s="368"/>
      <c r="L63" s="369"/>
      <c r="M63" s="9" t="s">
        <v>86</v>
      </c>
      <c r="N63" s="9" t="s">
        <v>87</v>
      </c>
      <c r="O63" s="9" t="s">
        <v>88</v>
      </c>
      <c r="P63" s="9" t="s">
        <v>89</v>
      </c>
      <c r="Q63" s="19" t="s">
        <v>90</v>
      </c>
      <c r="V63" s="7"/>
    </row>
    <row r="64" spans="2:22" ht="18" customHeight="1" thickTop="1">
      <c r="B64" s="355" t="str">
        <f>HYPERLINK("#LAYOUT_m1!lay중YMDA1B01","YMDA1B01")</f>
        <v>YMDA1B01</v>
      </c>
      <c r="C64" s="355"/>
      <c r="E64" s="7"/>
      <c r="G64" s="372" t="s">
        <v>609</v>
      </c>
      <c r="H64" s="372"/>
      <c r="I64" s="372"/>
      <c r="J64" s="372"/>
      <c r="K64" s="372"/>
      <c r="L64" s="373"/>
      <c r="M64" s="20" t="s">
        <v>591</v>
      </c>
      <c r="N64" s="20" t="s">
        <v>592</v>
      </c>
      <c r="O64" s="20" t="s">
        <v>593</v>
      </c>
      <c r="P64" s="20" t="s">
        <v>594</v>
      </c>
      <c r="Q64" s="21"/>
      <c r="V64" s="7"/>
    </row>
    <row r="65" spans="2:22" ht="18" customHeight="1">
      <c r="B65" s="355" t="str">
        <f>HYPERLINK("#LAYOUT_m1!lay중YMDA1B02","YMDA1B02")</f>
        <v>YMDA1B02</v>
      </c>
      <c r="C65" s="355"/>
      <c r="E65" s="7"/>
      <c r="G65" s="362" t="s">
        <v>610</v>
      </c>
      <c r="H65" s="362"/>
      <c r="I65" s="362"/>
      <c r="J65" s="362"/>
      <c r="K65" s="362"/>
      <c r="L65" s="363"/>
      <c r="M65" s="22" t="s">
        <v>591</v>
      </c>
      <c r="N65" s="22" t="s">
        <v>592</v>
      </c>
      <c r="O65" s="22" t="s">
        <v>593</v>
      </c>
      <c r="P65" s="22" t="s">
        <v>594</v>
      </c>
      <c r="Q65" s="23"/>
      <c r="V65" s="7"/>
    </row>
    <row r="66" spans="2:22" ht="18" customHeight="1">
      <c r="B66" s="355" t="str">
        <f>HYPERLINK("#LAYOUT_m1!lay중YMDA1B03","YMDA1B03")</f>
        <v>YMDA1B03</v>
      </c>
      <c r="C66" s="355"/>
      <c r="E66" s="7"/>
      <c r="G66" s="362" t="s">
        <v>611</v>
      </c>
      <c r="H66" s="362"/>
      <c r="I66" s="362"/>
      <c r="J66" s="362"/>
      <c r="K66" s="362"/>
      <c r="L66" s="363"/>
      <c r="M66" s="22" t="s">
        <v>591</v>
      </c>
      <c r="N66" s="22" t="s">
        <v>592</v>
      </c>
      <c r="O66" s="22" t="s">
        <v>593</v>
      </c>
      <c r="P66" s="22" t="s">
        <v>594</v>
      </c>
      <c r="Q66" s="23"/>
      <c r="V66" s="7"/>
    </row>
    <row r="67" spans="2:22" ht="18" customHeight="1">
      <c r="B67" s="355" t="str">
        <f>HYPERLINK("#LAYOUT_m1!lay중YMDA1B04","YMDA1B04")</f>
        <v>YMDA1B04</v>
      </c>
      <c r="C67" s="355"/>
      <c r="E67" s="7"/>
      <c r="G67" s="362" t="s">
        <v>612</v>
      </c>
      <c r="H67" s="362"/>
      <c r="I67" s="362"/>
      <c r="J67" s="362"/>
      <c r="K67" s="362"/>
      <c r="L67" s="363"/>
      <c r="M67" s="22" t="s">
        <v>591</v>
      </c>
      <c r="N67" s="22" t="s">
        <v>592</v>
      </c>
      <c r="O67" s="22" t="s">
        <v>593</v>
      </c>
      <c r="P67" s="22" t="s">
        <v>594</v>
      </c>
      <c r="Q67" s="23"/>
      <c r="V67" s="7"/>
    </row>
    <row r="68" spans="2:22" ht="18" customHeight="1">
      <c r="B68" s="355" t="str">
        <f>HYPERLINK("#LAYOUT_m1!lay중YMDA1B05","YMDA1B05")</f>
        <v>YMDA1B05</v>
      </c>
      <c r="C68" s="355"/>
      <c r="E68" s="7"/>
      <c r="G68" s="362" t="s">
        <v>613</v>
      </c>
      <c r="H68" s="362"/>
      <c r="I68" s="362"/>
      <c r="J68" s="362"/>
      <c r="K68" s="362"/>
      <c r="L68" s="363"/>
      <c r="M68" s="22" t="s">
        <v>591</v>
      </c>
      <c r="N68" s="22" t="s">
        <v>592</v>
      </c>
      <c r="O68" s="22" t="s">
        <v>593</v>
      </c>
      <c r="P68" s="22" t="s">
        <v>594</v>
      </c>
      <c r="Q68" s="23"/>
      <c r="V68" s="7"/>
    </row>
    <row r="69" spans="2:22" ht="18" customHeight="1">
      <c r="B69" s="355" t="str">
        <f>HYPERLINK("#LAYOUT_m1!lay중YMDA1B06","YMDA1B06")</f>
        <v>YMDA1B06</v>
      </c>
      <c r="C69" s="355"/>
      <c r="E69" s="7"/>
      <c r="G69" s="362" t="s">
        <v>614</v>
      </c>
      <c r="H69" s="362"/>
      <c r="I69" s="362"/>
      <c r="J69" s="362"/>
      <c r="K69" s="362"/>
      <c r="L69" s="363"/>
      <c r="M69" s="22" t="s">
        <v>591</v>
      </c>
      <c r="N69" s="22" t="s">
        <v>592</v>
      </c>
      <c r="O69" s="22" t="s">
        <v>593</v>
      </c>
      <c r="P69" s="22" t="s">
        <v>594</v>
      </c>
      <c r="Q69" s="23"/>
      <c r="V69" s="7"/>
    </row>
    <row r="70" spans="2:22" ht="18" customHeight="1">
      <c r="B70" s="355" t="str">
        <f>HYPERLINK("#LAYOUT_m1!lay중YMDA1B07","YMDA1B07")</f>
        <v>YMDA1B07</v>
      </c>
      <c r="C70" s="355"/>
      <c r="E70" s="7"/>
      <c r="G70" s="362" t="s">
        <v>615</v>
      </c>
      <c r="H70" s="362"/>
      <c r="I70" s="362"/>
      <c r="J70" s="362"/>
      <c r="K70" s="362"/>
      <c r="L70" s="363"/>
      <c r="M70" s="22" t="s">
        <v>591</v>
      </c>
      <c r="N70" s="22" t="s">
        <v>592</v>
      </c>
      <c r="O70" s="22" t="s">
        <v>593</v>
      </c>
      <c r="P70" s="22" t="s">
        <v>594</v>
      </c>
      <c r="Q70" s="23"/>
      <c r="V70" s="7"/>
    </row>
    <row r="71" spans="2:22" ht="18" customHeight="1">
      <c r="B71" s="355" t="str">
        <f>HYPERLINK("#LAYOUT_m1!lay중YMDA1B08","YMDA1B08")</f>
        <v>YMDA1B08</v>
      </c>
      <c r="C71" s="355"/>
      <c r="E71" s="7"/>
      <c r="G71" s="362" t="s">
        <v>616</v>
      </c>
      <c r="H71" s="362"/>
      <c r="I71" s="362"/>
      <c r="J71" s="362"/>
      <c r="K71" s="362"/>
      <c r="L71" s="363"/>
      <c r="M71" s="22" t="s">
        <v>591</v>
      </c>
      <c r="N71" s="22" t="s">
        <v>592</v>
      </c>
      <c r="O71" s="22" t="s">
        <v>593</v>
      </c>
      <c r="P71" s="22" t="s">
        <v>594</v>
      </c>
      <c r="Q71" s="23"/>
      <c r="V71" s="7"/>
    </row>
    <row r="72" spans="2:22" ht="18" customHeight="1">
      <c r="B72" s="355" t="str">
        <f>HYPERLINK("#LAYOUT_m1!lay중YMDA1B09","YMDA1B09")</f>
        <v>YMDA1B09</v>
      </c>
      <c r="C72" s="355"/>
      <c r="E72" s="7"/>
      <c r="G72" s="362" t="s">
        <v>617</v>
      </c>
      <c r="H72" s="362"/>
      <c r="I72" s="362"/>
      <c r="J72" s="362"/>
      <c r="K72" s="362"/>
      <c r="L72" s="363"/>
      <c r="M72" s="22" t="s">
        <v>591</v>
      </c>
      <c r="N72" s="22" t="s">
        <v>592</v>
      </c>
      <c r="O72" s="22" t="s">
        <v>593</v>
      </c>
      <c r="P72" s="22" t="s">
        <v>594</v>
      </c>
      <c r="Q72" s="23"/>
      <c r="V72" s="7"/>
    </row>
    <row r="73" spans="2:22" ht="18" customHeight="1">
      <c r="B73" s="355" t="str">
        <f>HYPERLINK("#LAYOUT_m1!lay중YMDA1B10","YMDA1B10")</f>
        <v>YMDA1B10</v>
      </c>
      <c r="C73" s="355"/>
      <c r="E73" s="7"/>
      <c r="G73" s="362" t="s">
        <v>618</v>
      </c>
      <c r="H73" s="362"/>
      <c r="I73" s="362"/>
      <c r="J73" s="362"/>
      <c r="K73" s="362"/>
      <c r="L73" s="363"/>
      <c r="M73" s="22" t="s">
        <v>591</v>
      </c>
      <c r="N73" s="22" t="s">
        <v>592</v>
      </c>
      <c r="O73" s="22" t="s">
        <v>593</v>
      </c>
      <c r="P73" s="22" t="s">
        <v>594</v>
      </c>
      <c r="Q73" s="23"/>
      <c r="V73" s="7"/>
    </row>
    <row r="74" spans="2:22" ht="18" customHeight="1">
      <c r="B74" s="355" t="str">
        <f>HYPERLINK("#LAYOUT_m1!lay중YMDA1B11","YMDA1B11")</f>
        <v>YMDA1B11</v>
      </c>
      <c r="C74" s="355"/>
      <c r="E74" s="7"/>
      <c r="G74" s="362" t="s">
        <v>619</v>
      </c>
      <c r="H74" s="362"/>
      <c r="I74" s="362"/>
      <c r="J74" s="362"/>
      <c r="K74" s="362"/>
      <c r="L74" s="363"/>
      <c r="M74" s="22" t="s">
        <v>591</v>
      </c>
      <c r="N74" s="22" t="s">
        <v>592</v>
      </c>
      <c r="O74" s="22" t="s">
        <v>593</v>
      </c>
      <c r="P74" s="22" t="s">
        <v>594</v>
      </c>
      <c r="Q74" s="23"/>
      <c r="V74" s="7"/>
    </row>
    <row r="75" spans="2:22" ht="18" customHeight="1">
      <c r="B75" s="355" t="str">
        <f>HYPERLINK("#LAYOUT_m1!lay초YMDA1B12","YMDA1B12")</f>
        <v>YMDA1B12</v>
      </c>
      <c r="C75" s="355"/>
      <c r="E75" s="7"/>
      <c r="G75" s="362" t="s">
        <v>1517</v>
      </c>
      <c r="H75" s="362"/>
      <c r="I75" s="362"/>
      <c r="J75" s="362"/>
      <c r="K75" s="362"/>
      <c r="L75" s="363"/>
      <c r="M75" s="22" t="s">
        <v>591</v>
      </c>
      <c r="N75" s="22" t="s">
        <v>592</v>
      </c>
      <c r="O75" s="22" t="s">
        <v>593</v>
      </c>
      <c r="P75" s="22" t="s">
        <v>594</v>
      </c>
      <c r="Q75" s="23"/>
      <c r="V75" s="7"/>
    </row>
    <row r="76" spans="2:22" ht="18" customHeight="1">
      <c r="B76" s="195" t="str">
        <f>HYPERLINK("#LAYOUT_m1!lay중YMDA1B13","YMDA1B13")</f>
        <v>YMDA1B13</v>
      </c>
      <c r="C76" s="195" t="str">
        <f>HYPERLINK("#LAYOUT_m1!lay중YMDA1B13_T","YMDA1B13_T")</f>
        <v>YMDA1B13_T</v>
      </c>
      <c r="E76" s="7"/>
      <c r="G76" s="362" t="s">
        <v>1589</v>
      </c>
      <c r="H76" s="362"/>
      <c r="I76" s="362"/>
      <c r="J76" s="362"/>
      <c r="K76" s="362"/>
      <c r="L76" s="363"/>
      <c r="M76" s="22" t="s">
        <v>591</v>
      </c>
      <c r="N76" s="22" t="s">
        <v>592</v>
      </c>
      <c r="O76" s="22" t="s">
        <v>593</v>
      </c>
      <c r="P76" s="22" t="s">
        <v>594</v>
      </c>
      <c r="Q76" s="24" t="s">
        <v>620</v>
      </c>
      <c r="V76" s="7"/>
    </row>
    <row r="77" spans="2:22" ht="18" customHeight="1">
      <c r="B77" s="195"/>
      <c r="C77" s="195"/>
      <c r="E77" s="7"/>
      <c r="V77" s="7"/>
    </row>
    <row r="78" spans="2:22" ht="18" customHeight="1">
      <c r="B78" s="195"/>
      <c r="C78" s="195"/>
      <c r="E78" s="7"/>
      <c r="V78" s="7"/>
    </row>
    <row r="79" spans="2:22" ht="18" customHeight="1" thickBot="1">
      <c r="B79" s="195"/>
      <c r="C79" s="195"/>
      <c r="E79" s="7"/>
      <c r="F79" s="6" t="s">
        <v>621</v>
      </c>
      <c r="V79" s="7"/>
    </row>
    <row r="80" spans="2:22" ht="31.5" thickTop="1" thickBot="1">
      <c r="B80" s="195"/>
      <c r="C80" s="195"/>
      <c r="E80" s="7"/>
      <c r="G80" s="368" t="s">
        <v>574</v>
      </c>
      <c r="H80" s="368"/>
      <c r="I80" s="368"/>
      <c r="J80" s="368"/>
      <c r="K80" s="368"/>
      <c r="L80" s="369"/>
      <c r="M80" s="9" t="s">
        <v>622</v>
      </c>
      <c r="N80" s="9" t="s">
        <v>623</v>
      </c>
      <c r="O80" s="9" t="s">
        <v>107</v>
      </c>
      <c r="P80" s="10" t="s">
        <v>108</v>
      </c>
      <c r="V80" s="7"/>
    </row>
    <row r="81" spans="2:22" ht="18" customHeight="1" thickTop="1">
      <c r="B81" s="355" t="str">
        <f>HYPERLINK("#LAYOUT_m1!lay중YMDA1C01","YMDA1C01")</f>
        <v>YMDA1C01</v>
      </c>
      <c r="C81" s="355"/>
      <c r="E81" s="7"/>
      <c r="G81" s="372" t="s">
        <v>624</v>
      </c>
      <c r="H81" s="372"/>
      <c r="I81" s="372"/>
      <c r="J81" s="372"/>
      <c r="K81" s="372"/>
      <c r="L81" s="373"/>
      <c r="M81" s="20" t="s">
        <v>591</v>
      </c>
      <c r="N81" s="20" t="s">
        <v>592</v>
      </c>
      <c r="O81" s="20" t="s">
        <v>593</v>
      </c>
      <c r="P81" s="25" t="s">
        <v>594</v>
      </c>
      <c r="V81" s="7"/>
    </row>
    <row r="82" spans="2:22" ht="18" customHeight="1">
      <c r="B82" s="355" t="str">
        <f>HYPERLINK("#LAYOUT_m1!lay중YMDA1C02","YMDA1C02")</f>
        <v>YMDA1C02</v>
      </c>
      <c r="C82" s="355"/>
      <c r="E82" s="7"/>
      <c r="G82" s="362" t="s">
        <v>625</v>
      </c>
      <c r="H82" s="362"/>
      <c r="I82" s="362"/>
      <c r="J82" s="362"/>
      <c r="K82" s="362"/>
      <c r="L82" s="363"/>
      <c r="M82" s="22" t="s">
        <v>591</v>
      </c>
      <c r="N82" s="22" t="s">
        <v>592</v>
      </c>
      <c r="O82" s="22" t="s">
        <v>593</v>
      </c>
      <c r="P82" s="24" t="s">
        <v>594</v>
      </c>
      <c r="V82" s="7"/>
    </row>
    <row r="83" spans="2:22" ht="18" customHeight="1">
      <c r="B83" s="355" t="str">
        <f>HYPERLINK("#LAYOUT_m1!lay중YMDA1C03","YMDA1C03")</f>
        <v>YMDA1C03</v>
      </c>
      <c r="C83" s="355"/>
      <c r="E83" s="7"/>
      <c r="G83" s="362" t="s">
        <v>626</v>
      </c>
      <c r="H83" s="362"/>
      <c r="I83" s="362"/>
      <c r="J83" s="362"/>
      <c r="K83" s="362"/>
      <c r="L83" s="363"/>
      <c r="M83" s="22" t="s">
        <v>591</v>
      </c>
      <c r="N83" s="22" t="s">
        <v>592</v>
      </c>
      <c r="O83" s="22" t="s">
        <v>593</v>
      </c>
      <c r="P83" s="24" t="s">
        <v>594</v>
      </c>
      <c r="V83" s="7"/>
    </row>
    <row r="84" spans="2:22" ht="18" customHeight="1">
      <c r="B84" s="355" t="str">
        <f>HYPERLINK("#LAYOUT_m1!lay중YMDA1C04","YMDA1C04")</f>
        <v>YMDA1C04</v>
      </c>
      <c r="C84" s="355"/>
      <c r="E84" s="7"/>
      <c r="G84" s="362" t="s">
        <v>627</v>
      </c>
      <c r="H84" s="362"/>
      <c r="I84" s="362"/>
      <c r="J84" s="362"/>
      <c r="K84" s="362"/>
      <c r="L84" s="363"/>
      <c r="M84" s="22" t="s">
        <v>591</v>
      </c>
      <c r="N84" s="22" t="s">
        <v>592</v>
      </c>
      <c r="O84" s="22" t="s">
        <v>593</v>
      </c>
      <c r="P84" s="24" t="s">
        <v>594</v>
      </c>
      <c r="V84" s="7"/>
    </row>
    <row r="85" spans="2:22" ht="18" customHeight="1">
      <c r="B85" s="355" t="str">
        <f>HYPERLINK("#LAYOUT_m1!lay중YMDA1C05","YMDA1C05")</f>
        <v>YMDA1C05</v>
      </c>
      <c r="C85" s="355"/>
      <c r="E85" s="7"/>
      <c r="G85" s="362" t="s">
        <v>628</v>
      </c>
      <c r="H85" s="362"/>
      <c r="I85" s="362"/>
      <c r="J85" s="362"/>
      <c r="K85" s="362"/>
      <c r="L85" s="363"/>
      <c r="M85" s="22" t="s">
        <v>591</v>
      </c>
      <c r="N85" s="22" t="s">
        <v>592</v>
      </c>
      <c r="O85" s="22" t="s">
        <v>593</v>
      </c>
      <c r="P85" s="24" t="s">
        <v>594</v>
      </c>
      <c r="V85" s="7"/>
    </row>
    <row r="86" spans="2:22" ht="18" customHeight="1">
      <c r="B86" s="355" t="str">
        <f>HYPERLINK("#LAYOUT_m1!lay중YMDA1C06","YMDA1C06")</f>
        <v>YMDA1C06</v>
      </c>
      <c r="C86" s="355"/>
      <c r="E86" s="7"/>
      <c r="G86" s="362" t="s">
        <v>629</v>
      </c>
      <c r="H86" s="362"/>
      <c r="I86" s="362"/>
      <c r="J86" s="362"/>
      <c r="K86" s="362"/>
      <c r="L86" s="363"/>
      <c r="M86" s="26" t="s">
        <v>591</v>
      </c>
      <c r="N86" s="26" t="s">
        <v>592</v>
      </c>
      <c r="O86" s="26" t="s">
        <v>593</v>
      </c>
      <c r="P86" s="27" t="s">
        <v>594</v>
      </c>
      <c r="V86" s="7"/>
    </row>
    <row r="87" spans="2:22" ht="18" customHeight="1">
      <c r="B87" s="355" t="str">
        <f>HYPERLINK("#LAYOUT_m1!lay중YMDA1C07","YMDA1C07")</f>
        <v>YMDA1C07</v>
      </c>
      <c r="C87" s="355"/>
      <c r="E87" s="7"/>
      <c r="G87" s="362" t="s">
        <v>630</v>
      </c>
      <c r="H87" s="362"/>
      <c r="I87" s="362"/>
      <c r="J87" s="362"/>
      <c r="K87" s="362"/>
      <c r="L87" s="363"/>
      <c r="M87" s="26" t="s">
        <v>591</v>
      </c>
      <c r="N87" s="26" t="s">
        <v>592</v>
      </c>
      <c r="O87" s="26" t="s">
        <v>593</v>
      </c>
      <c r="P87" s="27" t="s">
        <v>594</v>
      </c>
      <c r="V87" s="7"/>
    </row>
    <row r="88" spans="2:22" ht="18" customHeight="1">
      <c r="B88" s="355" t="str">
        <f>HYPERLINK("#LAYOUT_m1!lay중YMDA1C08","YMDA1C08")</f>
        <v>YMDA1C08</v>
      </c>
      <c r="C88" s="355"/>
      <c r="E88" s="7"/>
      <c r="G88" s="362" t="s">
        <v>631</v>
      </c>
      <c r="H88" s="362"/>
      <c r="I88" s="362"/>
      <c r="J88" s="362"/>
      <c r="K88" s="362"/>
      <c r="L88" s="363"/>
      <c r="M88" s="22" t="s">
        <v>591</v>
      </c>
      <c r="N88" s="22" t="s">
        <v>592</v>
      </c>
      <c r="O88" s="22" t="s">
        <v>593</v>
      </c>
      <c r="P88" s="24" t="s">
        <v>594</v>
      </c>
      <c r="V88" s="7"/>
    </row>
    <row r="89" spans="2:22" ht="18" customHeight="1">
      <c r="B89" s="355" t="str">
        <f>HYPERLINK("#LAYOUT_m1!lay중YMDA1C09","YMDA1C09")</f>
        <v>YMDA1C09</v>
      </c>
      <c r="C89" s="355"/>
      <c r="E89" s="7"/>
      <c r="G89" s="362" t="s">
        <v>632</v>
      </c>
      <c r="H89" s="362"/>
      <c r="I89" s="362"/>
      <c r="J89" s="362"/>
      <c r="K89" s="362"/>
      <c r="L89" s="363"/>
      <c r="M89" s="22" t="s">
        <v>591</v>
      </c>
      <c r="N89" s="22" t="s">
        <v>592</v>
      </c>
      <c r="O89" s="22" t="s">
        <v>593</v>
      </c>
      <c r="P89" s="24" t="s">
        <v>594</v>
      </c>
      <c r="V89" s="7"/>
    </row>
    <row r="90" spans="2:22" ht="18" customHeight="1">
      <c r="B90" s="355" t="str">
        <f>HYPERLINK("#LAYOUT_m1!lay중YMDA1C10","YMDA1C10")</f>
        <v>YMDA1C10</v>
      </c>
      <c r="C90" s="355"/>
      <c r="E90" s="7"/>
      <c r="G90" s="362" t="s">
        <v>633</v>
      </c>
      <c r="H90" s="362"/>
      <c r="I90" s="362"/>
      <c r="J90" s="362"/>
      <c r="K90" s="362"/>
      <c r="L90" s="363"/>
      <c r="M90" s="22" t="s">
        <v>591</v>
      </c>
      <c r="N90" s="22" t="s">
        <v>592</v>
      </c>
      <c r="O90" s="22" t="s">
        <v>593</v>
      </c>
      <c r="P90" s="24" t="s">
        <v>594</v>
      </c>
      <c r="V90" s="7"/>
    </row>
    <row r="91" spans="2:22" ht="18" customHeight="1">
      <c r="B91" s="355" t="str">
        <f>HYPERLINK("#LAYOUT_m1!lay중YMDA1C11","YMDA1C11")</f>
        <v>YMDA1C11</v>
      </c>
      <c r="C91" s="355"/>
      <c r="E91" s="7"/>
      <c r="G91" s="362" t="s">
        <v>634</v>
      </c>
      <c r="H91" s="362"/>
      <c r="I91" s="362"/>
      <c r="J91" s="362"/>
      <c r="K91" s="362"/>
      <c r="L91" s="363"/>
      <c r="M91" s="26" t="s">
        <v>591</v>
      </c>
      <c r="N91" s="26" t="s">
        <v>592</v>
      </c>
      <c r="O91" s="26" t="s">
        <v>593</v>
      </c>
      <c r="P91" s="27" t="s">
        <v>594</v>
      </c>
      <c r="V91" s="7"/>
    </row>
    <row r="92" spans="2:22" ht="18" customHeight="1">
      <c r="B92" s="355" t="str">
        <f>HYPERLINK("#LAYOUT_m1!lay중YMDA1C12","YMDA1C12")</f>
        <v>YMDA1C12</v>
      </c>
      <c r="C92" s="355"/>
      <c r="E92" s="7"/>
      <c r="G92" s="362" t="s">
        <v>635</v>
      </c>
      <c r="H92" s="362"/>
      <c r="I92" s="362"/>
      <c r="J92" s="362"/>
      <c r="K92" s="362"/>
      <c r="L92" s="363"/>
      <c r="M92" s="22" t="s">
        <v>591</v>
      </c>
      <c r="N92" s="22" t="s">
        <v>592</v>
      </c>
      <c r="O92" s="22" t="s">
        <v>593</v>
      </c>
      <c r="P92" s="24" t="s">
        <v>594</v>
      </c>
      <c r="V92" s="7"/>
    </row>
    <row r="93" spans="2:22" ht="18" customHeight="1">
      <c r="B93" s="355" t="str">
        <f>HYPERLINK("#LAYOUT_m1!lay중YMDA1C13","YMDA1C13")</f>
        <v>YMDA1C13</v>
      </c>
      <c r="C93" s="355"/>
      <c r="E93" s="7"/>
      <c r="G93" s="362" t="s">
        <v>636</v>
      </c>
      <c r="H93" s="362"/>
      <c r="I93" s="362"/>
      <c r="J93" s="362"/>
      <c r="K93" s="362"/>
      <c r="L93" s="363"/>
      <c r="M93" s="26" t="s">
        <v>591</v>
      </c>
      <c r="N93" s="26" t="s">
        <v>592</v>
      </c>
      <c r="O93" s="26" t="s">
        <v>593</v>
      </c>
      <c r="P93" s="27" t="s">
        <v>594</v>
      </c>
      <c r="V93" s="7"/>
    </row>
    <row r="94" spans="2:22" ht="18" customHeight="1">
      <c r="B94" s="355" t="str">
        <f>HYPERLINK("#LAYOUT_m1!lay중YMDA1C14","YMDA1C14")</f>
        <v>YMDA1C14</v>
      </c>
      <c r="C94" s="355"/>
      <c r="E94" s="7"/>
      <c r="G94" s="362" t="s">
        <v>637</v>
      </c>
      <c r="H94" s="362"/>
      <c r="I94" s="362"/>
      <c r="J94" s="362"/>
      <c r="K94" s="362"/>
      <c r="L94" s="363"/>
      <c r="M94" s="22" t="s">
        <v>591</v>
      </c>
      <c r="N94" s="22" t="s">
        <v>592</v>
      </c>
      <c r="O94" s="22" t="s">
        <v>593</v>
      </c>
      <c r="P94" s="24" t="s">
        <v>594</v>
      </c>
      <c r="V94" s="7"/>
    </row>
    <row r="95" spans="2:22" ht="18" customHeight="1">
      <c r="B95" s="355" t="str">
        <f>HYPERLINK("#LAYOUT_m1!lay중YMDA1C15","YMDA1C15")</f>
        <v>YMDA1C15</v>
      </c>
      <c r="C95" s="355"/>
      <c r="E95" s="7"/>
      <c r="G95" s="362" t="s">
        <v>638</v>
      </c>
      <c r="H95" s="362"/>
      <c r="I95" s="362"/>
      <c r="J95" s="362"/>
      <c r="K95" s="362"/>
      <c r="L95" s="363"/>
      <c r="M95" s="22" t="s">
        <v>591</v>
      </c>
      <c r="N95" s="22" t="s">
        <v>592</v>
      </c>
      <c r="O95" s="22" t="s">
        <v>593</v>
      </c>
      <c r="P95" s="24" t="s">
        <v>594</v>
      </c>
      <c r="V95" s="7"/>
    </row>
    <row r="96" spans="2:22" ht="18" customHeight="1">
      <c r="B96" s="195"/>
      <c r="C96" s="195"/>
      <c r="E96" s="7"/>
      <c r="G96" s="28"/>
      <c r="H96" s="28"/>
      <c r="I96" s="28"/>
      <c r="J96" s="28"/>
      <c r="K96" s="28"/>
      <c r="L96" s="28"/>
      <c r="M96" s="11"/>
      <c r="N96" s="11"/>
      <c r="O96" s="11"/>
      <c r="P96" s="11"/>
      <c r="V96" s="7"/>
    </row>
    <row r="97" spans="2:22" ht="18" customHeight="1">
      <c r="B97" s="195"/>
      <c r="C97" s="195"/>
      <c r="E97" s="7"/>
      <c r="G97" s="28"/>
      <c r="H97" s="28"/>
      <c r="I97" s="28"/>
      <c r="J97" s="28"/>
      <c r="K97" s="28"/>
      <c r="L97" s="28"/>
      <c r="M97" s="11"/>
      <c r="N97" s="11"/>
      <c r="O97" s="11"/>
      <c r="P97" s="11"/>
      <c r="V97" s="7"/>
    </row>
    <row r="98" spans="2:22" ht="18" customHeight="1">
      <c r="B98" s="195"/>
      <c r="C98" s="195"/>
      <c r="E98" s="7"/>
      <c r="F98" s="6" t="s">
        <v>827</v>
      </c>
      <c r="G98" s="28"/>
      <c r="H98" s="28"/>
      <c r="I98" s="28"/>
      <c r="J98" s="28"/>
      <c r="K98" s="28"/>
      <c r="L98" s="28"/>
      <c r="M98" s="11"/>
      <c r="N98" s="11"/>
      <c r="O98" s="11"/>
      <c r="P98" s="11"/>
      <c r="V98" s="7"/>
    </row>
    <row r="99" spans="2:22" ht="18" customHeight="1" thickBot="1">
      <c r="B99" s="195"/>
      <c r="C99" s="195"/>
      <c r="E99" s="7"/>
      <c r="G99" s="6" t="s">
        <v>828</v>
      </c>
      <c r="H99" s="28"/>
      <c r="I99" s="28"/>
      <c r="J99" s="28"/>
      <c r="K99" s="28"/>
      <c r="L99" s="28"/>
      <c r="M99" s="11"/>
      <c r="N99" s="11"/>
      <c r="O99" s="11"/>
      <c r="P99" s="11"/>
      <c r="V99" s="7"/>
    </row>
    <row r="100" spans="2:22" ht="18" customHeight="1" thickTop="1">
      <c r="B100" s="195"/>
      <c r="C100" s="195"/>
      <c r="E100" s="7"/>
      <c r="G100" s="390" t="s">
        <v>829</v>
      </c>
      <c r="H100" s="390"/>
      <c r="I100" s="390"/>
      <c r="J100" s="390"/>
      <c r="K100" s="390"/>
      <c r="L100" s="391"/>
      <c r="M100" s="413" t="s">
        <v>830</v>
      </c>
      <c r="N100" s="414"/>
      <c r="O100" s="414"/>
      <c r="P100" s="415"/>
      <c r="Q100" s="413" t="s">
        <v>831</v>
      </c>
      <c r="R100" s="414"/>
      <c r="S100" s="414"/>
      <c r="T100" s="414"/>
      <c r="V100" s="7"/>
    </row>
    <row r="101" spans="2:22" ht="30.75" thickBot="1">
      <c r="B101" s="195"/>
      <c r="C101" s="195"/>
      <c r="E101" s="7"/>
      <c r="G101" s="374"/>
      <c r="H101" s="374"/>
      <c r="I101" s="374"/>
      <c r="J101" s="374"/>
      <c r="K101" s="374"/>
      <c r="L101" s="408"/>
      <c r="M101" s="29" t="s">
        <v>309</v>
      </c>
      <c r="N101" s="29" t="s">
        <v>321</v>
      </c>
      <c r="O101" s="29" t="s">
        <v>322</v>
      </c>
      <c r="P101" s="29" t="s">
        <v>323</v>
      </c>
      <c r="Q101" s="29" t="s">
        <v>333</v>
      </c>
      <c r="R101" s="29" t="s">
        <v>832</v>
      </c>
      <c r="S101" s="29" t="s">
        <v>833</v>
      </c>
      <c r="T101" s="30" t="s">
        <v>134</v>
      </c>
      <c r="V101" s="7"/>
    </row>
    <row r="102" spans="2:22" ht="18" customHeight="1" thickTop="1">
      <c r="B102" s="195" t="str">
        <f>HYPERLINK("#LAYOUT_m1!lay중YACT1A01","YACT1A01")</f>
        <v>YACT1A01</v>
      </c>
      <c r="C102" s="195" t="str">
        <f>HYPERLINK("#LAYOUT_m1!lay중YACT1B01","YACT1B01")</f>
        <v>YACT1B01</v>
      </c>
      <c r="E102" s="7"/>
      <c r="G102" s="366" t="s">
        <v>834</v>
      </c>
      <c r="H102" s="366"/>
      <c r="I102" s="366"/>
      <c r="J102" s="366"/>
      <c r="K102" s="366"/>
      <c r="L102" s="367"/>
      <c r="M102" s="31" t="s">
        <v>591</v>
      </c>
      <c r="N102" s="31" t="s">
        <v>592</v>
      </c>
      <c r="O102" s="31" t="s">
        <v>593</v>
      </c>
      <c r="P102" s="31" t="s">
        <v>594</v>
      </c>
      <c r="Q102" s="31" t="s">
        <v>591</v>
      </c>
      <c r="R102" s="31" t="s">
        <v>592</v>
      </c>
      <c r="S102" s="31" t="s">
        <v>593</v>
      </c>
      <c r="T102" s="32" t="s">
        <v>594</v>
      </c>
      <c r="V102" s="7"/>
    </row>
    <row r="103" spans="2:22" ht="18" customHeight="1">
      <c r="B103" s="195" t="str">
        <f>HYPERLINK("#LAYOUT_m1!lay중YACT1A02","YACT1A02")</f>
        <v>YACT1A02</v>
      </c>
      <c r="C103" s="195" t="str">
        <f>HYPERLINK("#LAYOUT_m1!lay중YACT1B02","YACT1B02")</f>
        <v>YACT1B02</v>
      </c>
      <c r="E103" s="7"/>
      <c r="G103" s="362" t="s">
        <v>835</v>
      </c>
      <c r="H103" s="362"/>
      <c r="I103" s="362"/>
      <c r="J103" s="362"/>
      <c r="K103" s="362"/>
      <c r="L103" s="363"/>
      <c r="M103" s="22" t="s">
        <v>591</v>
      </c>
      <c r="N103" s="22" t="s">
        <v>592</v>
      </c>
      <c r="O103" s="22" t="s">
        <v>593</v>
      </c>
      <c r="P103" s="22" t="s">
        <v>594</v>
      </c>
      <c r="Q103" s="22" t="s">
        <v>591</v>
      </c>
      <c r="R103" s="22" t="s">
        <v>592</v>
      </c>
      <c r="S103" s="22" t="s">
        <v>593</v>
      </c>
      <c r="T103" s="24" t="s">
        <v>594</v>
      </c>
      <c r="V103" s="7"/>
    </row>
    <row r="104" spans="2:22" ht="18" customHeight="1">
      <c r="B104" s="195" t="str">
        <f>HYPERLINK("#LAYOUT_m1!lay중YACT1A03","YACT1A03")</f>
        <v>YACT1A03</v>
      </c>
      <c r="C104" s="195" t="str">
        <f>HYPERLINK("#LAYOUT_m1!lay중YACT1B03","YACT1B03")</f>
        <v>YACT1B03</v>
      </c>
      <c r="E104" s="7"/>
      <c r="G104" s="362" t="s">
        <v>836</v>
      </c>
      <c r="H104" s="362"/>
      <c r="I104" s="362"/>
      <c r="J104" s="362"/>
      <c r="K104" s="362"/>
      <c r="L104" s="363"/>
      <c r="M104" s="22" t="s">
        <v>591</v>
      </c>
      <c r="N104" s="22" t="s">
        <v>592</v>
      </c>
      <c r="O104" s="22" t="s">
        <v>593</v>
      </c>
      <c r="P104" s="22" t="s">
        <v>594</v>
      </c>
      <c r="Q104" s="22" t="s">
        <v>591</v>
      </c>
      <c r="R104" s="22" t="s">
        <v>592</v>
      </c>
      <c r="S104" s="22" t="s">
        <v>593</v>
      </c>
      <c r="T104" s="24" t="s">
        <v>594</v>
      </c>
      <c r="V104" s="7"/>
    </row>
    <row r="105" spans="2:22" ht="18" customHeight="1">
      <c r="B105" s="195" t="str">
        <f>HYPERLINK("#LAYOUT_m1!lay중YACT1A04","YACT1A04")</f>
        <v>YACT1A04</v>
      </c>
      <c r="C105" s="195" t="str">
        <f>HYPERLINK("#LAYOUT_m1!lay중YACT1B04","YACT1B04")</f>
        <v>YACT1B04</v>
      </c>
      <c r="E105" s="7"/>
      <c r="G105" s="362" t="s">
        <v>837</v>
      </c>
      <c r="H105" s="362"/>
      <c r="I105" s="362"/>
      <c r="J105" s="362"/>
      <c r="K105" s="362"/>
      <c r="L105" s="363"/>
      <c r="M105" s="22" t="s">
        <v>591</v>
      </c>
      <c r="N105" s="22" t="s">
        <v>592</v>
      </c>
      <c r="O105" s="22" t="s">
        <v>593</v>
      </c>
      <c r="P105" s="22" t="s">
        <v>594</v>
      </c>
      <c r="Q105" s="22" t="s">
        <v>591</v>
      </c>
      <c r="R105" s="22" t="s">
        <v>592</v>
      </c>
      <c r="S105" s="22" t="s">
        <v>593</v>
      </c>
      <c r="T105" s="24" t="s">
        <v>594</v>
      </c>
      <c r="V105" s="7"/>
    </row>
    <row r="106" spans="2:22" ht="18" customHeight="1">
      <c r="B106" s="195" t="str">
        <f>HYPERLINK("#LAYOUT_m1!lay중YACT1A05","YACT1A05")</f>
        <v>YACT1A05</v>
      </c>
      <c r="C106" s="195" t="str">
        <f>HYPERLINK("#LAYOUT_m1!lay중YACT1B05","YACT1B05")</f>
        <v>YACT1B05</v>
      </c>
      <c r="E106" s="7"/>
      <c r="G106" s="362" t="s">
        <v>838</v>
      </c>
      <c r="H106" s="362"/>
      <c r="I106" s="362"/>
      <c r="J106" s="362"/>
      <c r="K106" s="362"/>
      <c r="L106" s="363"/>
      <c r="M106" s="22" t="s">
        <v>591</v>
      </c>
      <c r="N106" s="22" t="s">
        <v>592</v>
      </c>
      <c r="O106" s="22" t="s">
        <v>593</v>
      </c>
      <c r="P106" s="22" t="s">
        <v>594</v>
      </c>
      <c r="Q106" s="22" t="s">
        <v>591</v>
      </c>
      <c r="R106" s="22" t="s">
        <v>592</v>
      </c>
      <c r="S106" s="22" t="s">
        <v>593</v>
      </c>
      <c r="T106" s="24" t="s">
        <v>594</v>
      </c>
      <c r="V106" s="7"/>
    </row>
    <row r="107" spans="2:22" ht="18" customHeight="1">
      <c r="B107" s="195" t="str">
        <f>HYPERLINK("#LAYOUT_m1!lay중YACT1A06","YACT1A06")</f>
        <v>YACT1A06</v>
      </c>
      <c r="C107" s="195" t="str">
        <f>HYPERLINK("#LAYOUT_m1!lay중YACT1B06","YACT1B06")</f>
        <v>YACT1B06</v>
      </c>
      <c r="E107" s="7"/>
      <c r="G107" s="362" t="s">
        <v>839</v>
      </c>
      <c r="H107" s="362"/>
      <c r="I107" s="362"/>
      <c r="J107" s="362"/>
      <c r="K107" s="362"/>
      <c r="L107" s="363"/>
      <c r="M107" s="22" t="s">
        <v>591</v>
      </c>
      <c r="N107" s="22" t="s">
        <v>592</v>
      </c>
      <c r="O107" s="22" t="s">
        <v>593</v>
      </c>
      <c r="P107" s="22" t="s">
        <v>594</v>
      </c>
      <c r="Q107" s="22" t="s">
        <v>591</v>
      </c>
      <c r="R107" s="22" t="s">
        <v>592</v>
      </c>
      <c r="S107" s="22" t="s">
        <v>593</v>
      </c>
      <c r="T107" s="24" t="s">
        <v>594</v>
      </c>
      <c r="V107" s="7"/>
    </row>
    <row r="108" spans="2:22" ht="18" customHeight="1">
      <c r="B108" s="195" t="str">
        <f>HYPERLINK("#LAYOUT_m1!lay중YACT1A07","YACT1A07")</f>
        <v>YACT1A07</v>
      </c>
      <c r="C108" s="195" t="str">
        <f>HYPERLINK("#LAYOUT_m1!lay중YACT1B07","YACT1B07")</f>
        <v>YACT1B07</v>
      </c>
      <c r="E108" s="7"/>
      <c r="G108" s="362" t="s">
        <v>840</v>
      </c>
      <c r="H108" s="362"/>
      <c r="I108" s="362"/>
      <c r="J108" s="362"/>
      <c r="K108" s="362"/>
      <c r="L108" s="363"/>
      <c r="M108" s="22" t="s">
        <v>591</v>
      </c>
      <c r="N108" s="22" t="s">
        <v>592</v>
      </c>
      <c r="O108" s="22" t="s">
        <v>593</v>
      </c>
      <c r="P108" s="22" t="s">
        <v>594</v>
      </c>
      <c r="Q108" s="22" t="s">
        <v>591</v>
      </c>
      <c r="R108" s="22" t="s">
        <v>592</v>
      </c>
      <c r="S108" s="22" t="s">
        <v>593</v>
      </c>
      <c r="T108" s="24" t="s">
        <v>594</v>
      </c>
      <c r="V108" s="7"/>
    </row>
    <row r="109" spans="2:22" ht="18" customHeight="1">
      <c r="B109" s="195" t="str">
        <f>HYPERLINK("#LAYOUT_m1!lay중YACT1A08","YACT1A08")</f>
        <v>YACT1A08</v>
      </c>
      <c r="C109" s="195" t="str">
        <f>HYPERLINK("#LAYOUT_m1!lay중YACT1B08","YACT1B08")</f>
        <v>YACT1B08</v>
      </c>
      <c r="E109" s="7"/>
      <c r="G109" s="362" t="s">
        <v>841</v>
      </c>
      <c r="H109" s="362"/>
      <c r="I109" s="362"/>
      <c r="J109" s="362"/>
      <c r="K109" s="362"/>
      <c r="L109" s="363"/>
      <c r="M109" s="22" t="s">
        <v>591</v>
      </c>
      <c r="N109" s="22" t="s">
        <v>592</v>
      </c>
      <c r="O109" s="22" t="s">
        <v>593</v>
      </c>
      <c r="P109" s="22" t="s">
        <v>594</v>
      </c>
      <c r="Q109" s="22" t="s">
        <v>591</v>
      </c>
      <c r="R109" s="22" t="s">
        <v>592</v>
      </c>
      <c r="S109" s="22" t="s">
        <v>593</v>
      </c>
      <c r="T109" s="24" t="s">
        <v>594</v>
      </c>
      <c r="V109" s="7"/>
    </row>
    <row r="110" spans="2:22" ht="18" customHeight="1">
      <c r="B110" s="195" t="str">
        <f>HYPERLINK("#LAYOUT_m1!lay중YACT1A09","YACT1A09")</f>
        <v>YACT1A09</v>
      </c>
      <c r="C110" s="195" t="str">
        <f>HYPERLINK("#LAYOUT_m1!lay중YACT1B09","YACT1B09")</f>
        <v>YACT1B09</v>
      </c>
      <c r="E110" s="7"/>
      <c r="G110" s="362" t="s">
        <v>842</v>
      </c>
      <c r="H110" s="362"/>
      <c r="I110" s="362"/>
      <c r="J110" s="362"/>
      <c r="K110" s="362"/>
      <c r="L110" s="363"/>
      <c r="M110" s="22" t="s">
        <v>591</v>
      </c>
      <c r="N110" s="22" t="s">
        <v>592</v>
      </c>
      <c r="O110" s="22" t="s">
        <v>593</v>
      </c>
      <c r="P110" s="22" t="s">
        <v>594</v>
      </c>
      <c r="Q110" s="22" t="s">
        <v>591</v>
      </c>
      <c r="R110" s="22" t="s">
        <v>592</v>
      </c>
      <c r="S110" s="22" t="s">
        <v>593</v>
      </c>
      <c r="T110" s="24" t="s">
        <v>594</v>
      </c>
      <c r="V110" s="7"/>
    </row>
    <row r="111" spans="2:22" ht="18" customHeight="1">
      <c r="B111" s="195"/>
      <c r="C111" s="195"/>
      <c r="E111" s="7"/>
      <c r="G111" s="28"/>
      <c r="H111" s="28"/>
      <c r="I111" s="28"/>
      <c r="J111" s="28"/>
      <c r="K111" s="28"/>
      <c r="L111" s="28"/>
      <c r="M111" s="11"/>
      <c r="N111" s="11"/>
      <c r="O111" s="11"/>
      <c r="P111" s="11"/>
      <c r="V111" s="7"/>
    </row>
    <row r="112" spans="2:22" ht="18" customHeight="1">
      <c r="B112" s="195"/>
      <c r="C112" s="195"/>
      <c r="E112" s="7"/>
      <c r="G112" s="28"/>
      <c r="H112" s="28"/>
      <c r="I112" s="28"/>
      <c r="J112" s="28"/>
      <c r="K112" s="28"/>
      <c r="L112" s="28"/>
      <c r="M112" s="11"/>
      <c r="N112" s="11"/>
      <c r="O112" s="11"/>
      <c r="P112" s="11"/>
      <c r="V112" s="7"/>
    </row>
    <row r="113" spans="2:22" ht="18" customHeight="1" thickBot="1">
      <c r="B113" s="195"/>
      <c r="C113" s="195"/>
      <c r="E113" s="7"/>
      <c r="F113" s="6" t="s">
        <v>843</v>
      </c>
      <c r="G113" s="28"/>
      <c r="H113" s="28"/>
      <c r="I113" s="28"/>
      <c r="J113" s="28"/>
      <c r="K113" s="28"/>
      <c r="L113" s="28"/>
      <c r="M113" s="11"/>
      <c r="N113" s="11"/>
      <c r="O113" s="11"/>
      <c r="P113" s="11"/>
      <c r="V113" s="7"/>
    </row>
    <row r="114" spans="2:22" ht="18" customHeight="1" thickTop="1">
      <c r="B114" s="195"/>
      <c r="C114" s="195"/>
      <c r="E114" s="7"/>
      <c r="G114" s="390" t="s">
        <v>643</v>
      </c>
      <c r="H114" s="390"/>
      <c r="I114" s="390"/>
      <c r="J114" s="390"/>
      <c r="K114" s="390"/>
      <c r="L114" s="391"/>
      <c r="M114" s="413" t="s">
        <v>844</v>
      </c>
      <c r="N114" s="414"/>
      <c r="O114" s="414"/>
      <c r="P114" s="415"/>
      <c r="Q114" s="413" t="s">
        <v>845</v>
      </c>
      <c r="R114" s="414"/>
      <c r="S114" s="414"/>
      <c r="T114" s="414"/>
      <c r="V114" s="7"/>
    </row>
    <row r="115" spans="2:22" ht="30.75" thickBot="1">
      <c r="B115" s="195"/>
      <c r="C115" s="195"/>
      <c r="E115" s="7"/>
      <c r="G115" s="374"/>
      <c r="H115" s="374"/>
      <c r="I115" s="374"/>
      <c r="J115" s="374"/>
      <c r="K115" s="374"/>
      <c r="L115" s="408"/>
      <c r="M115" s="29" t="s">
        <v>309</v>
      </c>
      <c r="N115" s="29" t="s">
        <v>321</v>
      </c>
      <c r="O115" s="29" t="s">
        <v>322</v>
      </c>
      <c r="P115" s="29" t="s">
        <v>323</v>
      </c>
      <c r="Q115" s="29" t="s">
        <v>333</v>
      </c>
      <c r="R115" s="29" t="s">
        <v>832</v>
      </c>
      <c r="S115" s="29" t="s">
        <v>833</v>
      </c>
      <c r="T115" s="30" t="s">
        <v>134</v>
      </c>
      <c r="V115" s="7"/>
    </row>
    <row r="116" spans="2:22" ht="18" customHeight="1" thickTop="1">
      <c r="B116" s="195" t="str">
        <f>HYPERLINK("#LAYOUT_m1!lay중YACT2A01","YACT2A01")</f>
        <v>YACT2A01</v>
      </c>
      <c r="C116" s="195" t="str">
        <f>HYPERLINK("#LAYOUT_m1!lay중YACT2B01","YACT2B01")</f>
        <v>YACT2B01</v>
      </c>
      <c r="E116" s="7"/>
      <c r="G116" s="366" t="s">
        <v>846</v>
      </c>
      <c r="H116" s="366"/>
      <c r="I116" s="366"/>
      <c r="J116" s="366"/>
      <c r="K116" s="366"/>
      <c r="L116" s="367"/>
      <c r="M116" s="20" t="s">
        <v>591</v>
      </c>
      <c r="N116" s="20" t="s">
        <v>592</v>
      </c>
      <c r="O116" s="20" t="s">
        <v>593</v>
      </c>
      <c r="P116" s="20" t="s">
        <v>594</v>
      </c>
      <c r="Q116" s="20" t="s">
        <v>591</v>
      </c>
      <c r="R116" s="20" t="s">
        <v>592</v>
      </c>
      <c r="S116" s="20" t="s">
        <v>593</v>
      </c>
      <c r="T116" s="25" t="s">
        <v>594</v>
      </c>
      <c r="V116" s="7"/>
    </row>
    <row r="117" spans="2:22" ht="18" customHeight="1">
      <c r="B117" s="195" t="str">
        <f>HYPERLINK("#LAYOUT_m1!lay중YACT2A02","YACT2A02")</f>
        <v>YACT2A02</v>
      </c>
      <c r="C117" s="195" t="str">
        <f>HYPERLINK("#LAYOUT_m1!lay중YACT2B02","YACT2B02")</f>
        <v>YACT2B02</v>
      </c>
      <c r="E117" s="7"/>
      <c r="G117" s="362" t="s">
        <v>847</v>
      </c>
      <c r="H117" s="362"/>
      <c r="I117" s="362"/>
      <c r="J117" s="362"/>
      <c r="K117" s="362"/>
      <c r="L117" s="363"/>
      <c r="M117" s="22" t="s">
        <v>591</v>
      </c>
      <c r="N117" s="22" t="s">
        <v>592</v>
      </c>
      <c r="O117" s="22" t="s">
        <v>593</v>
      </c>
      <c r="P117" s="22" t="s">
        <v>594</v>
      </c>
      <c r="Q117" s="22" t="s">
        <v>591</v>
      </c>
      <c r="R117" s="22" t="s">
        <v>592</v>
      </c>
      <c r="S117" s="22" t="s">
        <v>593</v>
      </c>
      <c r="T117" s="24" t="s">
        <v>594</v>
      </c>
      <c r="V117" s="7"/>
    </row>
    <row r="118" spans="2:22" ht="18" customHeight="1">
      <c r="B118" s="195"/>
      <c r="C118" s="195"/>
      <c r="E118" s="7"/>
      <c r="H118" s="28"/>
      <c r="I118" s="28"/>
      <c r="J118" s="28"/>
      <c r="K118" s="28"/>
      <c r="L118" s="28"/>
      <c r="M118" s="11"/>
      <c r="N118" s="11"/>
      <c r="O118" s="11"/>
      <c r="P118" s="11"/>
      <c r="V118" s="7"/>
    </row>
    <row r="119" spans="2:22" ht="18" customHeight="1">
      <c r="B119" s="195"/>
      <c r="C119" s="195"/>
      <c r="E119" s="7"/>
      <c r="G119" s="28"/>
      <c r="H119" s="28"/>
      <c r="I119" s="28"/>
      <c r="J119" s="28"/>
      <c r="K119" s="28"/>
      <c r="L119" s="28"/>
      <c r="M119" s="11"/>
      <c r="N119" s="11"/>
      <c r="O119" s="11"/>
      <c r="P119" s="11"/>
      <c r="V119" s="7"/>
    </row>
    <row r="120" spans="2:22" ht="18" customHeight="1">
      <c r="B120" s="355" t="str">
        <f>HYPERLINK("#LAYOUT_m1!lay중YACT3A00","YACT3A00")</f>
        <v>YACT3A00</v>
      </c>
      <c r="C120" s="355"/>
      <c r="E120" s="7"/>
      <c r="F120" s="6" t="s">
        <v>848</v>
      </c>
      <c r="G120" s="28"/>
      <c r="H120" s="28"/>
      <c r="I120" s="28"/>
      <c r="J120" s="28"/>
      <c r="K120" s="28"/>
      <c r="L120" s="28"/>
      <c r="M120" s="11"/>
      <c r="N120" s="11"/>
      <c r="O120" s="11"/>
      <c r="P120" s="11"/>
      <c r="V120" s="7"/>
    </row>
    <row r="121" spans="2:22" ht="18" customHeight="1">
      <c r="B121" s="195"/>
      <c r="C121" s="195"/>
      <c r="E121" s="7"/>
      <c r="G121" s="396" t="s">
        <v>849</v>
      </c>
      <c r="H121" s="396"/>
      <c r="M121" s="11"/>
      <c r="N121" s="11"/>
      <c r="O121" s="11"/>
      <c r="P121" s="11"/>
      <c r="V121" s="7"/>
    </row>
    <row r="122" spans="2:22" ht="18" customHeight="1">
      <c r="B122" s="195"/>
      <c r="C122" s="195"/>
      <c r="E122" s="7"/>
      <c r="G122" s="370" t="s">
        <v>850</v>
      </c>
      <c r="H122" s="370"/>
      <c r="I122" s="28"/>
      <c r="J122" s="28"/>
      <c r="K122" s="28"/>
      <c r="L122" s="28"/>
      <c r="M122" s="11"/>
      <c r="N122" s="11"/>
      <c r="O122" s="11"/>
      <c r="P122" s="11"/>
      <c r="V122" s="7"/>
    </row>
    <row r="123" spans="2:22" ht="18" customHeight="1">
      <c r="B123" s="195"/>
      <c r="C123" s="195"/>
      <c r="E123" s="7"/>
      <c r="G123" s="28"/>
      <c r="H123" s="28"/>
      <c r="I123" s="28"/>
      <c r="J123" s="28"/>
      <c r="K123" s="28"/>
      <c r="L123" s="28"/>
      <c r="M123" s="11"/>
      <c r="N123" s="11"/>
      <c r="O123" s="11"/>
      <c r="P123" s="11"/>
      <c r="V123" s="7"/>
    </row>
    <row r="124" spans="2:22" ht="18" customHeight="1">
      <c r="B124" s="195"/>
      <c r="C124" s="195"/>
      <c r="E124" s="7"/>
      <c r="G124" s="28"/>
      <c r="H124" s="28"/>
      <c r="I124" s="28"/>
      <c r="J124" s="28"/>
      <c r="K124" s="28"/>
      <c r="L124" s="28"/>
      <c r="M124" s="11"/>
      <c r="N124" s="11"/>
      <c r="O124" s="11"/>
      <c r="P124" s="11"/>
      <c r="V124" s="7"/>
    </row>
    <row r="125" spans="2:22" ht="18" customHeight="1" thickBot="1">
      <c r="B125" s="195"/>
      <c r="C125" s="195"/>
      <c r="E125" s="7"/>
      <c r="F125" s="6" t="s">
        <v>851</v>
      </c>
      <c r="G125" s="28"/>
      <c r="H125" s="28"/>
      <c r="I125" s="28"/>
      <c r="J125" s="28"/>
      <c r="K125" s="28"/>
      <c r="L125" s="28"/>
      <c r="M125" s="11"/>
      <c r="N125" s="11"/>
      <c r="O125" s="11"/>
      <c r="P125" s="11"/>
      <c r="V125" s="7"/>
    </row>
    <row r="126" spans="2:22" ht="18" customHeight="1" thickTop="1">
      <c r="B126" s="195"/>
      <c r="C126" s="195"/>
      <c r="E126" s="7"/>
      <c r="G126" s="390" t="s">
        <v>852</v>
      </c>
      <c r="H126" s="390"/>
      <c r="I126" s="390"/>
      <c r="J126" s="390"/>
      <c r="K126" s="390"/>
      <c r="L126" s="391"/>
      <c r="M126" s="416" t="s">
        <v>418</v>
      </c>
      <c r="N126" s="413" t="s">
        <v>341</v>
      </c>
      <c r="O126" s="414"/>
      <c r="P126" s="414"/>
      <c r="Q126" s="414"/>
      <c r="R126" s="414"/>
      <c r="V126" s="7"/>
    </row>
    <row r="127" spans="2:22" ht="30.75" thickBot="1">
      <c r="B127" s="195"/>
      <c r="C127" s="195"/>
      <c r="E127" s="7"/>
      <c r="G127" s="374"/>
      <c r="H127" s="374"/>
      <c r="I127" s="374"/>
      <c r="J127" s="374"/>
      <c r="K127" s="374"/>
      <c r="L127" s="408"/>
      <c r="M127" s="417"/>
      <c r="N127" s="33" t="s">
        <v>345</v>
      </c>
      <c r="O127" s="33" t="s">
        <v>419</v>
      </c>
      <c r="P127" s="33" t="s">
        <v>347</v>
      </c>
      <c r="Q127" s="33" t="s">
        <v>348</v>
      </c>
      <c r="R127" s="34" t="s">
        <v>853</v>
      </c>
      <c r="V127" s="7"/>
    </row>
    <row r="128" spans="2:22" ht="18" customHeight="1" thickTop="1">
      <c r="B128" s="355" t="str">
        <f>HYPERLINK("#LAYOUT_m1!lay중YACT3B01","YACT3B01")</f>
        <v>YACT3B01</v>
      </c>
      <c r="C128" s="355"/>
      <c r="E128" s="7"/>
      <c r="G128" s="366" t="s">
        <v>854</v>
      </c>
      <c r="H128" s="366"/>
      <c r="I128" s="366"/>
      <c r="J128" s="366"/>
      <c r="K128" s="366"/>
      <c r="L128" s="367"/>
      <c r="M128" s="20" t="s">
        <v>591</v>
      </c>
      <c r="N128" s="20" t="s">
        <v>592</v>
      </c>
      <c r="O128" s="20" t="s">
        <v>593</v>
      </c>
      <c r="P128" s="20" t="s">
        <v>594</v>
      </c>
      <c r="Q128" s="20" t="s">
        <v>595</v>
      </c>
      <c r="R128" s="25" t="s">
        <v>596</v>
      </c>
      <c r="V128" s="7"/>
    </row>
    <row r="129" spans="2:22" ht="18" customHeight="1">
      <c r="B129" s="355" t="str">
        <f>HYPERLINK("#LAYOUT_m1!lay중YACT3B02","YACT3B02")</f>
        <v>YACT3B02</v>
      </c>
      <c r="C129" s="355"/>
      <c r="E129" s="7"/>
      <c r="G129" s="362" t="s">
        <v>855</v>
      </c>
      <c r="H129" s="362"/>
      <c r="I129" s="362"/>
      <c r="J129" s="362"/>
      <c r="K129" s="362"/>
      <c r="L129" s="363"/>
      <c r="M129" s="22" t="s">
        <v>591</v>
      </c>
      <c r="N129" s="22" t="s">
        <v>592</v>
      </c>
      <c r="O129" s="22" t="s">
        <v>593</v>
      </c>
      <c r="P129" s="22" t="s">
        <v>594</v>
      </c>
      <c r="Q129" s="22" t="s">
        <v>595</v>
      </c>
      <c r="R129" s="24" t="s">
        <v>596</v>
      </c>
      <c r="V129" s="7"/>
    </row>
    <row r="130" spans="2:22" ht="18" customHeight="1">
      <c r="B130" s="355" t="str">
        <f>HYPERLINK("#LAYOUT_m1!lay중YACT3B03","YACT3B03")</f>
        <v>YACT3B03</v>
      </c>
      <c r="C130" s="355"/>
      <c r="E130" s="7"/>
      <c r="G130" s="362" t="s">
        <v>856</v>
      </c>
      <c r="H130" s="362"/>
      <c r="I130" s="362"/>
      <c r="J130" s="362"/>
      <c r="K130" s="362"/>
      <c r="L130" s="363"/>
      <c r="M130" s="22" t="s">
        <v>591</v>
      </c>
      <c r="N130" s="22" t="s">
        <v>592</v>
      </c>
      <c r="O130" s="22" t="s">
        <v>593</v>
      </c>
      <c r="P130" s="22" t="s">
        <v>594</v>
      </c>
      <c r="Q130" s="22" t="s">
        <v>595</v>
      </c>
      <c r="R130" s="24" t="s">
        <v>596</v>
      </c>
      <c r="V130" s="7"/>
    </row>
    <row r="131" spans="2:22" ht="18" customHeight="1">
      <c r="B131" s="355" t="str">
        <f>HYPERLINK("#LAYOUT_m1!lay중YACT3B04","YACT3B04")</f>
        <v>YACT3B04</v>
      </c>
      <c r="C131" s="355"/>
      <c r="E131" s="7"/>
      <c r="G131" s="362" t="s">
        <v>857</v>
      </c>
      <c r="H131" s="362"/>
      <c r="I131" s="362"/>
      <c r="J131" s="362"/>
      <c r="K131" s="362"/>
      <c r="L131" s="363"/>
      <c r="M131" s="22" t="s">
        <v>591</v>
      </c>
      <c r="N131" s="22" t="s">
        <v>592</v>
      </c>
      <c r="O131" s="22" t="s">
        <v>593</v>
      </c>
      <c r="P131" s="22" t="s">
        <v>594</v>
      </c>
      <c r="Q131" s="22" t="s">
        <v>595</v>
      </c>
      <c r="R131" s="24" t="s">
        <v>596</v>
      </c>
      <c r="V131" s="7"/>
    </row>
    <row r="132" spans="2:22" ht="18" customHeight="1">
      <c r="B132" s="355" t="str">
        <f>HYPERLINK("#LAYOUT_m1!lay중YACT3B05","YACT3B05")</f>
        <v>YACT3B05</v>
      </c>
      <c r="C132" s="355"/>
      <c r="E132" s="7"/>
      <c r="G132" s="362" t="s">
        <v>858</v>
      </c>
      <c r="H132" s="362"/>
      <c r="I132" s="362"/>
      <c r="J132" s="362"/>
      <c r="K132" s="362"/>
      <c r="L132" s="363"/>
      <c r="M132" s="22" t="s">
        <v>591</v>
      </c>
      <c r="N132" s="22" t="s">
        <v>592</v>
      </c>
      <c r="O132" s="22" t="s">
        <v>593</v>
      </c>
      <c r="P132" s="22" t="s">
        <v>594</v>
      </c>
      <c r="Q132" s="22" t="s">
        <v>595</v>
      </c>
      <c r="R132" s="24" t="s">
        <v>596</v>
      </c>
      <c r="V132" s="7"/>
    </row>
    <row r="133" spans="2:22" ht="18" customHeight="1">
      <c r="B133" s="355" t="str">
        <f>HYPERLINK("#LAYOUT_m1!lay중YACT3B06","YACT3B06")</f>
        <v>YACT3B06</v>
      </c>
      <c r="C133" s="355"/>
      <c r="E133" s="7"/>
      <c r="G133" s="362" t="s">
        <v>859</v>
      </c>
      <c r="H133" s="362"/>
      <c r="I133" s="362"/>
      <c r="J133" s="362"/>
      <c r="K133" s="362"/>
      <c r="L133" s="363"/>
      <c r="M133" s="22" t="s">
        <v>591</v>
      </c>
      <c r="N133" s="22" t="s">
        <v>592</v>
      </c>
      <c r="O133" s="22" t="s">
        <v>593</v>
      </c>
      <c r="P133" s="22" t="s">
        <v>594</v>
      </c>
      <c r="Q133" s="22" t="s">
        <v>595</v>
      </c>
      <c r="R133" s="24" t="s">
        <v>596</v>
      </c>
      <c r="V133" s="7"/>
    </row>
    <row r="134" spans="2:22" ht="18" customHeight="1">
      <c r="B134" s="355" t="str">
        <f>HYPERLINK("#LAYOUT_m1!lay중YACT3B07","YACT3B07")</f>
        <v>YACT3B07</v>
      </c>
      <c r="C134" s="355"/>
      <c r="E134" s="7"/>
      <c r="G134" s="362" t="s">
        <v>860</v>
      </c>
      <c r="H134" s="362"/>
      <c r="I134" s="362"/>
      <c r="J134" s="362"/>
      <c r="K134" s="362"/>
      <c r="L134" s="363"/>
      <c r="M134" s="22" t="s">
        <v>591</v>
      </c>
      <c r="N134" s="22" t="s">
        <v>592</v>
      </c>
      <c r="O134" s="22" t="s">
        <v>593</v>
      </c>
      <c r="P134" s="22" t="s">
        <v>594</v>
      </c>
      <c r="Q134" s="22" t="s">
        <v>595</v>
      </c>
      <c r="R134" s="24" t="s">
        <v>596</v>
      </c>
      <c r="V134" s="7"/>
    </row>
    <row r="135" spans="2:22" ht="18" customHeight="1">
      <c r="B135" s="355" t="str">
        <f>HYPERLINK("#LAYOUT_m1!lay중YACT3B08","YACT3B08")</f>
        <v>YACT3B08</v>
      </c>
      <c r="C135" s="355"/>
      <c r="E135" s="7"/>
      <c r="G135" s="362" t="s">
        <v>861</v>
      </c>
      <c r="H135" s="362"/>
      <c r="I135" s="362"/>
      <c r="J135" s="362"/>
      <c r="K135" s="362"/>
      <c r="L135" s="363"/>
      <c r="M135" s="22" t="s">
        <v>591</v>
      </c>
      <c r="N135" s="22" t="s">
        <v>592</v>
      </c>
      <c r="O135" s="22" t="s">
        <v>593</v>
      </c>
      <c r="P135" s="22" t="s">
        <v>594</v>
      </c>
      <c r="Q135" s="22" t="s">
        <v>595</v>
      </c>
      <c r="R135" s="24" t="s">
        <v>596</v>
      </c>
      <c r="V135" s="7"/>
    </row>
    <row r="136" spans="2:22" ht="18" customHeight="1">
      <c r="B136" s="355" t="str">
        <f>HYPERLINK("#LAYOUT_m1!lay중YACT3B09","YACT3B09")</f>
        <v>YACT3B09</v>
      </c>
      <c r="C136" s="355"/>
      <c r="E136" s="7"/>
      <c r="G136" s="362" t="s">
        <v>862</v>
      </c>
      <c r="H136" s="362"/>
      <c r="I136" s="362"/>
      <c r="J136" s="362"/>
      <c r="K136" s="362"/>
      <c r="L136" s="363"/>
      <c r="M136" s="22" t="s">
        <v>591</v>
      </c>
      <c r="N136" s="22" t="s">
        <v>592</v>
      </c>
      <c r="O136" s="22" t="s">
        <v>593</v>
      </c>
      <c r="P136" s="22" t="s">
        <v>594</v>
      </c>
      <c r="Q136" s="22" t="s">
        <v>595</v>
      </c>
      <c r="R136" s="24" t="s">
        <v>596</v>
      </c>
      <c r="V136" s="7"/>
    </row>
    <row r="137" spans="2:22" ht="18" customHeight="1">
      <c r="B137" s="195"/>
      <c r="C137" s="195"/>
      <c r="E137" s="7"/>
      <c r="V137" s="7"/>
    </row>
    <row r="138" spans="2:22" ht="18" customHeight="1">
      <c r="B138" s="195"/>
      <c r="C138" s="195"/>
      <c r="E138" s="7"/>
      <c r="V138" s="7"/>
    </row>
    <row r="139" spans="2:22" ht="18" customHeight="1" thickBot="1">
      <c r="B139" s="355" t="str">
        <f>HYPERLINK("#LAYOUT_m1!lay중YINT1A00","YINT1A00")</f>
        <v>YINT1A00</v>
      </c>
      <c r="C139" s="355"/>
      <c r="E139" s="7"/>
      <c r="F139" s="6" t="s">
        <v>1570</v>
      </c>
      <c r="V139" s="7"/>
    </row>
    <row r="140" spans="2:22" ht="18" customHeight="1" thickTop="1">
      <c r="B140" s="195"/>
      <c r="C140" s="195"/>
      <c r="E140" s="7"/>
      <c r="F140" s="35"/>
      <c r="G140" s="36"/>
      <c r="H140" s="37"/>
      <c r="I140" s="37"/>
      <c r="J140" s="37"/>
      <c r="K140" s="37"/>
      <c r="L140" s="37"/>
      <c r="M140" s="37"/>
      <c r="N140" s="38"/>
      <c r="V140" s="7"/>
    </row>
    <row r="141" spans="2:22" ht="18" customHeight="1">
      <c r="B141" s="195"/>
      <c r="C141" s="195"/>
      <c r="E141" s="7"/>
      <c r="F141" s="39"/>
      <c r="G141" s="40"/>
      <c r="H141" s="11" t="s">
        <v>124</v>
      </c>
      <c r="I141" s="11" t="s">
        <v>125</v>
      </c>
      <c r="J141" s="11" t="s">
        <v>126</v>
      </c>
      <c r="K141" s="11" t="s">
        <v>127</v>
      </c>
      <c r="L141" s="11" t="s">
        <v>128</v>
      </c>
      <c r="M141" s="41" t="s">
        <v>129</v>
      </c>
      <c r="N141" s="42"/>
      <c r="V141" s="7"/>
    </row>
    <row r="142" spans="2:22" ht="18" customHeight="1">
      <c r="B142" s="195"/>
      <c r="C142" s="195"/>
      <c r="E142" s="7"/>
      <c r="F142" s="39"/>
      <c r="G142" s="40"/>
      <c r="H142" s="11" t="s">
        <v>591</v>
      </c>
      <c r="I142" s="11" t="s">
        <v>592</v>
      </c>
      <c r="J142" s="11" t="s">
        <v>593</v>
      </c>
      <c r="K142" s="11" t="s">
        <v>594</v>
      </c>
      <c r="L142" s="11" t="s">
        <v>595</v>
      </c>
      <c r="M142" s="41" t="s">
        <v>6</v>
      </c>
      <c r="N142" s="42"/>
      <c r="V142" s="7"/>
    </row>
    <row r="143" spans="2:22" ht="18" customHeight="1">
      <c r="B143" s="195"/>
      <c r="C143" s="195"/>
      <c r="E143" s="7"/>
      <c r="G143" s="40"/>
      <c r="H143" s="43"/>
      <c r="I143" s="43"/>
      <c r="J143" s="43"/>
      <c r="K143" s="43"/>
      <c r="L143" s="43"/>
      <c r="M143" s="44"/>
      <c r="N143" s="42"/>
      <c r="V143" s="7"/>
    </row>
    <row r="144" spans="2:22" ht="18" customHeight="1">
      <c r="B144" s="195"/>
      <c r="C144" s="195"/>
      <c r="E144" s="7"/>
      <c r="G144" s="40"/>
      <c r="H144" s="45"/>
      <c r="I144" s="45"/>
      <c r="J144" s="45"/>
      <c r="K144" s="45"/>
      <c r="L144" s="45"/>
      <c r="M144" s="46"/>
      <c r="N144" s="42"/>
      <c r="V144" s="7"/>
    </row>
    <row r="145" spans="2:22" ht="18" customHeight="1" thickBot="1">
      <c r="B145" s="195"/>
      <c r="C145" s="195"/>
      <c r="E145" s="7"/>
      <c r="G145" s="47"/>
      <c r="H145" s="48"/>
      <c r="I145" s="48"/>
      <c r="J145" s="48"/>
      <c r="K145" s="48"/>
      <c r="L145" s="48"/>
      <c r="M145" s="48"/>
      <c r="N145" s="49"/>
      <c r="V145" s="7"/>
    </row>
    <row r="146" spans="2:22" ht="18" customHeight="1" thickTop="1">
      <c r="B146" s="195"/>
      <c r="C146" s="195"/>
      <c r="E146" s="7"/>
      <c r="G146" s="5"/>
      <c r="H146" s="5"/>
      <c r="I146" s="5"/>
      <c r="J146" s="5"/>
      <c r="K146" s="5"/>
      <c r="L146" s="5"/>
      <c r="M146" s="5"/>
      <c r="N146" s="5"/>
      <c r="V146" s="7"/>
    </row>
    <row r="147" spans="2:22" ht="18" customHeight="1">
      <c r="B147" s="195"/>
      <c r="C147" s="195"/>
      <c r="E147" s="7"/>
      <c r="V147" s="7"/>
    </row>
    <row r="148" spans="2:22" ht="18" customHeight="1" thickBot="1">
      <c r="B148" s="355" t="str">
        <f>HYPERLINK("#LAYOUT_m1!lay중YINT1B00","YINT1B00")</f>
        <v>YINT1B00</v>
      </c>
      <c r="C148" s="355"/>
      <c r="E148" s="7"/>
      <c r="F148" s="6" t="s">
        <v>1571</v>
      </c>
      <c r="V148" s="7"/>
    </row>
    <row r="149" spans="2:22" ht="18" customHeight="1" thickTop="1">
      <c r="B149" s="195"/>
      <c r="C149" s="195"/>
      <c r="E149" s="7"/>
      <c r="G149" s="36"/>
      <c r="H149" s="37"/>
      <c r="I149" s="37"/>
      <c r="J149" s="37"/>
      <c r="K149" s="37"/>
      <c r="L149" s="37"/>
      <c r="M149" s="37"/>
      <c r="N149" s="38"/>
      <c r="V149" s="7"/>
    </row>
    <row r="150" spans="2:22" ht="18" customHeight="1">
      <c r="B150" s="195"/>
      <c r="C150" s="195"/>
      <c r="E150" s="7"/>
      <c r="G150" s="40"/>
      <c r="H150" s="11" t="s">
        <v>131</v>
      </c>
      <c r="I150" s="11" t="s">
        <v>132</v>
      </c>
      <c r="J150" s="11" t="s">
        <v>126</v>
      </c>
      <c r="K150" s="11" t="s">
        <v>133</v>
      </c>
      <c r="L150" s="11" t="s">
        <v>640</v>
      </c>
      <c r="M150" s="41" t="s">
        <v>129</v>
      </c>
      <c r="N150" s="42"/>
      <c r="V150" s="7"/>
    </row>
    <row r="151" spans="2:22" ht="18" customHeight="1">
      <c r="B151" s="195"/>
      <c r="C151" s="195"/>
      <c r="E151" s="7"/>
      <c r="G151" s="40"/>
      <c r="H151" s="11" t="s">
        <v>591</v>
      </c>
      <c r="I151" s="11" t="s">
        <v>592</v>
      </c>
      <c r="J151" s="11" t="s">
        <v>593</v>
      </c>
      <c r="K151" s="11" t="s">
        <v>594</v>
      </c>
      <c r="L151" s="11" t="s">
        <v>595</v>
      </c>
      <c r="M151" s="41" t="s">
        <v>6</v>
      </c>
      <c r="N151" s="42"/>
      <c r="V151" s="7"/>
    </row>
    <row r="152" spans="2:22" ht="18" customHeight="1">
      <c r="B152" s="195"/>
      <c r="C152" s="195"/>
      <c r="E152" s="7"/>
      <c r="G152" s="40"/>
      <c r="H152" s="43"/>
      <c r="I152" s="43"/>
      <c r="J152" s="43"/>
      <c r="K152" s="43"/>
      <c r="L152" s="43"/>
      <c r="M152" s="44"/>
      <c r="N152" s="42"/>
      <c r="V152" s="7"/>
    </row>
    <row r="153" spans="2:22" ht="18" customHeight="1">
      <c r="B153" s="195"/>
      <c r="C153" s="195"/>
      <c r="E153" s="7"/>
      <c r="G153" s="40"/>
      <c r="H153" s="45"/>
      <c r="I153" s="45"/>
      <c r="J153" s="45"/>
      <c r="K153" s="45"/>
      <c r="L153" s="45"/>
      <c r="M153" s="46"/>
      <c r="N153" s="42"/>
      <c r="V153" s="7"/>
    </row>
    <row r="154" spans="2:22" ht="18" customHeight="1" thickBot="1">
      <c r="B154" s="195"/>
      <c r="C154" s="195"/>
      <c r="E154" s="7"/>
      <c r="G154" s="47"/>
      <c r="H154" s="48"/>
      <c r="I154" s="48"/>
      <c r="J154" s="48"/>
      <c r="K154" s="48"/>
      <c r="L154" s="48"/>
      <c r="M154" s="48"/>
      <c r="N154" s="49"/>
      <c r="V154" s="7"/>
    </row>
    <row r="155" spans="2:22" ht="18" customHeight="1" thickTop="1">
      <c r="B155" s="195"/>
      <c r="C155" s="195"/>
      <c r="E155" s="7"/>
      <c r="G155" s="5"/>
      <c r="H155" s="5"/>
      <c r="I155" s="5"/>
      <c r="J155" s="5"/>
      <c r="K155" s="5"/>
      <c r="L155" s="5"/>
      <c r="M155" s="5"/>
      <c r="N155" s="5"/>
      <c r="V155" s="7"/>
    </row>
    <row r="156" spans="2:22" ht="18" customHeight="1">
      <c r="B156" s="195"/>
      <c r="C156" s="195"/>
      <c r="E156" s="7"/>
      <c r="V156" s="7"/>
    </row>
    <row r="157" spans="2:22" ht="18" customHeight="1" thickBot="1">
      <c r="B157" s="355" t="str">
        <f>HYPERLINK("#LAYOUT_m1!lay중YEDU1A00","YEDU1A00")</f>
        <v>YEDU1A00</v>
      </c>
      <c r="C157" s="355"/>
      <c r="E157" s="7"/>
      <c r="F157" s="6" t="s">
        <v>1572</v>
      </c>
      <c r="V157" s="7"/>
    </row>
    <row r="158" spans="2:22" ht="18" customHeight="1" thickTop="1">
      <c r="B158" s="195"/>
      <c r="C158" s="195"/>
      <c r="E158" s="7"/>
      <c r="G158" s="36"/>
      <c r="H158" s="37"/>
      <c r="I158" s="37"/>
      <c r="J158" s="37"/>
      <c r="K158" s="37"/>
      <c r="L158" s="37"/>
      <c r="M158" s="37"/>
      <c r="N158" s="38"/>
      <c r="V158" s="7"/>
    </row>
    <row r="159" spans="2:22" ht="18" customHeight="1">
      <c r="B159" s="195"/>
      <c r="C159" s="195"/>
      <c r="E159" s="7"/>
      <c r="G159" s="40"/>
      <c r="H159" s="11" t="s">
        <v>131</v>
      </c>
      <c r="I159" s="11" t="s">
        <v>132</v>
      </c>
      <c r="J159" s="11" t="s">
        <v>126</v>
      </c>
      <c r="K159" s="11" t="s">
        <v>133</v>
      </c>
      <c r="L159" s="11" t="s">
        <v>640</v>
      </c>
      <c r="M159" s="41" t="s">
        <v>129</v>
      </c>
      <c r="N159" s="42"/>
      <c r="V159" s="7"/>
    </row>
    <row r="160" spans="2:22" ht="18" customHeight="1">
      <c r="B160" s="195"/>
      <c r="C160" s="195"/>
      <c r="E160" s="7"/>
      <c r="G160" s="40"/>
      <c r="H160" s="11" t="s">
        <v>591</v>
      </c>
      <c r="I160" s="11" t="s">
        <v>592</v>
      </c>
      <c r="J160" s="11" t="s">
        <v>593</v>
      </c>
      <c r="K160" s="11" t="s">
        <v>594</v>
      </c>
      <c r="L160" s="11" t="s">
        <v>595</v>
      </c>
      <c r="M160" s="41" t="s">
        <v>6</v>
      </c>
      <c r="N160" s="42"/>
      <c r="V160" s="7"/>
    </row>
    <row r="161" spans="2:22" ht="18" customHeight="1">
      <c r="B161" s="195"/>
      <c r="C161" s="195"/>
      <c r="E161" s="7"/>
      <c r="G161" s="40"/>
      <c r="H161" s="43"/>
      <c r="I161" s="43"/>
      <c r="J161" s="43"/>
      <c r="K161" s="43"/>
      <c r="L161" s="43"/>
      <c r="M161" s="44"/>
      <c r="N161" s="42"/>
      <c r="V161" s="7"/>
    </row>
    <row r="162" spans="2:22" ht="18" customHeight="1">
      <c r="B162" s="195"/>
      <c r="C162" s="195"/>
      <c r="E162" s="7"/>
      <c r="G162" s="40"/>
      <c r="H162" s="45"/>
      <c r="I162" s="45"/>
      <c r="J162" s="45"/>
      <c r="K162" s="45"/>
      <c r="L162" s="45"/>
      <c r="M162" s="46"/>
      <c r="N162" s="42"/>
      <c r="V162" s="7"/>
    </row>
    <row r="163" spans="2:22" ht="18" customHeight="1" thickBot="1">
      <c r="B163" s="195"/>
      <c r="C163" s="195"/>
      <c r="E163" s="7"/>
      <c r="G163" s="47"/>
      <c r="H163" s="48"/>
      <c r="I163" s="48"/>
      <c r="J163" s="48"/>
      <c r="K163" s="48"/>
      <c r="L163" s="48"/>
      <c r="M163" s="48"/>
      <c r="N163" s="49"/>
      <c r="V163" s="7"/>
    </row>
    <row r="164" spans="2:22" ht="18" customHeight="1" thickTop="1">
      <c r="B164" s="195"/>
      <c r="C164" s="195"/>
      <c r="E164" s="7"/>
      <c r="G164" s="5"/>
      <c r="H164" s="5"/>
      <c r="I164" s="5"/>
      <c r="J164" s="5"/>
      <c r="K164" s="5"/>
      <c r="L164" s="5"/>
      <c r="M164" s="5"/>
      <c r="N164" s="5"/>
      <c r="O164" s="5"/>
      <c r="V164" s="7"/>
    </row>
    <row r="165" spans="2:22" ht="18" customHeight="1">
      <c r="B165" s="195"/>
      <c r="C165" s="195"/>
      <c r="E165" s="7"/>
      <c r="V165" s="7"/>
    </row>
    <row r="166" spans="2:22" ht="18" customHeight="1" thickBot="1">
      <c r="B166" s="195"/>
      <c r="C166" s="195"/>
      <c r="E166" s="7"/>
      <c r="F166" s="6" t="s">
        <v>866</v>
      </c>
      <c r="V166" s="7"/>
    </row>
    <row r="167" spans="2:22" ht="31.5" thickTop="1" thickBot="1">
      <c r="B167" s="195"/>
      <c r="C167" s="195"/>
      <c r="E167" s="7"/>
      <c r="G167" s="368" t="s">
        <v>643</v>
      </c>
      <c r="H167" s="368"/>
      <c r="I167" s="368"/>
      <c r="J167" s="368"/>
      <c r="K167" s="368"/>
      <c r="L167" s="369"/>
      <c r="M167" s="9" t="s">
        <v>622</v>
      </c>
      <c r="N167" s="9" t="s">
        <v>623</v>
      </c>
      <c r="O167" s="9" t="s">
        <v>107</v>
      </c>
      <c r="P167" s="10" t="s">
        <v>108</v>
      </c>
      <c r="V167" s="7"/>
    </row>
    <row r="168" spans="2:22" ht="18" customHeight="1" thickTop="1">
      <c r="B168" s="355" t="str">
        <f>HYPERLINK("#LAYOUT_m1!lay중YINT2A01","YINT2A01")</f>
        <v>YINT2A01</v>
      </c>
      <c r="C168" s="355"/>
      <c r="E168" s="7"/>
      <c r="G168" s="372" t="s">
        <v>644</v>
      </c>
      <c r="H168" s="372"/>
      <c r="I168" s="372"/>
      <c r="J168" s="372"/>
      <c r="K168" s="372"/>
      <c r="L168" s="373"/>
      <c r="M168" s="20" t="s">
        <v>591</v>
      </c>
      <c r="N168" s="20" t="s">
        <v>592</v>
      </c>
      <c r="O168" s="20" t="s">
        <v>593</v>
      </c>
      <c r="P168" s="25" t="s">
        <v>594</v>
      </c>
      <c r="V168" s="7"/>
    </row>
    <row r="169" spans="2:22" ht="18" customHeight="1">
      <c r="B169" s="355" t="str">
        <f>HYPERLINK("#LAYOUT_m1!lay중YINT2A02","YINT2A02")</f>
        <v>YINT2A02</v>
      </c>
      <c r="C169" s="355"/>
      <c r="E169" s="7"/>
      <c r="G169" s="362" t="s">
        <v>645</v>
      </c>
      <c r="H169" s="362"/>
      <c r="I169" s="362"/>
      <c r="J169" s="362"/>
      <c r="K169" s="362"/>
      <c r="L169" s="363"/>
      <c r="M169" s="22" t="s">
        <v>591</v>
      </c>
      <c r="N169" s="22" t="s">
        <v>592</v>
      </c>
      <c r="O169" s="22" t="s">
        <v>593</v>
      </c>
      <c r="P169" s="24" t="s">
        <v>594</v>
      </c>
      <c r="V169" s="7"/>
    </row>
    <row r="170" spans="2:22" ht="18" customHeight="1">
      <c r="B170" s="355" t="str">
        <f>HYPERLINK("#LAYOUT_m1!lay중YINT2A03","YINT2A03")</f>
        <v>YINT2A03</v>
      </c>
      <c r="C170" s="355"/>
      <c r="E170" s="7"/>
      <c r="G170" s="362" t="s">
        <v>646</v>
      </c>
      <c r="H170" s="362"/>
      <c r="I170" s="362"/>
      <c r="J170" s="362"/>
      <c r="K170" s="362"/>
      <c r="L170" s="363"/>
      <c r="M170" s="22" t="s">
        <v>591</v>
      </c>
      <c r="N170" s="22" t="s">
        <v>592</v>
      </c>
      <c r="O170" s="22" t="s">
        <v>593</v>
      </c>
      <c r="P170" s="24" t="s">
        <v>594</v>
      </c>
      <c r="V170" s="7"/>
    </row>
    <row r="171" spans="2:22" ht="18" customHeight="1">
      <c r="B171" s="355" t="str">
        <f>HYPERLINK("#LAYOUT_m1!lay중YINT2A04","YINT2A04")</f>
        <v>YINT2A04</v>
      </c>
      <c r="C171" s="355"/>
      <c r="E171" s="7"/>
      <c r="G171" s="362" t="s">
        <v>647</v>
      </c>
      <c r="H171" s="362"/>
      <c r="I171" s="362"/>
      <c r="J171" s="362"/>
      <c r="K171" s="362"/>
      <c r="L171" s="363"/>
      <c r="M171" s="22" t="s">
        <v>591</v>
      </c>
      <c r="N171" s="22" t="s">
        <v>592</v>
      </c>
      <c r="O171" s="22" t="s">
        <v>593</v>
      </c>
      <c r="P171" s="24" t="s">
        <v>594</v>
      </c>
      <c r="V171" s="7"/>
    </row>
    <row r="172" spans="2:22" ht="18" customHeight="1">
      <c r="B172" s="355" t="str">
        <f>HYPERLINK("#LAYOUT_m1!lay중YINT2A05","YINT2A05")</f>
        <v>YINT2A05</v>
      </c>
      <c r="C172" s="355"/>
      <c r="E172" s="7"/>
      <c r="G172" s="362" t="s">
        <v>648</v>
      </c>
      <c r="H172" s="362"/>
      <c r="I172" s="362"/>
      <c r="J172" s="362"/>
      <c r="K172" s="362"/>
      <c r="L172" s="363"/>
      <c r="M172" s="22" t="s">
        <v>591</v>
      </c>
      <c r="N172" s="22" t="s">
        <v>592</v>
      </c>
      <c r="O172" s="22" t="s">
        <v>593</v>
      </c>
      <c r="P172" s="24" t="s">
        <v>594</v>
      </c>
      <c r="V172" s="7"/>
    </row>
    <row r="173" spans="2:22" ht="18" customHeight="1">
      <c r="B173" s="355" t="str">
        <f>HYPERLINK("#LAYOUT_m1!lay중YINT2A06","YINT2A06")</f>
        <v>YINT2A06</v>
      </c>
      <c r="C173" s="355"/>
      <c r="E173" s="7"/>
      <c r="G173" s="362" t="s">
        <v>649</v>
      </c>
      <c r="H173" s="362"/>
      <c r="I173" s="362"/>
      <c r="J173" s="362"/>
      <c r="K173" s="362"/>
      <c r="L173" s="363"/>
      <c r="M173" s="22" t="s">
        <v>591</v>
      </c>
      <c r="N173" s="22" t="s">
        <v>592</v>
      </c>
      <c r="O173" s="22" t="s">
        <v>593</v>
      </c>
      <c r="P173" s="24" t="s">
        <v>594</v>
      </c>
      <c r="V173" s="7"/>
    </row>
    <row r="174" spans="2:22" ht="18" customHeight="1">
      <c r="B174" s="355" t="str">
        <f>HYPERLINK("#LAYOUT_m1!lay중YINT2A07","YINT2A07")</f>
        <v>YINT2A07</v>
      </c>
      <c r="C174" s="355"/>
      <c r="E174" s="7"/>
      <c r="G174" s="362" t="s">
        <v>650</v>
      </c>
      <c r="H174" s="362"/>
      <c r="I174" s="362"/>
      <c r="J174" s="362"/>
      <c r="K174" s="362"/>
      <c r="L174" s="363"/>
      <c r="M174" s="22" t="s">
        <v>591</v>
      </c>
      <c r="N174" s="22" t="s">
        <v>592</v>
      </c>
      <c r="O174" s="22" t="s">
        <v>593</v>
      </c>
      <c r="P174" s="24" t="s">
        <v>594</v>
      </c>
      <c r="V174" s="7"/>
    </row>
    <row r="175" spans="2:22" ht="18" customHeight="1">
      <c r="B175" s="355" t="str">
        <f>HYPERLINK("#LAYOUT_m1!lay중YINT2A08","YINT2A08")</f>
        <v>YINT2A08</v>
      </c>
      <c r="C175" s="355"/>
      <c r="E175" s="7"/>
      <c r="G175" s="362" t="s">
        <v>651</v>
      </c>
      <c r="H175" s="362"/>
      <c r="I175" s="362"/>
      <c r="J175" s="362"/>
      <c r="K175" s="362"/>
      <c r="L175" s="363"/>
      <c r="M175" s="22" t="s">
        <v>591</v>
      </c>
      <c r="N175" s="22" t="s">
        <v>592</v>
      </c>
      <c r="O175" s="22" t="s">
        <v>593</v>
      </c>
      <c r="P175" s="24" t="s">
        <v>594</v>
      </c>
      <c r="V175" s="7"/>
    </row>
    <row r="176" spans="2:22" ht="18" customHeight="1">
      <c r="B176" s="355" t="str">
        <f>HYPERLINK("#LAYOUT_m1!lay중YINT2A09","YINT2A09")</f>
        <v>YINT2A09</v>
      </c>
      <c r="C176" s="355"/>
      <c r="E176" s="7"/>
      <c r="G176" s="362" t="s">
        <v>652</v>
      </c>
      <c r="H176" s="362"/>
      <c r="I176" s="362"/>
      <c r="J176" s="362"/>
      <c r="K176" s="362"/>
      <c r="L176" s="363"/>
      <c r="M176" s="22" t="s">
        <v>591</v>
      </c>
      <c r="N176" s="22" t="s">
        <v>592</v>
      </c>
      <c r="O176" s="22" t="s">
        <v>593</v>
      </c>
      <c r="P176" s="24" t="s">
        <v>594</v>
      </c>
      <c r="V176" s="7"/>
    </row>
    <row r="177" spans="2:22" ht="18" customHeight="1">
      <c r="B177" s="355" t="str">
        <f>HYPERLINK("#LAYOUT_m1!lay중YINT2A10","YINT2A10")</f>
        <v>YINT2A10</v>
      </c>
      <c r="C177" s="355"/>
      <c r="E177" s="7"/>
      <c r="G177" s="362" t="s">
        <v>653</v>
      </c>
      <c r="H177" s="362"/>
      <c r="I177" s="362"/>
      <c r="J177" s="362"/>
      <c r="K177" s="362"/>
      <c r="L177" s="363"/>
      <c r="M177" s="22" t="s">
        <v>591</v>
      </c>
      <c r="N177" s="22" t="s">
        <v>592</v>
      </c>
      <c r="O177" s="22" t="s">
        <v>593</v>
      </c>
      <c r="P177" s="24" t="s">
        <v>594</v>
      </c>
      <c r="V177" s="7"/>
    </row>
    <row r="178" spans="2:22" ht="18" customHeight="1">
      <c r="B178" s="355" t="str">
        <f>HYPERLINK("#LAYOUT_m1!lay중YINT2A11","YINT2A11")</f>
        <v>YINT2A11</v>
      </c>
      <c r="C178" s="355"/>
      <c r="E178" s="7"/>
      <c r="G178" s="362" t="s">
        <v>654</v>
      </c>
      <c r="H178" s="362"/>
      <c r="I178" s="362"/>
      <c r="J178" s="362"/>
      <c r="K178" s="362"/>
      <c r="L178" s="363"/>
      <c r="M178" s="22" t="s">
        <v>591</v>
      </c>
      <c r="N178" s="22" t="s">
        <v>592</v>
      </c>
      <c r="O178" s="22" t="s">
        <v>593</v>
      </c>
      <c r="P178" s="24" t="s">
        <v>594</v>
      </c>
      <c r="V178" s="7"/>
    </row>
    <row r="179" spans="2:22" ht="18" customHeight="1">
      <c r="B179" s="355" t="str">
        <f>HYPERLINK("#LAYOUT_m1!lay중YINT2A12","YINT2A12")</f>
        <v>YINT2A12</v>
      </c>
      <c r="C179" s="355"/>
      <c r="E179" s="7"/>
      <c r="G179" s="362" t="s">
        <v>655</v>
      </c>
      <c r="H179" s="362"/>
      <c r="I179" s="362"/>
      <c r="J179" s="362"/>
      <c r="K179" s="362"/>
      <c r="L179" s="363"/>
      <c r="M179" s="22" t="s">
        <v>591</v>
      </c>
      <c r="N179" s="22" t="s">
        <v>592</v>
      </c>
      <c r="O179" s="22" t="s">
        <v>593</v>
      </c>
      <c r="P179" s="24" t="s">
        <v>594</v>
      </c>
      <c r="V179" s="7"/>
    </row>
    <row r="180" spans="2:22" ht="18" customHeight="1">
      <c r="B180" s="355" t="str">
        <f>HYPERLINK("#LAYOUT_m1!lay중YINT2A13","YINT2A13")</f>
        <v>YINT2A13</v>
      </c>
      <c r="C180" s="355"/>
      <c r="E180" s="7"/>
      <c r="G180" s="362" t="s">
        <v>656</v>
      </c>
      <c r="H180" s="362"/>
      <c r="I180" s="362"/>
      <c r="J180" s="362"/>
      <c r="K180" s="362"/>
      <c r="L180" s="363"/>
      <c r="M180" s="22" t="s">
        <v>591</v>
      </c>
      <c r="N180" s="22" t="s">
        <v>592</v>
      </c>
      <c r="O180" s="22" t="s">
        <v>593</v>
      </c>
      <c r="P180" s="24" t="s">
        <v>594</v>
      </c>
      <c r="V180" s="7"/>
    </row>
    <row r="181" spans="2:22" ht="18" customHeight="1">
      <c r="B181" s="355" t="str">
        <f>HYPERLINK("#LAYOUT_m1!lay중YINT2A14","YINT2A14")</f>
        <v>YINT2A14</v>
      </c>
      <c r="C181" s="355"/>
      <c r="E181" s="7"/>
      <c r="G181" s="362" t="s">
        <v>657</v>
      </c>
      <c r="H181" s="362"/>
      <c r="I181" s="362"/>
      <c r="J181" s="362"/>
      <c r="K181" s="362"/>
      <c r="L181" s="363"/>
      <c r="M181" s="22" t="s">
        <v>591</v>
      </c>
      <c r="N181" s="22" t="s">
        <v>592</v>
      </c>
      <c r="O181" s="22" t="s">
        <v>593</v>
      </c>
      <c r="P181" s="24" t="s">
        <v>594</v>
      </c>
      <c r="V181" s="7"/>
    </row>
    <row r="182" spans="2:22" ht="18" customHeight="1">
      <c r="B182" s="355" t="str">
        <f>HYPERLINK("#LAYOUT_m1!lay중YINT2A15","YINT2A15")</f>
        <v>YINT2A15</v>
      </c>
      <c r="C182" s="355"/>
      <c r="E182" s="7"/>
      <c r="G182" s="362" t="s">
        <v>658</v>
      </c>
      <c r="H182" s="362"/>
      <c r="I182" s="362"/>
      <c r="J182" s="362"/>
      <c r="K182" s="362"/>
      <c r="L182" s="363"/>
      <c r="M182" s="22" t="s">
        <v>591</v>
      </c>
      <c r="N182" s="22" t="s">
        <v>592</v>
      </c>
      <c r="O182" s="22" t="s">
        <v>593</v>
      </c>
      <c r="P182" s="24" t="s">
        <v>594</v>
      </c>
      <c r="V182" s="7"/>
    </row>
    <row r="183" spans="2:22" ht="18" customHeight="1">
      <c r="B183" s="355" t="str">
        <f>HYPERLINK("#LAYOUT_m1!lay중YINT2A16","YINT2A16")</f>
        <v>YINT2A16</v>
      </c>
      <c r="C183" s="355"/>
      <c r="E183" s="7"/>
      <c r="G183" s="362" t="s">
        <v>659</v>
      </c>
      <c r="H183" s="362"/>
      <c r="I183" s="362"/>
      <c r="J183" s="362"/>
      <c r="K183" s="362"/>
      <c r="L183" s="363"/>
      <c r="M183" s="22" t="s">
        <v>591</v>
      </c>
      <c r="N183" s="22" t="s">
        <v>592</v>
      </c>
      <c r="O183" s="22" t="s">
        <v>593</v>
      </c>
      <c r="P183" s="24" t="s">
        <v>594</v>
      </c>
      <c r="V183" s="7"/>
    </row>
    <row r="184" spans="2:22" ht="18" customHeight="1">
      <c r="B184" s="195"/>
      <c r="C184" s="195"/>
      <c r="E184" s="7"/>
      <c r="G184" s="28"/>
      <c r="H184" s="28"/>
      <c r="I184" s="28"/>
      <c r="J184" s="28"/>
      <c r="K184" s="28"/>
      <c r="L184" s="28"/>
      <c r="M184" s="11"/>
      <c r="N184" s="11"/>
      <c r="O184" s="11"/>
      <c r="P184" s="11"/>
      <c r="V184" s="7"/>
    </row>
    <row r="185" spans="2:22" ht="18" customHeight="1">
      <c r="B185" s="195"/>
      <c r="C185" s="195"/>
      <c r="E185" s="7"/>
      <c r="G185" s="28"/>
      <c r="H185" s="28"/>
      <c r="I185" s="28"/>
      <c r="J185" s="28"/>
      <c r="K185" s="28"/>
      <c r="L185" s="28"/>
      <c r="M185" s="11"/>
      <c r="N185" s="11"/>
      <c r="O185" s="11"/>
      <c r="P185" s="11"/>
      <c r="V185" s="7"/>
    </row>
    <row r="186" spans="2:22" ht="18" customHeight="1" thickBot="1">
      <c r="B186" s="195"/>
      <c r="C186" s="195"/>
      <c r="E186" s="7"/>
      <c r="F186" s="6" t="s">
        <v>683</v>
      </c>
      <c r="G186" s="28"/>
      <c r="H186" s="28"/>
      <c r="I186" s="28"/>
      <c r="J186" s="28"/>
      <c r="K186" s="28"/>
      <c r="L186" s="28"/>
      <c r="M186" s="11"/>
      <c r="N186" s="11"/>
      <c r="O186" s="11"/>
      <c r="P186" s="11"/>
      <c r="V186" s="7"/>
    </row>
    <row r="187" spans="2:22" ht="31.5" thickTop="1" thickBot="1">
      <c r="B187" s="195"/>
      <c r="C187" s="195"/>
      <c r="E187" s="7"/>
      <c r="G187" s="368" t="s">
        <v>643</v>
      </c>
      <c r="H187" s="368"/>
      <c r="I187" s="368"/>
      <c r="J187" s="368"/>
      <c r="K187" s="368"/>
      <c r="L187" s="369"/>
      <c r="M187" s="9" t="s">
        <v>622</v>
      </c>
      <c r="N187" s="9" t="s">
        <v>623</v>
      </c>
      <c r="O187" s="9" t="s">
        <v>107</v>
      </c>
      <c r="P187" s="10" t="s">
        <v>108</v>
      </c>
      <c r="V187" s="7"/>
    </row>
    <row r="188" spans="2:22" ht="18" customHeight="1" thickTop="1">
      <c r="B188" s="355" t="str">
        <f>HYPERLINK("#LAYOUT_m1!lay중YINT2B01","YINT2B01")</f>
        <v>YINT2B01</v>
      </c>
      <c r="C188" s="355"/>
      <c r="E188" s="7"/>
      <c r="G188" s="362" t="s">
        <v>867</v>
      </c>
      <c r="H188" s="362"/>
      <c r="I188" s="362"/>
      <c r="J188" s="362"/>
      <c r="K188" s="362"/>
      <c r="L188" s="363"/>
      <c r="M188" s="20" t="s">
        <v>591</v>
      </c>
      <c r="N188" s="20" t="s">
        <v>592</v>
      </c>
      <c r="O188" s="20" t="s">
        <v>593</v>
      </c>
      <c r="P188" s="25" t="s">
        <v>594</v>
      </c>
      <c r="V188" s="7"/>
    </row>
    <row r="189" spans="2:22" ht="18" customHeight="1">
      <c r="B189" s="355" t="str">
        <f>HYPERLINK("#LAYOUT_m1!lay중YINT2B02","YINT2B02")</f>
        <v>YINT2B02</v>
      </c>
      <c r="C189" s="355"/>
      <c r="E189" s="7"/>
      <c r="G189" s="362" t="s">
        <v>868</v>
      </c>
      <c r="H189" s="362"/>
      <c r="I189" s="362"/>
      <c r="J189" s="362"/>
      <c r="K189" s="362"/>
      <c r="L189" s="363"/>
      <c r="M189" s="22" t="s">
        <v>591</v>
      </c>
      <c r="N189" s="22" t="s">
        <v>592</v>
      </c>
      <c r="O189" s="22" t="s">
        <v>593</v>
      </c>
      <c r="P189" s="24" t="s">
        <v>594</v>
      </c>
      <c r="V189" s="7"/>
    </row>
    <row r="190" spans="2:22" ht="18" customHeight="1">
      <c r="B190" s="355" t="str">
        <f>HYPERLINK("#LAYOUT_m1!lay중YINT2B03","YINT2B03")</f>
        <v>YINT2B03</v>
      </c>
      <c r="C190" s="355"/>
      <c r="E190" s="7"/>
      <c r="G190" s="362" t="s">
        <v>869</v>
      </c>
      <c r="H190" s="362"/>
      <c r="I190" s="362"/>
      <c r="J190" s="362"/>
      <c r="K190" s="362"/>
      <c r="L190" s="363"/>
      <c r="M190" s="22" t="s">
        <v>591</v>
      </c>
      <c r="N190" s="22" t="s">
        <v>592</v>
      </c>
      <c r="O190" s="22" t="s">
        <v>593</v>
      </c>
      <c r="P190" s="24" t="s">
        <v>594</v>
      </c>
      <c r="V190" s="7"/>
    </row>
    <row r="191" spans="2:22" ht="18" customHeight="1">
      <c r="B191" s="355" t="str">
        <f>HYPERLINK("#LAYOUT_m1!lay중YINT2B04","YINT2B04")</f>
        <v>YINT2B04</v>
      </c>
      <c r="C191" s="355"/>
      <c r="E191" s="7"/>
      <c r="G191" s="362" t="s">
        <v>870</v>
      </c>
      <c r="H191" s="362"/>
      <c r="I191" s="362"/>
      <c r="J191" s="362"/>
      <c r="K191" s="362"/>
      <c r="L191" s="363"/>
      <c r="M191" s="22" t="s">
        <v>591</v>
      </c>
      <c r="N191" s="22" t="s">
        <v>592</v>
      </c>
      <c r="O191" s="22" t="s">
        <v>593</v>
      </c>
      <c r="P191" s="24" t="s">
        <v>594</v>
      </c>
      <c r="V191" s="7"/>
    </row>
    <row r="192" spans="2:22" ht="18" customHeight="1">
      <c r="B192" s="355" t="str">
        <f>HYPERLINK("#LAYOUT_m1!lay중YINT2B05","YINT2B05")</f>
        <v>YINT2B05</v>
      </c>
      <c r="C192" s="355"/>
      <c r="E192" s="7"/>
      <c r="G192" s="362" t="s">
        <v>871</v>
      </c>
      <c r="H192" s="362"/>
      <c r="I192" s="362"/>
      <c r="J192" s="362"/>
      <c r="K192" s="362"/>
      <c r="L192" s="363"/>
      <c r="M192" s="22" t="s">
        <v>591</v>
      </c>
      <c r="N192" s="22" t="s">
        <v>592</v>
      </c>
      <c r="O192" s="22" t="s">
        <v>593</v>
      </c>
      <c r="P192" s="24" t="s">
        <v>594</v>
      </c>
      <c r="V192" s="7"/>
    </row>
    <row r="193" spans="2:22" ht="18" customHeight="1">
      <c r="B193" s="355" t="str">
        <f>HYPERLINK("#LAYOUT_m1!lay중YINT2B06","YINT2B06")</f>
        <v>YINT2B06</v>
      </c>
      <c r="C193" s="355"/>
      <c r="E193" s="7"/>
      <c r="G193" s="362" t="s">
        <v>872</v>
      </c>
      <c r="H193" s="362"/>
      <c r="I193" s="362"/>
      <c r="J193" s="362"/>
      <c r="K193" s="362"/>
      <c r="L193" s="363"/>
      <c r="M193" s="22" t="s">
        <v>591</v>
      </c>
      <c r="N193" s="22" t="s">
        <v>592</v>
      </c>
      <c r="O193" s="22" t="s">
        <v>593</v>
      </c>
      <c r="P193" s="24" t="s">
        <v>594</v>
      </c>
      <c r="V193" s="7"/>
    </row>
    <row r="194" spans="2:22" ht="18" customHeight="1">
      <c r="B194" s="355" t="str">
        <f>HYPERLINK("#LAYOUT_m1!lay중YINT2B07","YINT2B07")</f>
        <v>YINT2B07</v>
      </c>
      <c r="C194" s="355"/>
      <c r="E194" s="7"/>
      <c r="G194" s="362" t="s">
        <v>873</v>
      </c>
      <c r="H194" s="362"/>
      <c r="I194" s="362"/>
      <c r="J194" s="362"/>
      <c r="K194" s="362"/>
      <c r="L194" s="363"/>
      <c r="M194" s="22" t="s">
        <v>591</v>
      </c>
      <c r="N194" s="22" t="s">
        <v>592</v>
      </c>
      <c r="O194" s="22" t="s">
        <v>593</v>
      </c>
      <c r="P194" s="24" t="s">
        <v>594</v>
      </c>
      <c r="V194" s="7"/>
    </row>
    <row r="195" spans="2:22" ht="18" customHeight="1">
      <c r="B195" s="355" t="str">
        <f>HYPERLINK("#LAYOUT_m1!lay중YINT2B08","YINT2B08")</f>
        <v>YINT2B08</v>
      </c>
      <c r="C195" s="355"/>
      <c r="E195" s="7"/>
      <c r="G195" s="362" t="s">
        <v>874</v>
      </c>
      <c r="H195" s="362"/>
      <c r="I195" s="362"/>
      <c r="J195" s="362"/>
      <c r="K195" s="362"/>
      <c r="L195" s="363"/>
      <c r="M195" s="22" t="s">
        <v>591</v>
      </c>
      <c r="N195" s="22" t="s">
        <v>592</v>
      </c>
      <c r="O195" s="22" t="s">
        <v>593</v>
      </c>
      <c r="P195" s="24" t="s">
        <v>594</v>
      </c>
      <c r="V195" s="7"/>
    </row>
    <row r="196" spans="2:22" ht="18" customHeight="1">
      <c r="B196" s="355" t="str">
        <f>HYPERLINK("#LAYOUT_m1!lay중YINT2B09","YINT2B09")</f>
        <v>YINT2B09</v>
      </c>
      <c r="C196" s="355"/>
      <c r="E196" s="7"/>
      <c r="G196" s="362" t="s">
        <v>875</v>
      </c>
      <c r="H196" s="362"/>
      <c r="I196" s="362"/>
      <c r="J196" s="362"/>
      <c r="K196" s="362"/>
      <c r="L196" s="363"/>
      <c r="M196" s="22" t="s">
        <v>591</v>
      </c>
      <c r="N196" s="22" t="s">
        <v>592</v>
      </c>
      <c r="O196" s="22" t="s">
        <v>593</v>
      </c>
      <c r="P196" s="24" t="s">
        <v>594</v>
      </c>
      <c r="V196" s="7"/>
    </row>
    <row r="197" spans="2:22" ht="18" customHeight="1">
      <c r="B197" s="355" t="str">
        <f>HYPERLINK("#LAYOUT_m1!lay중YINT2B10","YINT2B10")</f>
        <v>YINT2B10</v>
      </c>
      <c r="C197" s="355"/>
      <c r="E197" s="7"/>
      <c r="G197" s="362" t="s">
        <v>876</v>
      </c>
      <c r="H197" s="362"/>
      <c r="I197" s="362"/>
      <c r="J197" s="362"/>
      <c r="K197" s="362"/>
      <c r="L197" s="363"/>
      <c r="M197" s="22" t="s">
        <v>591</v>
      </c>
      <c r="N197" s="22" t="s">
        <v>592</v>
      </c>
      <c r="O197" s="22" t="s">
        <v>593</v>
      </c>
      <c r="P197" s="24" t="s">
        <v>594</v>
      </c>
      <c r="V197" s="7"/>
    </row>
    <row r="198" spans="2:22" ht="18" customHeight="1">
      <c r="B198" s="355" t="str">
        <f>HYPERLINK("#LAYOUT_m1!lay중YINT2B11","YINT2B11")</f>
        <v>YINT2B11</v>
      </c>
      <c r="C198" s="355"/>
      <c r="E198" s="7"/>
      <c r="G198" s="362" t="s">
        <v>877</v>
      </c>
      <c r="H198" s="362"/>
      <c r="I198" s="362"/>
      <c r="J198" s="362"/>
      <c r="K198" s="362"/>
      <c r="L198" s="363"/>
      <c r="M198" s="22" t="s">
        <v>591</v>
      </c>
      <c r="N198" s="22" t="s">
        <v>592</v>
      </c>
      <c r="O198" s="22" t="s">
        <v>593</v>
      </c>
      <c r="P198" s="24" t="s">
        <v>594</v>
      </c>
      <c r="V198" s="7"/>
    </row>
    <row r="199" spans="2:22" ht="18" customHeight="1">
      <c r="B199" s="355" t="str">
        <f>HYPERLINK("#LAYOUT_m1!lay중YINT2B12","YINT2B12")</f>
        <v>YINT2B12</v>
      </c>
      <c r="C199" s="355"/>
      <c r="E199" s="7"/>
      <c r="G199" s="362" t="s">
        <v>878</v>
      </c>
      <c r="H199" s="362"/>
      <c r="I199" s="362"/>
      <c r="J199" s="362"/>
      <c r="K199" s="362"/>
      <c r="L199" s="363"/>
      <c r="M199" s="22" t="s">
        <v>591</v>
      </c>
      <c r="N199" s="22" t="s">
        <v>592</v>
      </c>
      <c r="O199" s="22" t="s">
        <v>593</v>
      </c>
      <c r="P199" s="24" t="s">
        <v>594</v>
      </c>
      <c r="V199" s="7"/>
    </row>
    <row r="200" spans="2:22" ht="18" customHeight="1">
      <c r="B200" s="355" t="str">
        <f>HYPERLINK("#LAYOUT_m1!lay중YINT2B13","YINT2B13")</f>
        <v>YINT2B13</v>
      </c>
      <c r="C200" s="355"/>
      <c r="E200" s="7"/>
      <c r="G200" s="362" t="s">
        <v>879</v>
      </c>
      <c r="H200" s="362"/>
      <c r="I200" s="362"/>
      <c r="J200" s="362"/>
      <c r="K200" s="362"/>
      <c r="L200" s="363"/>
      <c r="M200" s="22" t="s">
        <v>591</v>
      </c>
      <c r="N200" s="22" t="s">
        <v>592</v>
      </c>
      <c r="O200" s="22" t="s">
        <v>593</v>
      </c>
      <c r="P200" s="24" t="s">
        <v>594</v>
      </c>
      <c r="V200" s="7"/>
    </row>
    <row r="201" spans="2:22" ht="18" customHeight="1">
      <c r="B201" s="355" t="str">
        <f>HYPERLINK("#LAYOUT_m1!lay중YINT2B14","YINT2B14")</f>
        <v>YINT2B14</v>
      </c>
      <c r="C201" s="355"/>
      <c r="E201" s="7"/>
      <c r="G201" s="362" t="s">
        <v>880</v>
      </c>
      <c r="H201" s="362"/>
      <c r="I201" s="362"/>
      <c r="J201" s="362"/>
      <c r="K201" s="362"/>
      <c r="L201" s="363"/>
      <c r="M201" s="22" t="s">
        <v>591</v>
      </c>
      <c r="N201" s="22" t="s">
        <v>592</v>
      </c>
      <c r="O201" s="22" t="s">
        <v>593</v>
      </c>
      <c r="P201" s="24" t="s">
        <v>594</v>
      </c>
      <c r="V201" s="7"/>
    </row>
    <row r="202" spans="2:22" ht="18" customHeight="1">
      <c r="B202" s="355" t="str">
        <f>HYPERLINK("#LAYOUT_m1!lay중YINT2B15","YINT2B15")</f>
        <v>YINT2B15</v>
      </c>
      <c r="C202" s="355"/>
      <c r="E202" s="7"/>
      <c r="G202" s="362" t="s">
        <v>881</v>
      </c>
      <c r="H202" s="362"/>
      <c r="I202" s="362"/>
      <c r="J202" s="362"/>
      <c r="K202" s="362"/>
      <c r="L202" s="363"/>
      <c r="M202" s="22" t="s">
        <v>591</v>
      </c>
      <c r="N202" s="22" t="s">
        <v>592</v>
      </c>
      <c r="O202" s="22" t="s">
        <v>593</v>
      </c>
      <c r="P202" s="24" t="s">
        <v>594</v>
      </c>
      <c r="V202" s="7"/>
    </row>
    <row r="203" spans="2:22" ht="18" customHeight="1">
      <c r="B203" s="355" t="str">
        <f>HYPERLINK("#LAYOUT_m1!lay중YINT2B16","YINT2B16")</f>
        <v>YINT2B16</v>
      </c>
      <c r="C203" s="355"/>
      <c r="E203" s="7"/>
      <c r="G203" s="362" t="s">
        <v>882</v>
      </c>
      <c r="H203" s="362"/>
      <c r="I203" s="362"/>
      <c r="J203" s="362"/>
      <c r="K203" s="362"/>
      <c r="L203" s="363"/>
      <c r="M203" s="22" t="s">
        <v>591</v>
      </c>
      <c r="N203" s="22" t="s">
        <v>592</v>
      </c>
      <c r="O203" s="22" t="s">
        <v>593</v>
      </c>
      <c r="P203" s="24" t="s">
        <v>594</v>
      </c>
      <c r="V203" s="7"/>
    </row>
    <row r="204" spans="2:22" ht="18" customHeight="1">
      <c r="B204" s="195"/>
      <c r="C204" s="195"/>
      <c r="E204" s="7"/>
      <c r="G204" s="28"/>
      <c r="H204" s="28"/>
      <c r="I204" s="28"/>
      <c r="J204" s="28"/>
      <c r="K204" s="28"/>
      <c r="L204" s="28"/>
      <c r="M204" s="11"/>
      <c r="N204" s="11"/>
      <c r="O204" s="11"/>
      <c r="P204" s="11"/>
      <c r="V204" s="7"/>
    </row>
    <row r="205" spans="2:22" ht="18" customHeight="1">
      <c r="B205" s="195"/>
      <c r="C205" s="195"/>
      <c r="E205" s="7"/>
      <c r="G205" s="28"/>
      <c r="H205" s="28"/>
      <c r="I205" s="28"/>
      <c r="J205" s="28"/>
      <c r="K205" s="28"/>
      <c r="L205" s="28"/>
      <c r="M205" s="11"/>
      <c r="N205" s="11"/>
      <c r="O205" s="11"/>
      <c r="P205" s="11"/>
      <c r="V205" s="7"/>
    </row>
    <row r="206" spans="2:22" ht="18" customHeight="1">
      <c r="B206" s="355" t="str">
        <f>HYPERLINK("#LAYOUT_m1!lay중YFUR1A00","YFUR1A00")</f>
        <v>YFUR1A00</v>
      </c>
      <c r="C206" s="355"/>
      <c r="E206" s="7"/>
      <c r="F206" s="6" t="s">
        <v>883</v>
      </c>
      <c r="G206" s="28"/>
      <c r="H206" s="28"/>
      <c r="I206" s="28"/>
      <c r="J206" s="28"/>
      <c r="K206" s="28"/>
      <c r="L206" s="28"/>
      <c r="M206" s="11"/>
      <c r="N206" s="11"/>
      <c r="O206" s="11"/>
      <c r="P206" s="11"/>
      <c r="V206" s="7"/>
    </row>
    <row r="207" spans="2:22" ht="18" customHeight="1">
      <c r="B207" s="195"/>
      <c r="C207" s="195"/>
      <c r="E207" s="7"/>
      <c r="G207" s="370" t="s">
        <v>884</v>
      </c>
      <c r="H207" s="370"/>
      <c r="I207" s="370" t="s">
        <v>885</v>
      </c>
      <c r="J207" s="370"/>
      <c r="K207" s="28"/>
      <c r="L207" s="28"/>
      <c r="M207" s="11"/>
      <c r="N207" s="11"/>
      <c r="O207" s="11"/>
      <c r="P207" s="11"/>
      <c r="V207" s="7"/>
    </row>
    <row r="208" spans="2:22" ht="18" customHeight="1">
      <c r="B208" s="195"/>
      <c r="C208" s="195"/>
      <c r="E208" s="7"/>
      <c r="G208" s="370" t="s">
        <v>886</v>
      </c>
      <c r="H208" s="370"/>
      <c r="I208" s="370" t="s">
        <v>887</v>
      </c>
      <c r="J208" s="370"/>
      <c r="K208" s="28"/>
      <c r="L208" s="28"/>
      <c r="M208" s="11"/>
      <c r="N208" s="11"/>
      <c r="O208" s="11"/>
      <c r="P208" s="11"/>
      <c r="V208" s="7"/>
    </row>
    <row r="209" spans="2:22" ht="18" customHeight="1">
      <c r="B209" s="195"/>
      <c r="C209" s="195"/>
      <c r="E209" s="7"/>
      <c r="G209" s="370" t="s">
        <v>888</v>
      </c>
      <c r="H209" s="370"/>
      <c r="I209" s="28"/>
      <c r="J209" s="28"/>
      <c r="K209" s="28"/>
      <c r="L209" s="28"/>
      <c r="M209" s="11"/>
      <c r="N209" s="11"/>
      <c r="O209" s="11"/>
      <c r="P209" s="11"/>
      <c r="V209" s="7"/>
    </row>
    <row r="210" spans="2:22" ht="18" customHeight="1">
      <c r="B210" s="195"/>
      <c r="C210" s="195"/>
      <c r="E210" s="7"/>
      <c r="G210" s="28"/>
      <c r="H210" s="28"/>
      <c r="I210" s="28"/>
      <c r="J210" s="28"/>
      <c r="K210" s="28"/>
      <c r="L210" s="28"/>
      <c r="M210" s="11"/>
      <c r="N210" s="11"/>
      <c r="O210" s="11"/>
      <c r="P210" s="11"/>
      <c r="V210" s="7"/>
    </row>
    <row r="211" spans="2:22" ht="18" customHeight="1">
      <c r="B211" s="195"/>
      <c r="C211" s="195"/>
      <c r="E211" s="7"/>
      <c r="G211" s="28"/>
      <c r="H211" s="28"/>
      <c r="I211" s="28"/>
      <c r="J211" s="28"/>
      <c r="K211" s="28"/>
      <c r="L211" s="28"/>
      <c r="M211" s="11"/>
      <c r="N211" s="11"/>
      <c r="O211" s="11"/>
      <c r="P211" s="11"/>
      <c r="V211" s="7"/>
    </row>
    <row r="212" spans="2:22" ht="18" customHeight="1">
      <c r="B212" s="355" t="str">
        <f>HYPERLINK("#LAYOUT_m1!lay중YFUR1B00","YFUR1B00")</f>
        <v>YFUR1B00</v>
      </c>
      <c r="C212" s="355"/>
      <c r="E212" s="7"/>
      <c r="F212" s="6" t="s">
        <v>889</v>
      </c>
      <c r="G212" s="28"/>
      <c r="H212" s="28"/>
      <c r="I212" s="28"/>
      <c r="J212" s="28"/>
      <c r="K212" s="28"/>
      <c r="L212" s="28"/>
      <c r="M212" s="11"/>
      <c r="N212" s="11"/>
      <c r="O212" s="11"/>
      <c r="P212" s="11"/>
      <c r="V212" s="7"/>
    </row>
    <row r="213" spans="2:22" ht="18" customHeight="1">
      <c r="B213" s="195"/>
      <c r="C213" s="195"/>
      <c r="E213" s="7"/>
      <c r="G213" s="370" t="s">
        <v>890</v>
      </c>
      <c r="H213" s="370"/>
      <c r="I213" s="370"/>
      <c r="J213" s="28"/>
      <c r="K213" s="28"/>
      <c r="L213" s="28"/>
      <c r="M213" s="11"/>
      <c r="N213" s="11"/>
      <c r="O213" s="11"/>
      <c r="P213" s="11"/>
      <c r="V213" s="7"/>
    </row>
    <row r="214" spans="2:22" ht="18" customHeight="1">
      <c r="B214" s="195"/>
      <c r="C214" s="195"/>
      <c r="E214" s="7"/>
      <c r="G214" s="370" t="s">
        <v>891</v>
      </c>
      <c r="H214" s="370"/>
      <c r="I214" s="370"/>
      <c r="J214" s="28"/>
      <c r="K214" s="28"/>
      <c r="L214" s="28"/>
      <c r="M214" s="11"/>
      <c r="N214" s="11"/>
      <c r="O214" s="11"/>
      <c r="P214" s="11"/>
      <c r="V214" s="7"/>
    </row>
    <row r="215" spans="2:22" ht="18" customHeight="1">
      <c r="B215" s="195"/>
      <c r="C215" s="195"/>
      <c r="E215" s="7"/>
      <c r="G215" s="370" t="s">
        <v>892</v>
      </c>
      <c r="H215" s="370"/>
      <c r="I215" s="370"/>
      <c r="J215" s="28"/>
      <c r="K215" s="28"/>
      <c r="L215" s="28"/>
      <c r="M215" s="11"/>
      <c r="N215" s="11"/>
      <c r="O215" s="11"/>
      <c r="P215" s="11"/>
      <c r="V215" s="7"/>
    </row>
    <row r="216" spans="2:22" ht="18" customHeight="1">
      <c r="B216" s="195"/>
      <c r="C216" s="195"/>
      <c r="E216" s="7"/>
      <c r="G216" s="28"/>
      <c r="H216" s="28"/>
      <c r="I216" s="28"/>
      <c r="J216" s="28"/>
      <c r="K216" s="28"/>
      <c r="L216" s="28"/>
      <c r="M216" s="11"/>
      <c r="N216" s="11"/>
      <c r="O216" s="11"/>
      <c r="P216" s="11"/>
      <c r="V216" s="7"/>
    </row>
    <row r="217" spans="2:22" ht="18" customHeight="1">
      <c r="B217" s="195"/>
      <c r="C217" s="195"/>
      <c r="E217" s="7"/>
      <c r="G217" s="28"/>
      <c r="H217" s="28"/>
      <c r="I217" s="28"/>
      <c r="J217" s="28"/>
      <c r="K217" s="28"/>
      <c r="L217" s="28"/>
      <c r="M217" s="11"/>
      <c r="N217" s="11"/>
      <c r="O217" s="11"/>
      <c r="P217" s="11"/>
      <c r="V217" s="7"/>
    </row>
    <row r="218" spans="2:22" ht="18" customHeight="1" thickBot="1">
      <c r="B218" s="195"/>
      <c r="C218" s="195"/>
      <c r="E218" s="7"/>
      <c r="F218" s="6" t="s">
        <v>893</v>
      </c>
      <c r="V218" s="7"/>
    </row>
    <row r="219" spans="2:22" ht="31.5" thickTop="1" thickBot="1">
      <c r="B219" s="195"/>
      <c r="C219" s="195"/>
      <c r="E219" s="7"/>
      <c r="G219" s="397" t="s">
        <v>643</v>
      </c>
      <c r="H219" s="397"/>
      <c r="I219" s="397"/>
      <c r="J219" s="397"/>
      <c r="K219" s="397"/>
      <c r="L219" s="398"/>
      <c r="M219" s="50" t="s">
        <v>155</v>
      </c>
      <c r="N219" s="50" t="s">
        <v>156</v>
      </c>
      <c r="O219" s="50" t="s">
        <v>157</v>
      </c>
      <c r="P219" s="50" t="s">
        <v>158</v>
      </c>
      <c r="Q219" s="51" t="s">
        <v>90</v>
      </c>
      <c r="V219" s="7"/>
    </row>
    <row r="220" spans="2:22" ht="18" customHeight="1" thickTop="1">
      <c r="B220" s="355" t="str">
        <f>HYPERLINK("#LAYOUT_m1!lay중YFUR2A01","YFUR2A01")</f>
        <v>YFUR2A01</v>
      </c>
      <c r="C220" s="355"/>
      <c r="E220" s="7"/>
      <c r="G220" s="366" t="s">
        <v>661</v>
      </c>
      <c r="H220" s="366"/>
      <c r="I220" s="366"/>
      <c r="J220" s="366"/>
      <c r="K220" s="366"/>
      <c r="L220" s="367"/>
      <c r="M220" s="31" t="s">
        <v>591</v>
      </c>
      <c r="N220" s="31" t="s">
        <v>592</v>
      </c>
      <c r="O220" s="31" t="s">
        <v>593</v>
      </c>
      <c r="P220" s="31" t="s">
        <v>594</v>
      </c>
      <c r="Q220" s="32" t="s">
        <v>662</v>
      </c>
      <c r="V220" s="7"/>
    </row>
    <row r="221" spans="2:22" ht="18" customHeight="1">
      <c r="B221" s="355" t="str">
        <f>HYPERLINK("#LAYOUT_m1!lay중YFUR2A02","YFUR2A02")</f>
        <v>YFUR2A02</v>
      </c>
      <c r="C221" s="355"/>
      <c r="E221" s="7"/>
      <c r="G221" s="362" t="s">
        <v>663</v>
      </c>
      <c r="H221" s="362"/>
      <c r="I221" s="362"/>
      <c r="J221" s="362"/>
      <c r="K221" s="362"/>
      <c r="L221" s="363"/>
      <c r="M221" s="22" t="s">
        <v>591</v>
      </c>
      <c r="N221" s="22" t="s">
        <v>592</v>
      </c>
      <c r="O221" s="22" t="s">
        <v>593</v>
      </c>
      <c r="P221" s="22" t="s">
        <v>594</v>
      </c>
      <c r="Q221" s="24" t="s">
        <v>662</v>
      </c>
      <c r="V221" s="7"/>
    </row>
    <row r="222" spans="2:22" ht="18" customHeight="1">
      <c r="B222" s="355" t="str">
        <f>HYPERLINK("#LAYOUT_m1!lay중YFUR2A03","YFUR2A03")</f>
        <v>YFUR2A03</v>
      </c>
      <c r="C222" s="355"/>
      <c r="E222" s="7"/>
      <c r="G222" s="362" t="s">
        <v>1590</v>
      </c>
      <c r="H222" s="362"/>
      <c r="I222" s="362"/>
      <c r="J222" s="362"/>
      <c r="K222" s="362"/>
      <c r="L222" s="363"/>
      <c r="M222" s="22" t="s">
        <v>591</v>
      </c>
      <c r="N222" s="22" t="s">
        <v>592</v>
      </c>
      <c r="O222" s="22" t="s">
        <v>593</v>
      </c>
      <c r="P222" s="22" t="s">
        <v>594</v>
      </c>
      <c r="Q222" s="24" t="s">
        <v>662</v>
      </c>
      <c r="V222" s="7"/>
    </row>
    <row r="223" spans="2:22" ht="18" customHeight="1">
      <c r="B223" s="355" t="str">
        <f>HYPERLINK("#LAYOUT_m1!lay중YFUR2A04","YFUR2A04")</f>
        <v>YFUR2A04</v>
      </c>
      <c r="C223" s="355"/>
      <c r="E223" s="7"/>
      <c r="G223" s="362" t="s">
        <v>1591</v>
      </c>
      <c r="H223" s="362"/>
      <c r="I223" s="362"/>
      <c r="J223" s="362"/>
      <c r="K223" s="362"/>
      <c r="L223" s="363"/>
      <c r="M223" s="22" t="s">
        <v>591</v>
      </c>
      <c r="N223" s="22" t="s">
        <v>592</v>
      </c>
      <c r="O223" s="22" t="s">
        <v>593</v>
      </c>
      <c r="P223" s="22" t="s">
        <v>594</v>
      </c>
      <c r="Q223" s="24" t="s">
        <v>662</v>
      </c>
      <c r="V223" s="7"/>
    </row>
    <row r="224" spans="2:22" ht="18" customHeight="1">
      <c r="B224" s="355" t="str">
        <f>HYPERLINK("#LAYOUT_m1!lay중YFUR2A05","YFUR2A05")</f>
        <v>YFUR2A05</v>
      </c>
      <c r="C224" s="355"/>
      <c r="E224" s="7"/>
      <c r="G224" s="362" t="s">
        <v>664</v>
      </c>
      <c r="H224" s="362"/>
      <c r="I224" s="362"/>
      <c r="J224" s="362"/>
      <c r="K224" s="362"/>
      <c r="L224" s="363"/>
      <c r="M224" s="22" t="s">
        <v>591</v>
      </c>
      <c r="N224" s="22" t="s">
        <v>592</v>
      </c>
      <c r="O224" s="22" t="s">
        <v>593</v>
      </c>
      <c r="P224" s="22" t="s">
        <v>594</v>
      </c>
      <c r="Q224" s="24" t="s">
        <v>662</v>
      </c>
      <c r="V224" s="7"/>
    </row>
    <row r="225" spans="2:22" ht="18" customHeight="1">
      <c r="B225" s="355" t="str">
        <f>HYPERLINK("#LAYOUT_m1!lay중YFUR2A06","YFUR2A06")</f>
        <v>YFUR2A06</v>
      </c>
      <c r="C225" s="355"/>
      <c r="E225" s="7"/>
      <c r="G225" s="362" t="s">
        <v>665</v>
      </c>
      <c r="H225" s="362"/>
      <c r="I225" s="362"/>
      <c r="J225" s="362"/>
      <c r="K225" s="362"/>
      <c r="L225" s="363"/>
      <c r="M225" s="22" t="s">
        <v>591</v>
      </c>
      <c r="N225" s="22" t="s">
        <v>592</v>
      </c>
      <c r="O225" s="22" t="s">
        <v>593</v>
      </c>
      <c r="P225" s="22" t="s">
        <v>594</v>
      </c>
      <c r="Q225" s="24" t="s">
        <v>662</v>
      </c>
      <c r="V225" s="7"/>
    </row>
    <row r="226" spans="2:22" ht="18" customHeight="1">
      <c r="B226" s="355" t="str">
        <f>HYPERLINK("#LAYOUT_m1!lay중YFUR2A07","YFUR2A07")</f>
        <v>YFUR2A07</v>
      </c>
      <c r="C226" s="355"/>
      <c r="E226" s="7"/>
      <c r="G226" s="362" t="s">
        <v>666</v>
      </c>
      <c r="H226" s="362"/>
      <c r="I226" s="362"/>
      <c r="J226" s="362"/>
      <c r="K226" s="362"/>
      <c r="L226" s="363"/>
      <c r="M226" s="22" t="s">
        <v>591</v>
      </c>
      <c r="N226" s="22" t="s">
        <v>592</v>
      </c>
      <c r="O226" s="22" t="s">
        <v>593</v>
      </c>
      <c r="P226" s="22" t="s">
        <v>594</v>
      </c>
      <c r="Q226" s="24" t="s">
        <v>662</v>
      </c>
      <c r="V226" s="7"/>
    </row>
    <row r="227" spans="2:22" ht="18" customHeight="1">
      <c r="B227" s="195" t="str">
        <f>HYPERLINK("#LAYOUT_m1!lay중YFUR2A08","YFUR2A08")</f>
        <v>YFUR2A08</v>
      </c>
      <c r="C227" s="195" t="str">
        <f>HYPERLINK("#LAYOUT_m1!lay중YFUR2A08_T","YFUR2A08_T")</f>
        <v>YFUR2A08_T</v>
      </c>
      <c r="E227" s="7"/>
      <c r="G227" s="362" t="s">
        <v>1592</v>
      </c>
      <c r="H227" s="362"/>
      <c r="I227" s="362"/>
      <c r="J227" s="362"/>
      <c r="K227" s="362"/>
      <c r="L227" s="363"/>
      <c r="M227" s="22" t="s">
        <v>591</v>
      </c>
      <c r="N227" s="22" t="s">
        <v>592</v>
      </c>
      <c r="O227" s="22" t="s">
        <v>593</v>
      </c>
      <c r="P227" s="22" t="s">
        <v>594</v>
      </c>
      <c r="Q227" s="24" t="s">
        <v>662</v>
      </c>
      <c r="V227" s="7"/>
    </row>
    <row r="228" spans="2:22" ht="18" customHeight="1">
      <c r="B228" s="195"/>
      <c r="C228" s="195"/>
      <c r="E228" s="7"/>
      <c r="V228" s="7"/>
    </row>
    <row r="229" spans="2:22" ht="18" customHeight="1">
      <c r="B229" s="195"/>
      <c r="C229" s="195"/>
      <c r="E229" s="7"/>
      <c r="V229" s="7"/>
    </row>
    <row r="230" spans="2:22" ht="18" customHeight="1" thickBot="1">
      <c r="B230" s="195"/>
      <c r="C230" s="195"/>
      <c r="E230" s="7"/>
      <c r="F230" s="6" t="s">
        <v>894</v>
      </c>
      <c r="V230" s="7"/>
    </row>
    <row r="231" spans="2:22" ht="31.5" thickTop="1" thickBot="1">
      <c r="B231" s="195"/>
      <c r="C231" s="195"/>
      <c r="E231" s="7"/>
      <c r="G231" s="397" t="s">
        <v>643</v>
      </c>
      <c r="H231" s="397"/>
      <c r="I231" s="397"/>
      <c r="J231" s="397"/>
      <c r="K231" s="397"/>
      <c r="L231" s="398"/>
      <c r="M231" s="9" t="s">
        <v>622</v>
      </c>
      <c r="N231" s="9" t="s">
        <v>623</v>
      </c>
      <c r="O231" s="9" t="s">
        <v>107</v>
      </c>
      <c r="P231" s="10" t="s">
        <v>108</v>
      </c>
      <c r="V231" s="7"/>
    </row>
    <row r="232" spans="2:22" ht="18" customHeight="1" thickTop="1">
      <c r="B232" s="355" t="str">
        <f>HYPERLINK("#LAYOUT_m1!lay중YPSY1A01","YPSY1A01")</f>
        <v>YPSY1A01</v>
      </c>
      <c r="C232" s="355"/>
      <c r="E232" s="7"/>
      <c r="G232" s="366" t="s">
        <v>668</v>
      </c>
      <c r="H232" s="366"/>
      <c r="I232" s="366"/>
      <c r="J232" s="366"/>
      <c r="K232" s="366"/>
      <c r="L232" s="367"/>
      <c r="M232" s="20" t="s">
        <v>591</v>
      </c>
      <c r="N232" s="20" t="s">
        <v>592</v>
      </c>
      <c r="O232" s="20" t="s">
        <v>593</v>
      </c>
      <c r="P232" s="25" t="s">
        <v>594</v>
      </c>
      <c r="V232" s="7"/>
    </row>
    <row r="233" spans="2:22" ht="18" customHeight="1">
      <c r="B233" s="355" t="str">
        <f>HYPERLINK("#LAYOUT_m1!lay중YPSY1A02","YPSY1A02")</f>
        <v>YPSY1A02</v>
      </c>
      <c r="C233" s="355"/>
      <c r="E233" s="7"/>
      <c r="G233" s="362" t="s">
        <v>669</v>
      </c>
      <c r="H233" s="362"/>
      <c r="I233" s="362"/>
      <c r="J233" s="362"/>
      <c r="K233" s="362"/>
      <c r="L233" s="363"/>
      <c r="M233" s="22" t="s">
        <v>591</v>
      </c>
      <c r="N233" s="22" t="s">
        <v>592</v>
      </c>
      <c r="O233" s="22" t="s">
        <v>593</v>
      </c>
      <c r="P233" s="24" t="s">
        <v>594</v>
      </c>
      <c r="V233" s="7"/>
    </row>
    <row r="234" spans="2:22" ht="18" customHeight="1">
      <c r="B234" s="355" t="str">
        <f>HYPERLINK("#LAYOUT_m1!lay중YPSY1A03","YPSY1A03")</f>
        <v>YPSY1A03</v>
      </c>
      <c r="C234" s="355"/>
      <c r="E234" s="7"/>
      <c r="G234" s="362" t="s">
        <v>670</v>
      </c>
      <c r="H234" s="362"/>
      <c r="I234" s="362"/>
      <c r="J234" s="362"/>
      <c r="K234" s="362"/>
      <c r="L234" s="363"/>
      <c r="M234" s="22" t="s">
        <v>591</v>
      </c>
      <c r="N234" s="22" t="s">
        <v>592</v>
      </c>
      <c r="O234" s="22" t="s">
        <v>593</v>
      </c>
      <c r="P234" s="24" t="s">
        <v>594</v>
      </c>
      <c r="V234" s="7"/>
    </row>
    <row r="235" spans="2:22" ht="18" customHeight="1">
      <c r="B235" s="355" t="str">
        <f>HYPERLINK("#LAYOUT_m1!lay중YPSY1A04","YPSY1A04")</f>
        <v>YPSY1A04</v>
      </c>
      <c r="C235" s="355"/>
      <c r="E235" s="7"/>
      <c r="G235" s="362" t="s">
        <v>671</v>
      </c>
      <c r="H235" s="362"/>
      <c r="I235" s="362"/>
      <c r="J235" s="362"/>
      <c r="K235" s="362"/>
      <c r="L235" s="363"/>
      <c r="M235" s="22" t="s">
        <v>591</v>
      </c>
      <c r="N235" s="22" t="s">
        <v>592</v>
      </c>
      <c r="O235" s="22" t="s">
        <v>593</v>
      </c>
      <c r="P235" s="24" t="s">
        <v>594</v>
      </c>
      <c r="V235" s="7"/>
    </row>
    <row r="236" spans="2:22" ht="18" customHeight="1">
      <c r="B236" s="355" t="str">
        <f>HYPERLINK("#LAYOUT_m1!lay중YPSY1A05","YPSY1A05")</f>
        <v>YPSY1A05</v>
      </c>
      <c r="C236" s="355"/>
      <c r="E236" s="7"/>
      <c r="G236" s="362" t="s">
        <v>672</v>
      </c>
      <c r="H236" s="362"/>
      <c r="I236" s="362"/>
      <c r="J236" s="362"/>
      <c r="K236" s="362"/>
      <c r="L236" s="363"/>
      <c r="M236" s="22" t="s">
        <v>591</v>
      </c>
      <c r="N236" s="22" t="s">
        <v>592</v>
      </c>
      <c r="O236" s="22" t="s">
        <v>593</v>
      </c>
      <c r="P236" s="24" t="s">
        <v>594</v>
      </c>
      <c r="V236" s="7"/>
    </row>
    <row r="237" spans="2:22" ht="18" customHeight="1">
      <c r="B237" s="195"/>
      <c r="C237" s="195"/>
      <c r="E237" s="7"/>
      <c r="V237" s="7"/>
    </row>
    <row r="238" spans="2:22" ht="18" customHeight="1">
      <c r="B238" s="195"/>
      <c r="C238" s="195"/>
      <c r="E238" s="7"/>
      <c r="V238" s="7"/>
    </row>
    <row r="239" spans="2:22" ht="18" customHeight="1" thickBot="1">
      <c r="B239" s="195"/>
      <c r="C239" s="195"/>
      <c r="E239" s="7"/>
      <c r="F239" s="6" t="s">
        <v>895</v>
      </c>
      <c r="V239" s="7"/>
    </row>
    <row r="240" spans="2:22" ht="31.5" thickTop="1" thickBot="1">
      <c r="B240" s="195"/>
      <c r="C240" s="195"/>
      <c r="E240" s="7"/>
      <c r="G240" s="397" t="s">
        <v>574</v>
      </c>
      <c r="H240" s="397"/>
      <c r="I240" s="397"/>
      <c r="J240" s="397"/>
      <c r="K240" s="397"/>
      <c r="L240" s="398"/>
      <c r="M240" s="9" t="s">
        <v>674</v>
      </c>
      <c r="N240" s="9" t="s">
        <v>675</v>
      </c>
      <c r="O240" s="9" t="s">
        <v>676</v>
      </c>
      <c r="P240" s="10" t="s">
        <v>677</v>
      </c>
      <c r="V240" s="7"/>
    </row>
    <row r="241" spans="2:22" ht="18" customHeight="1" thickTop="1">
      <c r="B241" s="355" t="str">
        <f>HYPERLINK("#LAYOUT_m1!lay중YPSY2A01","YPSY2A01")</f>
        <v>YPSY2A01</v>
      </c>
      <c r="C241" s="355"/>
      <c r="E241" s="7"/>
      <c r="G241" s="366" t="s">
        <v>678</v>
      </c>
      <c r="H241" s="366"/>
      <c r="I241" s="366"/>
      <c r="J241" s="366"/>
      <c r="K241" s="366"/>
      <c r="L241" s="367"/>
      <c r="M241" s="20" t="s">
        <v>591</v>
      </c>
      <c r="N241" s="20" t="s">
        <v>592</v>
      </c>
      <c r="O241" s="20" t="s">
        <v>593</v>
      </c>
      <c r="P241" s="25" t="s">
        <v>594</v>
      </c>
      <c r="V241" s="7"/>
    </row>
    <row r="242" spans="2:22" ht="18" customHeight="1">
      <c r="B242" s="355" t="str">
        <f>HYPERLINK("#LAYOUT_m1!lay중YPSY2A02","YPSY2A02")</f>
        <v>YPSY2A02</v>
      </c>
      <c r="C242" s="355"/>
      <c r="E242" s="7"/>
      <c r="G242" s="366" t="s">
        <v>679</v>
      </c>
      <c r="H242" s="366"/>
      <c r="I242" s="366"/>
      <c r="J242" s="366"/>
      <c r="K242" s="366"/>
      <c r="L242" s="367"/>
      <c r="M242" s="31" t="s">
        <v>591</v>
      </c>
      <c r="N242" s="31" t="s">
        <v>592</v>
      </c>
      <c r="O242" s="31" t="s">
        <v>593</v>
      </c>
      <c r="P242" s="32" t="s">
        <v>594</v>
      </c>
      <c r="V242" s="7"/>
    </row>
    <row r="243" spans="2:22" ht="18" customHeight="1">
      <c r="B243" s="195"/>
      <c r="C243" s="195"/>
      <c r="E243" s="7"/>
      <c r="V243" s="7"/>
    </row>
    <row r="244" spans="2:22" ht="18" customHeight="1">
      <c r="B244" s="195"/>
      <c r="C244" s="195"/>
      <c r="E244" s="7"/>
      <c r="V244" s="7"/>
    </row>
    <row r="245" spans="2:22" ht="18" customHeight="1" thickBot="1">
      <c r="B245" s="195"/>
      <c r="C245" s="195"/>
      <c r="E245" s="7"/>
      <c r="F245" s="6" t="s">
        <v>896</v>
      </c>
      <c r="V245" s="7"/>
    </row>
    <row r="246" spans="2:22" ht="31.5" thickTop="1" thickBot="1">
      <c r="B246" s="195"/>
      <c r="C246" s="195"/>
      <c r="E246" s="7"/>
      <c r="G246" s="397" t="s">
        <v>643</v>
      </c>
      <c r="H246" s="397"/>
      <c r="I246" s="397"/>
      <c r="J246" s="397"/>
      <c r="K246" s="397"/>
      <c r="L246" s="398"/>
      <c r="M246" s="9" t="s">
        <v>622</v>
      </c>
      <c r="N246" s="9" t="s">
        <v>623</v>
      </c>
      <c r="O246" s="9" t="s">
        <v>107</v>
      </c>
      <c r="P246" s="10" t="s">
        <v>108</v>
      </c>
      <c r="V246" s="7"/>
    </row>
    <row r="247" spans="2:22" ht="31.5" customHeight="1" thickTop="1">
      <c r="B247" s="355" t="str">
        <f>HYPERLINK("#LAYOUT_m1!lay중YPSY2A03","YPSY2A03")</f>
        <v>YPSY2A03</v>
      </c>
      <c r="C247" s="355"/>
      <c r="E247" s="7"/>
      <c r="G247" s="366" t="s">
        <v>681</v>
      </c>
      <c r="H247" s="366"/>
      <c r="I247" s="366"/>
      <c r="J247" s="366"/>
      <c r="K247" s="366"/>
      <c r="L247" s="367"/>
      <c r="M247" s="20" t="s">
        <v>591</v>
      </c>
      <c r="N247" s="20" t="s">
        <v>592</v>
      </c>
      <c r="O247" s="20" t="s">
        <v>593</v>
      </c>
      <c r="P247" s="25" t="s">
        <v>594</v>
      </c>
      <c r="V247" s="7"/>
    </row>
    <row r="248" spans="2:22" ht="31.5" customHeight="1">
      <c r="B248" s="355" t="str">
        <f>HYPERLINK("#LAYOUT_m1!lay중YPSY2A04","YPSY2A04")</f>
        <v>YPSY2A04</v>
      </c>
      <c r="C248" s="355"/>
      <c r="E248" s="7"/>
      <c r="G248" s="366" t="s">
        <v>682</v>
      </c>
      <c r="H248" s="366"/>
      <c r="I248" s="366"/>
      <c r="J248" s="366"/>
      <c r="K248" s="366"/>
      <c r="L248" s="367"/>
      <c r="M248" s="31" t="s">
        <v>591</v>
      </c>
      <c r="N248" s="31" t="s">
        <v>592</v>
      </c>
      <c r="O248" s="31" t="s">
        <v>593</v>
      </c>
      <c r="P248" s="32" t="s">
        <v>594</v>
      </c>
      <c r="V248" s="7"/>
    </row>
    <row r="249" spans="2:22" ht="18" customHeight="1">
      <c r="B249" s="195"/>
      <c r="C249" s="195"/>
      <c r="E249" s="7"/>
      <c r="V249" s="7"/>
    </row>
    <row r="250" spans="2:22" ht="18" customHeight="1">
      <c r="B250" s="195"/>
      <c r="C250" s="195"/>
      <c r="E250" s="7"/>
      <c r="V250" s="7"/>
    </row>
    <row r="251" spans="2:22" ht="18" customHeight="1" thickBot="1">
      <c r="B251" s="195"/>
      <c r="C251" s="195"/>
      <c r="E251" s="7"/>
      <c r="F251" s="6" t="s">
        <v>784</v>
      </c>
      <c r="V251" s="7"/>
    </row>
    <row r="252" spans="2:22" ht="31.5" thickTop="1" thickBot="1">
      <c r="B252" s="195"/>
      <c r="C252" s="195"/>
      <c r="E252" s="7"/>
      <c r="G252" s="397" t="s">
        <v>643</v>
      </c>
      <c r="H252" s="397"/>
      <c r="I252" s="397"/>
      <c r="J252" s="397"/>
      <c r="K252" s="397"/>
      <c r="L252" s="398"/>
      <c r="M252" s="9" t="s">
        <v>622</v>
      </c>
      <c r="N252" s="9" t="s">
        <v>623</v>
      </c>
      <c r="O252" s="9" t="s">
        <v>107</v>
      </c>
      <c r="P252" s="10" t="s">
        <v>108</v>
      </c>
      <c r="V252" s="7"/>
    </row>
    <row r="253" spans="2:22" ht="18" customHeight="1" thickTop="1">
      <c r="B253" s="355" t="str">
        <f>HYPERLINK("#LAYOUT_m1!lay중YPSY3A01","YPSY3A01")</f>
        <v>YPSY3A01</v>
      </c>
      <c r="C253" s="355"/>
      <c r="E253" s="7"/>
      <c r="G253" s="366" t="s">
        <v>684</v>
      </c>
      <c r="H253" s="366"/>
      <c r="I253" s="366"/>
      <c r="J253" s="366"/>
      <c r="K253" s="366"/>
      <c r="L253" s="367"/>
      <c r="M253" s="20" t="s">
        <v>591</v>
      </c>
      <c r="N253" s="20" t="s">
        <v>592</v>
      </c>
      <c r="O253" s="20" t="s">
        <v>593</v>
      </c>
      <c r="P253" s="25" t="s">
        <v>594</v>
      </c>
      <c r="V253" s="7"/>
    </row>
    <row r="254" spans="2:22" ht="18" customHeight="1">
      <c r="B254" s="355" t="str">
        <f>HYPERLINK("#LAYOUT_m1!lay중YPSY3A02","YPSY3A02")</f>
        <v>YPSY3A02</v>
      </c>
      <c r="C254" s="355"/>
      <c r="E254" s="7"/>
      <c r="G254" s="366" t="s">
        <v>685</v>
      </c>
      <c r="H254" s="366"/>
      <c r="I254" s="366"/>
      <c r="J254" s="366"/>
      <c r="K254" s="366"/>
      <c r="L254" s="367"/>
      <c r="M254" s="22" t="s">
        <v>591</v>
      </c>
      <c r="N254" s="22" t="s">
        <v>592</v>
      </c>
      <c r="O254" s="22" t="s">
        <v>593</v>
      </c>
      <c r="P254" s="24" t="s">
        <v>594</v>
      </c>
      <c r="V254" s="7"/>
    </row>
    <row r="255" spans="2:22" ht="18" customHeight="1">
      <c r="B255" s="355" t="str">
        <f>HYPERLINK("#LAYOUT_m1!lay중YPSY3A03","YPSY3A03")</f>
        <v>YPSY3A03</v>
      </c>
      <c r="C255" s="355"/>
      <c r="E255" s="7"/>
      <c r="G255" s="366" t="s">
        <v>686</v>
      </c>
      <c r="H255" s="366"/>
      <c r="I255" s="366"/>
      <c r="J255" s="366"/>
      <c r="K255" s="366"/>
      <c r="L255" s="367"/>
      <c r="M255" s="22" t="s">
        <v>591</v>
      </c>
      <c r="N255" s="22" t="s">
        <v>592</v>
      </c>
      <c r="O255" s="22" t="s">
        <v>593</v>
      </c>
      <c r="P255" s="24" t="s">
        <v>594</v>
      </c>
      <c r="V255" s="7"/>
    </row>
    <row r="256" spans="2:22" ht="18" customHeight="1">
      <c r="B256" s="355" t="str">
        <f>HYPERLINK("#LAYOUT_m1!lay중YPSY3A04","YPSY3A04")</f>
        <v>YPSY3A04</v>
      </c>
      <c r="C256" s="355"/>
      <c r="E256" s="7"/>
      <c r="G256" s="366" t="s">
        <v>687</v>
      </c>
      <c r="H256" s="366"/>
      <c r="I256" s="366"/>
      <c r="J256" s="366"/>
      <c r="K256" s="366"/>
      <c r="L256" s="367"/>
      <c r="M256" s="22" t="s">
        <v>591</v>
      </c>
      <c r="N256" s="22" t="s">
        <v>592</v>
      </c>
      <c r="O256" s="22" t="s">
        <v>593</v>
      </c>
      <c r="P256" s="24" t="s">
        <v>594</v>
      </c>
      <c r="V256" s="7"/>
    </row>
    <row r="257" spans="2:22" ht="18" customHeight="1">
      <c r="B257" s="355" t="str">
        <f>HYPERLINK("#LAYOUT_m1!lay중YPSY3A05","YPSY3A05")</f>
        <v>YPSY3A05</v>
      </c>
      <c r="C257" s="355"/>
      <c r="E257" s="7"/>
      <c r="G257" s="366" t="s">
        <v>688</v>
      </c>
      <c r="H257" s="366"/>
      <c r="I257" s="366"/>
      <c r="J257" s="366"/>
      <c r="K257" s="366"/>
      <c r="L257" s="367"/>
      <c r="M257" s="22" t="s">
        <v>591</v>
      </c>
      <c r="N257" s="22" t="s">
        <v>592</v>
      </c>
      <c r="O257" s="22" t="s">
        <v>593</v>
      </c>
      <c r="P257" s="24" t="s">
        <v>594</v>
      </c>
      <c r="V257" s="7"/>
    </row>
    <row r="258" spans="2:22" ht="18" customHeight="1">
      <c r="B258" s="355" t="str">
        <f>HYPERLINK("#LAYOUT_m1!lay중YPSY3A06","YPSY3A06")</f>
        <v>YPSY3A06</v>
      </c>
      <c r="C258" s="355"/>
      <c r="E258" s="7"/>
      <c r="G258" s="366" t="s">
        <v>689</v>
      </c>
      <c r="H258" s="366"/>
      <c r="I258" s="366"/>
      <c r="J258" s="366"/>
      <c r="K258" s="366"/>
      <c r="L258" s="367"/>
      <c r="M258" s="22" t="s">
        <v>591</v>
      </c>
      <c r="N258" s="22" t="s">
        <v>592</v>
      </c>
      <c r="O258" s="22" t="s">
        <v>593</v>
      </c>
      <c r="P258" s="24" t="s">
        <v>594</v>
      </c>
      <c r="V258" s="7"/>
    </row>
    <row r="259" spans="2:22" ht="18" customHeight="1">
      <c r="B259" s="355" t="str">
        <f>HYPERLINK("#LAYOUT_m1!lay중YPSY3A07","YPSY3A07")</f>
        <v>YPSY3A07</v>
      </c>
      <c r="C259" s="355"/>
      <c r="E259" s="7"/>
      <c r="G259" s="366" t="s">
        <v>690</v>
      </c>
      <c r="H259" s="366"/>
      <c r="I259" s="366"/>
      <c r="J259" s="366"/>
      <c r="K259" s="366"/>
      <c r="L259" s="367"/>
      <c r="M259" s="22" t="s">
        <v>591</v>
      </c>
      <c r="N259" s="22" t="s">
        <v>592</v>
      </c>
      <c r="O259" s="22" t="s">
        <v>593</v>
      </c>
      <c r="P259" s="24" t="s">
        <v>594</v>
      </c>
      <c r="V259" s="7"/>
    </row>
    <row r="260" spans="2:22" ht="18" customHeight="1">
      <c r="B260" s="355" t="str">
        <f>HYPERLINK("#LAYOUT_m1!lay중YPSY3A08","YPSY3A08")</f>
        <v>YPSY3A08</v>
      </c>
      <c r="C260" s="355"/>
      <c r="E260" s="7"/>
      <c r="G260" s="366" t="s">
        <v>691</v>
      </c>
      <c r="H260" s="366"/>
      <c r="I260" s="366"/>
      <c r="J260" s="366"/>
      <c r="K260" s="366"/>
      <c r="L260" s="367"/>
      <c r="M260" s="22" t="s">
        <v>591</v>
      </c>
      <c r="N260" s="22" t="s">
        <v>592</v>
      </c>
      <c r="O260" s="22" t="s">
        <v>593</v>
      </c>
      <c r="P260" s="24" t="s">
        <v>594</v>
      </c>
      <c r="V260" s="7"/>
    </row>
    <row r="261" spans="2:22" ht="18" customHeight="1">
      <c r="B261" s="355" t="str">
        <f>HYPERLINK("#LAYOUT_m1!lay중YPSY3A09","YPSY3A09")</f>
        <v>YPSY3A09</v>
      </c>
      <c r="C261" s="355"/>
      <c r="E261" s="7"/>
      <c r="G261" s="366" t="s">
        <v>692</v>
      </c>
      <c r="H261" s="366"/>
      <c r="I261" s="366"/>
      <c r="J261" s="366"/>
      <c r="K261" s="366"/>
      <c r="L261" s="367"/>
      <c r="M261" s="22" t="s">
        <v>591</v>
      </c>
      <c r="N261" s="22" t="s">
        <v>592</v>
      </c>
      <c r="O261" s="22" t="s">
        <v>593</v>
      </c>
      <c r="P261" s="24" t="s">
        <v>594</v>
      </c>
      <c r="V261" s="7"/>
    </row>
    <row r="262" spans="2:22" ht="18" customHeight="1">
      <c r="B262" s="355" t="str">
        <f>HYPERLINK("#LAYOUT_m1!lay중YPSY3A10","YPSY3A10")</f>
        <v>YPSY3A10</v>
      </c>
      <c r="C262" s="355"/>
      <c r="E262" s="7"/>
      <c r="G262" s="366" t="s">
        <v>693</v>
      </c>
      <c r="H262" s="366"/>
      <c r="I262" s="366"/>
      <c r="J262" s="366"/>
      <c r="K262" s="366"/>
      <c r="L262" s="367"/>
      <c r="M262" s="22" t="s">
        <v>591</v>
      </c>
      <c r="N262" s="22" t="s">
        <v>592</v>
      </c>
      <c r="O262" s="22" t="s">
        <v>593</v>
      </c>
      <c r="P262" s="24" t="s">
        <v>594</v>
      </c>
      <c r="V262" s="7"/>
    </row>
    <row r="263" spans="2:22" ht="18" customHeight="1">
      <c r="B263" s="195"/>
      <c r="C263" s="195"/>
      <c r="E263" s="7"/>
      <c r="V263" s="7"/>
    </row>
    <row r="264" spans="2:22" ht="18" customHeight="1">
      <c r="B264" s="195"/>
      <c r="C264" s="195"/>
      <c r="E264" s="7"/>
      <c r="V264" s="7"/>
    </row>
    <row r="265" spans="2:22" ht="18" customHeight="1" thickBot="1">
      <c r="B265" s="195"/>
      <c r="C265" s="195"/>
      <c r="E265" s="7"/>
      <c r="F265" s="6" t="s">
        <v>798</v>
      </c>
      <c r="V265" s="7"/>
    </row>
    <row r="266" spans="2:22" ht="31.5" thickTop="1" thickBot="1">
      <c r="B266" s="195"/>
      <c r="C266" s="195"/>
      <c r="E266" s="7"/>
      <c r="G266" s="397" t="s">
        <v>643</v>
      </c>
      <c r="H266" s="397"/>
      <c r="I266" s="397"/>
      <c r="J266" s="397"/>
      <c r="K266" s="397"/>
      <c r="L266" s="398"/>
      <c r="M266" s="9" t="s">
        <v>622</v>
      </c>
      <c r="N266" s="9" t="s">
        <v>623</v>
      </c>
      <c r="O266" s="9" t="s">
        <v>107</v>
      </c>
      <c r="P266" s="10" t="s">
        <v>108</v>
      </c>
      <c r="V266" s="7"/>
    </row>
    <row r="267" spans="2:22" ht="18" customHeight="1" thickTop="1">
      <c r="B267" s="355" t="str">
        <f>HYPERLINK("#LAYOUT_m1!lay중YPSY4A01","YPSY4A01")</f>
        <v>YPSY4A01</v>
      </c>
      <c r="C267" s="355"/>
      <c r="E267" s="7"/>
      <c r="G267" s="366" t="s">
        <v>695</v>
      </c>
      <c r="H267" s="366"/>
      <c r="I267" s="366"/>
      <c r="J267" s="366"/>
      <c r="K267" s="366"/>
      <c r="L267" s="367"/>
      <c r="M267" s="20" t="s">
        <v>591</v>
      </c>
      <c r="N267" s="20" t="s">
        <v>592</v>
      </c>
      <c r="O267" s="20" t="s">
        <v>593</v>
      </c>
      <c r="P267" s="25" t="s">
        <v>594</v>
      </c>
      <c r="V267" s="7"/>
    </row>
    <row r="268" spans="2:22" ht="18" customHeight="1">
      <c r="B268" s="355" t="str">
        <f>HYPERLINK("#LAYOUT_m1!lay중YPSY4A02","YPSY4A02")</f>
        <v>YPSY4A02</v>
      </c>
      <c r="C268" s="355"/>
      <c r="E268" s="7"/>
      <c r="G268" s="366" t="s">
        <v>696</v>
      </c>
      <c r="H268" s="366"/>
      <c r="I268" s="366"/>
      <c r="J268" s="366"/>
      <c r="K268" s="366"/>
      <c r="L268" s="367"/>
      <c r="M268" s="22" t="s">
        <v>591</v>
      </c>
      <c r="N268" s="22" t="s">
        <v>592</v>
      </c>
      <c r="O268" s="22" t="s">
        <v>593</v>
      </c>
      <c r="P268" s="24" t="s">
        <v>594</v>
      </c>
      <c r="V268" s="7"/>
    </row>
    <row r="269" spans="2:22" ht="18" customHeight="1">
      <c r="B269" s="355" t="str">
        <f>HYPERLINK("#LAYOUT_m1!lay중YPSY4A03","YPSY4A03")</f>
        <v>YPSY4A03</v>
      </c>
      <c r="C269" s="355"/>
      <c r="E269" s="7"/>
      <c r="G269" s="366" t="s">
        <v>697</v>
      </c>
      <c r="H269" s="366"/>
      <c r="I269" s="366"/>
      <c r="J269" s="366"/>
      <c r="K269" s="366"/>
      <c r="L269" s="367"/>
      <c r="M269" s="22" t="s">
        <v>591</v>
      </c>
      <c r="N269" s="22" t="s">
        <v>592</v>
      </c>
      <c r="O269" s="22" t="s">
        <v>593</v>
      </c>
      <c r="P269" s="24" t="s">
        <v>594</v>
      </c>
      <c r="V269" s="7"/>
    </row>
    <row r="270" spans="2:22" ht="18" customHeight="1">
      <c r="B270" s="355" t="str">
        <f>HYPERLINK("#LAYOUT_m1!lay중YPSY4A04","YPSY4A04")</f>
        <v>YPSY4A04</v>
      </c>
      <c r="C270" s="355"/>
      <c r="E270" s="7"/>
      <c r="G270" s="366" t="s">
        <v>698</v>
      </c>
      <c r="H270" s="366"/>
      <c r="I270" s="366"/>
      <c r="J270" s="366"/>
      <c r="K270" s="366"/>
      <c r="L270" s="367"/>
      <c r="M270" s="22" t="s">
        <v>591</v>
      </c>
      <c r="N270" s="22" t="s">
        <v>592</v>
      </c>
      <c r="O270" s="22" t="s">
        <v>593</v>
      </c>
      <c r="P270" s="24" t="s">
        <v>594</v>
      </c>
      <c r="V270" s="7"/>
    </row>
    <row r="271" spans="2:22" ht="18" customHeight="1">
      <c r="B271" s="355" t="str">
        <f>HYPERLINK("#LAYOUT_m1!lay중YPSY4A05","YPSY4A05")</f>
        <v>YPSY4A05</v>
      </c>
      <c r="C271" s="355"/>
      <c r="E271" s="7"/>
      <c r="G271" s="366" t="s">
        <v>699</v>
      </c>
      <c r="H271" s="366"/>
      <c r="I271" s="366"/>
      <c r="J271" s="366"/>
      <c r="K271" s="366"/>
      <c r="L271" s="367"/>
      <c r="M271" s="22" t="s">
        <v>591</v>
      </c>
      <c r="N271" s="22" t="s">
        <v>592</v>
      </c>
      <c r="O271" s="22" t="s">
        <v>593</v>
      </c>
      <c r="P271" s="24" t="s">
        <v>594</v>
      </c>
      <c r="V271" s="7"/>
    </row>
    <row r="272" spans="2:22" ht="18" customHeight="1">
      <c r="B272" s="355" t="str">
        <f>HYPERLINK("#LAYOUT_m1!lay중YPSY4A06","YPSY4A06")</f>
        <v>YPSY4A06</v>
      </c>
      <c r="C272" s="355"/>
      <c r="E272" s="7"/>
      <c r="G272" s="366" t="s">
        <v>700</v>
      </c>
      <c r="H272" s="366"/>
      <c r="I272" s="366"/>
      <c r="J272" s="366"/>
      <c r="K272" s="366"/>
      <c r="L272" s="367"/>
      <c r="M272" s="22" t="s">
        <v>591</v>
      </c>
      <c r="N272" s="22" t="s">
        <v>592</v>
      </c>
      <c r="O272" s="22" t="s">
        <v>593</v>
      </c>
      <c r="P272" s="24" t="s">
        <v>594</v>
      </c>
      <c r="V272" s="7"/>
    </row>
    <row r="273" spans="2:22" ht="18" customHeight="1">
      <c r="B273" s="355" t="str">
        <f>HYPERLINK("#LAYOUT_m1!lay중YPSY4A07","YPSY4A07")</f>
        <v>YPSY4A07</v>
      </c>
      <c r="C273" s="355"/>
      <c r="E273" s="7"/>
      <c r="G273" s="366" t="s">
        <v>701</v>
      </c>
      <c r="H273" s="366"/>
      <c r="I273" s="366"/>
      <c r="J273" s="366"/>
      <c r="K273" s="366"/>
      <c r="L273" s="367"/>
      <c r="M273" s="22" t="s">
        <v>591</v>
      </c>
      <c r="N273" s="22" t="s">
        <v>592</v>
      </c>
      <c r="O273" s="22" t="s">
        <v>593</v>
      </c>
      <c r="P273" s="24" t="s">
        <v>594</v>
      </c>
      <c r="V273" s="7"/>
    </row>
    <row r="274" spans="2:22" ht="18" customHeight="1">
      <c r="B274" s="355" t="str">
        <f>HYPERLINK("#LAYOUT_m1!lay중YPSY4B01","YPSY4B01")</f>
        <v>YPSY4B01</v>
      </c>
      <c r="C274" s="355"/>
      <c r="E274" s="7"/>
      <c r="G274" s="366" t="s">
        <v>702</v>
      </c>
      <c r="H274" s="366"/>
      <c r="I274" s="366"/>
      <c r="J274" s="366"/>
      <c r="K274" s="366"/>
      <c r="L274" s="367"/>
      <c r="M274" s="22" t="s">
        <v>591</v>
      </c>
      <c r="N274" s="22" t="s">
        <v>592</v>
      </c>
      <c r="O274" s="22" t="s">
        <v>593</v>
      </c>
      <c r="P274" s="24" t="s">
        <v>594</v>
      </c>
      <c r="V274" s="7"/>
    </row>
    <row r="275" spans="2:22" ht="18" customHeight="1">
      <c r="B275" s="355" t="str">
        <f>HYPERLINK("#LAYOUT_m1!lay중YPSY4B02","YPSY4B02")</f>
        <v>YPSY4B02</v>
      </c>
      <c r="C275" s="355"/>
      <c r="E275" s="7"/>
      <c r="G275" s="366" t="s">
        <v>703</v>
      </c>
      <c r="H275" s="366"/>
      <c r="I275" s="366"/>
      <c r="J275" s="366"/>
      <c r="K275" s="366"/>
      <c r="L275" s="367"/>
      <c r="M275" s="22" t="s">
        <v>591</v>
      </c>
      <c r="N275" s="22" t="s">
        <v>592</v>
      </c>
      <c r="O275" s="22" t="s">
        <v>593</v>
      </c>
      <c r="P275" s="24" t="s">
        <v>594</v>
      </c>
      <c r="V275" s="7"/>
    </row>
    <row r="276" spans="2:22" ht="18" customHeight="1">
      <c r="B276" s="355" t="str">
        <f>HYPERLINK("#LAYOUT_m1!lay중YPSY4B03","YPSY4B03")</f>
        <v>YPSY4B03</v>
      </c>
      <c r="C276" s="355"/>
      <c r="E276" s="7"/>
      <c r="G276" s="366" t="s">
        <v>704</v>
      </c>
      <c r="H276" s="366"/>
      <c r="I276" s="366"/>
      <c r="J276" s="366"/>
      <c r="K276" s="366"/>
      <c r="L276" s="367"/>
      <c r="M276" s="22" t="s">
        <v>591</v>
      </c>
      <c r="N276" s="22" t="s">
        <v>592</v>
      </c>
      <c r="O276" s="22" t="s">
        <v>593</v>
      </c>
      <c r="P276" s="24" t="s">
        <v>594</v>
      </c>
      <c r="V276" s="7"/>
    </row>
    <row r="277" spans="2:22" ht="18" customHeight="1">
      <c r="B277" s="355" t="str">
        <f>HYPERLINK("#LAYOUT_m1!lay중YPSY4B04","YPSY4B04")</f>
        <v>YPSY4B04</v>
      </c>
      <c r="C277" s="355"/>
      <c r="E277" s="7"/>
      <c r="G277" s="366" t="s">
        <v>705</v>
      </c>
      <c r="H277" s="366"/>
      <c r="I277" s="366"/>
      <c r="J277" s="366"/>
      <c r="K277" s="366"/>
      <c r="L277" s="367"/>
      <c r="M277" s="22" t="s">
        <v>591</v>
      </c>
      <c r="N277" s="22" t="s">
        <v>592</v>
      </c>
      <c r="O277" s="22" t="s">
        <v>593</v>
      </c>
      <c r="P277" s="24" t="s">
        <v>594</v>
      </c>
      <c r="V277" s="7"/>
    </row>
    <row r="278" spans="2:22" ht="18" customHeight="1">
      <c r="B278" s="355" t="str">
        <f>HYPERLINK("#LAYOUT_m1!lay중YPSY4B05","YPSY4B05")</f>
        <v>YPSY4B05</v>
      </c>
      <c r="C278" s="355"/>
      <c r="E278" s="7"/>
      <c r="G278" s="366" t="s">
        <v>706</v>
      </c>
      <c r="H278" s="366"/>
      <c r="I278" s="366"/>
      <c r="J278" s="366"/>
      <c r="K278" s="366"/>
      <c r="L278" s="367"/>
      <c r="M278" s="22" t="s">
        <v>591</v>
      </c>
      <c r="N278" s="22" t="s">
        <v>592</v>
      </c>
      <c r="O278" s="22" t="s">
        <v>593</v>
      </c>
      <c r="P278" s="24" t="s">
        <v>594</v>
      </c>
      <c r="V278" s="7"/>
    </row>
    <row r="279" spans="2:22" ht="18" customHeight="1">
      <c r="B279" s="355" t="str">
        <f>HYPERLINK("#LAYOUT_m1!lay중YPSY4B06","YPSY4B06")</f>
        <v>YPSY4B06</v>
      </c>
      <c r="C279" s="355"/>
      <c r="E279" s="7"/>
      <c r="G279" s="366" t="s">
        <v>707</v>
      </c>
      <c r="H279" s="366"/>
      <c r="I279" s="366"/>
      <c r="J279" s="366"/>
      <c r="K279" s="366"/>
      <c r="L279" s="367"/>
      <c r="M279" s="22" t="s">
        <v>591</v>
      </c>
      <c r="N279" s="22" t="s">
        <v>592</v>
      </c>
      <c r="O279" s="22" t="s">
        <v>593</v>
      </c>
      <c r="P279" s="24" t="s">
        <v>594</v>
      </c>
      <c r="V279" s="7"/>
    </row>
    <row r="280" spans="2:22" ht="18" customHeight="1">
      <c r="B280" s="355" t="str">
        <f>HYPERLINK("#LAYOUT_m1!lay중YPSY4C01","YPSY4C01")</f>
        <v>YPSY4C01</v>
      </c>
      <c r="C280" s="355"/>
      <c r="E280" s="7"/>
      <c r="G280" s="366" t="s">
        <v>708</v>
      </c>
      <c r="H280" s="366"/>
      <c r="I280" s="366"/>
      <c r="J280" s="366"/>
      <c r="K280" s="366"/>
      <c r="L280" s="367"/>
      <c r="M280" s="22" t="s">
        <v>591</v>
      </c>
      <c r="N280" s="22" t="s">
        <v>592</v>
      </c>
      <c r="O280" s="22" t="s">
        <v>593</v>
      </c>
      <c r="P280" s="24" t="s">
        <v>594</v>
      </c>
      <c r="V280" s="7"/>
    </row>
    <row r="281" spans="2:22" ht="18" customHeight="1">
      <c r="B281" s="355" t="str">
        <f>HYPERLINK("#LAYOUT_m1!lay중YPSY4C02","YPSY4C02")</f>
        <v>YPSY4C02</v>
      </c>
      <c r="C281" s="355"/>
      <c r="E281" s="7"/>
      <c r="G281" s="366" t="s">
        <v>709</v>
      </c>
      <c r="H281" s="366"/>
      <c r="I281" s="366"/>
      <c r="J281" s="366"/>
      <c r="K281" s="366"/>
      <c r="L281" s="367"/>
      <c r="M281" s="22" t="s">
        <v>591</v>
      </c>
      <c r="N281" s="22" t="s">
        <v>592</v>
      </c>
      <c r="O281" s="22" t="s">
        <v>593</v>
      </c>
      <c r="P281" s="24" t="s">
        <v>594</v>
      </c>
      <c r="V281" s="7"/>
    </row>
    <row r="282" spans="2:22" ht="18" customHeight="1">
      <c r="B282" s="355" t="str">
        <f>HYPERLINK("#LAYOUT_m1!lay중YPSY4C03","YPSY4C03")</f>
        <v>YPSY4C03</v>
      </c>
      <c r="C282" s="355"/>
      <c r="E282" s="7"/>
      <c r="G282" s="366" t="s">
        <v>710</v>
      </c>
      <c r="H282" s="366"/>
      <c r="I282" s="366"/>
      <c r="J282" s="366"/>
      <c r="K282" s="366"/>
      <c r="L282" s="367"/>
      <c r="M282" s="22" t="s">
        <v>591</v>
      </c>
      <c r="N282" s="22" t="s">
        <v>592</v>
      </c>
      <c r="O282" s="22" t="s">
        <v>593</v>
      </c>
      <c r="P282" s="24" t="s">
        <v>594</v>
      </c>
      <c r="V282" s="7"/>
    </row>
    <row r="283" spans="2:22" ht="18" customHeight="1">
      <c r="B283" s="355" t="str">
        <f>HYPERLINK("#LAYOUT_m1!lay중YPSY4C04","YPSY4C04")</f>
        <v>YPSY4C04</v>
      </c>
      <c r="C283" s="355"/>
      <c r="E283" s="7"/>
      <c r="G283" s="366" t="s">
        <v>711</v>
      </c>
      <c r="H283" s="366"/>
      <c r="I283" s="366"/>
      <c r="J283" s="366"/>
      <c r="K283" s="366"/>
      <c r="L283" s="367"/>
      <c r="M283" s="22" t="s">
        <v>591</v>
      </c>
      <c r="N283" s="22" t="s">
        <v>592</v>
      </c>
      <c r="O283" s="22" t="s">
        <v>593</v>
      </c>
      <c r="P283" s="24" t="s">
        <v>594</v>
      </c>
      <c r="V283" s="7"/>
    </row>
    <row r="284" spans="2:22" ht="18" customHeight="1">
      <c r="B284" s="355" t="str">
        <f>HYPERLINK("#LAYOUT_m1!lay중YPSY4C05","YPSY4C05")</f>
        <v>YPSY4C05</v>
      </c>
      <c r="C284" s="355"/>
      <c r="E284" s="7"/>
      <c r="G284" s="366" t="s">
        <v>712</v>
      </c>
      <c r="H284" s="366"/>
      <c r="I284" s="366"/>
      <c r="J284" s="366"/>
      <c r="K284" s="366"/>
      <c r="L284" s="367"/>
      <c r="M284" s="22" t="s">
        <v>591</v>
      </c>
      <c r="N284" s="22" t="s">
        <v>592</v>
      </c>
      <c r="O284" s="22" t="s">
        <v>593</v>
      </c>
      <c r="P284" s="24" t="s">
        <v>594</v>
      </c>
      <c r="V284" s="7"/>
    </row>
    <row r="285" spans="2:22" ht="18" customHeight="1">
      <c r="B285" s="355" t="str">
        <f>HYPERLINK("#LAYOUT_m1!lay중YPSY4C06","YPSY4C06")</f>
        <v>YPSY4C06</v>
      </c>
      <c r="C285" s="355"/>
      <c r="E285" s="7"/>
      <c r="G285" s="366" t="s">
        <v>713</v>
      </c>
      <c r="H285" s="366"/>
      <c r="I285" s="366"/>
      <c r="J285" s="366"/>
      <c r="K285" s="366"/>
      <c r="L285" s="367"/>
      <c r="M285" s="22" t="s">
        <v>591</v>
      </c>
      <c r="N285" s="22" t="s">
        <v>592</v>
      </c>
      <c r="O285" s="22" t="s">
        <v>593</v>
      </c>
      <c r="P285" s="24" t="s">
        <v>594</v>
      </c>
      <c r="V285" s="7"/>
    </row>
    <row r="286" spans="2:22" ht="18" customHeight="1">
      <c r="B286" s="355" t="str">
        <f>HYPERLINK("#LAYOUT_m1!lay중YPSY4C07","YPSY4C07")</f>
        <v>YPSY4C07</v>
      </c>
      <c r="C286" s="355"/>
      <c r="E286" s="7"/>
      <c r="G286" s="366" t="s">
        <v>714</v>
      </c>
      <c r="H286" s="366"/>
      <c r="I286" s="366"/>
      <c r="J286" s="366"/>
      <c r="K286" s="366"/>
      <c r="L286" s="367"/>
      <c r="M286" s="22" t="s">
        <v>591</v>
      </c>
      <c r="N286" s="22" t="s">
        <v>592</v>
      </c>
      <c r="O286" s="22" t="s">
        <v>593</v>
      </c>
      <c r="P286" s="24" t="s">
        <v>594</v>
      </c>
      <c r="V286" s="7"/>
    </row>
    <row r="287" spans="2:22" ht="18" customHeight="1">
      <c r="B287" s="355" t="str">
        <f>HYPERLINK("#LAYOUT_m1!lay중YPSY4C08","YPSY4C08")</f>
        <v>YPSY4C08</v>
      </c>
      <c r="C287" s="355"/>
      <c r="E287" s="7"/>
      <c r="G287" s="366" t="s">
        <v>715</v>
      </c>
      <c r="H287" s="366"/>
      <c r="I287" s="366"/>
      <c r="J287" s="366"/>
      <c r="K287" s="366"/>
      <c r="L287" s="367"/>
      <c r="M287" s="22" t="s">
        <v>591</v>
      </c>
      <c r="N287" s="22" t="s">
        <v>592</v>
      </c>
      <c r="O287" s="22" t="s">
        <v>593</v>
      </c>
      <c r="P287" s="24" t="s">
        <v>594</v>
      </c>
      <c r="V287" s="7"/>
    </row>
    <row r="288" spans="2:22" ht="18" customHeight="1">
      <c r="B288" s="355" t="str">
        <f>HYPERLINK("#LAYOUT_m1!lay중YPSY4D01","YPSY4D01")</f>
        <v>YPSY4D01</v>
      </c>
      <c r="C288" s="355"/>
      <c r="E288" s="7"/>
      <c r="G288" s="366" t="s">
        <v>716</v>
      </c>
      <c r="H288" s="366"/>
      <c r="I288" s="366"/>
      <c r="J288" s="366"/>
      <c r="K288" s="366"/>
      <c r="L288" s="367"/>
      <c r="M288" s="22" t="s">
        <v>591</v>
      </c>
      <c r="N288" s="22" t="s">
        <v>592</v>
      </c>
      <c r="O288" s="22" t="s">
        <v>593</v>
      </c>
      <c r="P288" s="24" t="s">
        <v>594</v>
      </c>
      <c r="V288" s="7"/>
    </row>
    <row r="289" spans="2:22" ht="18" customHeight="1">
      <c r="B289" s="355" t="str">
        <f>HYPERLINK("#LAYOUT_m1!lay중YPSY4D02","YPSY4D02")</f>
        <v>YPSY4D02</v>
      </c>
      <c r="C289" s="355"/>
      <c r="E289" s="7"/>
      <c r="G289" s="366" t="s">
        <v>717</v>
      </c>
      <c r="H289" s="366"/>
      <c r="I289" s="366"/>
      <c r="J289" s="366"/>
      <c r="K289" s="366"/>
      <c r="L289" s="367"/>
      <c r="M289" s="22" t="s">
        <v>591</v>
      </c>
      <c r="N289" s="22" t="s">
        <v>592</v>
      </c>
      <c r="O289" s="22" t="s">
        <v>593</v>
      </c>
      <c r="P289" s="24" t="s">
        <v>594</v>
      </c>
      <c r="V289" s="7"/>
    </row>
    <row r="290" spans="2:22" ht="18" customHeight="1">
      <c r="B290" s="355" t="str">
        <f>HYPERLINK("#LAYOUT_m1!lay중YPSY4D03","YPSY4D03")</f>
        <v>YPSY4D03</v>
      </c>
      <c r="C290" s="355"/>
      <c r="E290" s="7"/>
      <c r="G290" s="366" t="s">
        <v>718</v>
      </c>
      <c r="H290" s="366"/>
      <c r="I290" s="366"/>
      <c r="J290" s="366"/>
      <c r="K290" s="366"/>
      <c r="L290" s="367"/>
      <c r="M290" s="22" t="s">
        <v>591</v>
      </c>
      <c r="N290" s="22" t="s">
        <v>592</v>
      </c>
      <c r="O290" s="22" t="s">
        <v>593</v>
      </c>
      <c r="P290" s="24" t="s">
        <v>594</v>
      </c>
      <c r="V290" s="7"/>
    </row>
    <row r="291" spans="2:22" ht="18" customHeight="1">
      <c r="B291" s="355" t="str">
        <f>HYPERLINK("#LAYOUT_m1!lay중YPSY4D04","YPSY4D04")</f>
        <v>YPSY4D04</v>
      </c>
      <c r="C291" s="355"/>
      <c r="E291" s="7"/>
      <c r="G291" s="366" t="s">
        <v>719</v>
      </c>
      <c r="H291" s="366"/>
      <c r="I291" s="366"/>
      <c r="J291" s="366"/>
      <c r="K291" s="366"/>
      <c r="L291" s="367"/>
      <c r="M291" s="22" t="s">
        <v>591</v>
      </c>
      <c r="N291" s="22" t="s">
        <v>592</v>
      </c>
      <c r="O291" s="22" t="s">
        <v>593</v>
      </c>
      <c r="P291" s="24" t="s">
        <v>594</v>
      </c>
      <c r="V291" s="7"/>
    </row>
    <row r="292" spans="2:22" ht="18" customHeight="1">
      <c r="B292" s="355" t="str">
        <f>HYPERLINK("#LAYOUT_m1!lay중YPSY4D05","YPSY4D05")</f>
        <v>YPSY4D05</v>
      </c>
      <c r="C292" s="355"/>
      <c r="E292" s="7"/>
      <c r="G292" s="366" t="s">
        <v>720</v>
      </c>
      <c r="H292" s="366"/>
      <c r="I292" s="366"/>
      <c r="J292" s="366"/>
      <c r="K292" s="366"/>
      <c r="L292" s="367"/>
      <c r="M292" s="22" t="s">
        <v>591</v>
      </c>
      <c r="N292" s="22" t="s">
        <v>592</v>
      </c>
      <c r="O292" s="22" t="s">
        <v>593</v>
      </c>
      <c r="P292" s="24" t="s">
        <v>594</v>
      </c>
      <c r="V292" s="7"/>
    </row>
    <row r="293" spans="2:22" ht="18" customHeight="1">
      <c r="B293" s="355" t="str">
        <f>HYPERLINK("#LAYOUT_m1!lay중YPSY4E01","YPSY4E01")</f>
        <v>YPSY4E01</v>
      </c>
      <c r="C293" s="355"/>
      <c r="E293" s="7"/>
      <c r="G293" s="366" t="s">
        <v>721</v>
      </c>
      <c r="H293" s="366"/>
      <c r="I293" s="366"/>
      <c r="J293" s="366"/>
      <c r="K293" s="366"/>
      <c r="L293" s="367"/>
      <c r="M293" s="22" t="s">
        <v>591</v>
      </c>
      <c r="N293" s="22" t="s">
        <v>592</v>
      </c>
      <c r="O293" s="22" t="s">
        <v>593</v>
      </c>
      <c r="P293" s="24" t="s">
        <v>594</v>
      </c>
      <c r="V293" s="7"/>
    </row>
    <row r="294" spans="2:22" ht="18" customHeight="1">
      <c r="B294" s="355" t="str">
        <f>HYPERLINK("#LAYOUT_m1!lay중YPSY4E02","YPSY4E02")</f>
        <v>YPSY4E02</v>
      </c>
      <c r="C294" s="355"/>
      <c r="E294" s="7"/>
      <c r="G294" s="366" t="s">
        <v>722</v>
      </c>
      <c r="H294" s="366"/>
      <c r="I294" s="366"/>
      <c r="J294" s="366"/>
      <c r="K294" s="366"/>
      <c r="L294" s="367"/>
      <c r="M294" s="22" t="s">
        <v>591</v>
      </c>
      <c r="N294" s="22" t="s">
        <v>592</v>
      </c>
      <c r="O294" s="22" t="s">
        <v>593</v>
      </c>
      <c r="P294" s="24" t="s">
        <v>594</v>
      </c>
      <c r="V294" s="7"/>
    </row>
    <row r="295" spans="2:22" ht="18" customHeight="1">
      <c r="B295" s="355" t="str">
        <f>HYPERLINK("#LAYOUT_m1!lay중YPSY4E03","YPSY4E03")</f>
        <v>YPSY4E03</v>
      </c>
      <c r="C295" s="355"/>
      <c r="E295" s="7"/>
      <c r="G295" s="366" t="s">
        <v>723</v>
      </c>
      <c r="H295" s="366"/>
      <c r="I295" s="366"/>
      <c r="J295" s="366"/>
      <c r="K295" s="366"/>
      <c r="L295" s="367"/>
      <c r="M295" s="22" t="s">
        <v>591</v>
      </c>
      <c r="N295" s="22" t="s">
        <v>592</v>
      </c>
      <c r="O295" s="22" t="s">
        <v>593</v>
      </c>
      <c r="P295" s="24" t="s">
        <v>594</v>
      </c>
      <c r="V295" s="7"/>
    </row>
    <row r="296" spans="2:22" ht="18" customHeight="1">
      <c r="B296" s="355" t="str">
        <f>HYPERLINK("#LAYOUT_m1!lay중YPSY4E04","YPSY4E04")</f>
        <v>YPSY4E04</v>
      </c>
      <c r="C296" s="355"/>
      <c r="E296" s="7"/>
      <c r="G296" s="366" t="s">
        <v>724</v>
      </c>
      <c r="H296" s="366"/>
      <c r="I296" s="366"/>
      <c r="J296" s="366"/>
      <c r="K296" s="366"/>
      <c r="L296" s="367"/>
      <c r="M296" s="22" t="s">
        <v>591</v>
      </c>
      <c r="N296" s="22" t="s">
        <v>592</v>
      </c>
      <c r="O296" s="22" t="s">
        <v>593</v>
      </c>
      <c r="P296" s="24" t="s">
        <v>594</v>
      </c>
      <c r="V296" s="7"/>
    </row>
    <row r="297" spans="2:22" ht="18" customHeight="1">
      <c r="B297" s="355" t="str">
        <f>HYPERLINK("#LAYOUT_m1!lay중YPSY4E05","YPSY4E05")</f>
        <v>YPSY4E05</v>
      </c>
      <c r="C297" s="355"/>
      <c r="E297" s="7"/>
      <c r="G297" s="366" t="s">
        <v>725</v>
      </c>
      <c r="H297" s="366"/>
      <c r="I297" s="366"/>
      <c r="J297" s="366"/>
      <c r="K297" s="366"/>
      <c r="L297" s="367"/>
      <c r="M297" s="22" t="s">
        <v>591</v>
      </c>
      <c r="N297" s="22" t="s">
        <v>592</v>
      </c>
      <c r="O297" s="22" t="s">
        <v>593</v>
      </c>
      <c r="P297" s="24" t="s">
        <v>594</v>
      </c>
      <c r="V297" s="7"/>
    </row>
    <row r="298" spans="2:22" ht="18" customHeight="1">
      <c r="B298" s="355" t="str">
        <f>HYPERLINK("#LAYOUT_m1!lay중YPSY4E06","YPSY4E06")</f>
        <v>YPSY4E06</v>
      </c>
      <c r="C298" s="355"/>
      <c r="E298" s="7"/>
      <c r="G298" s="366" t="s">
        <v>726</v>
      </c>
      <c r="H298" s="366"/>
      <c r="I298" s="366"/>
      <c r="J298" s="366"/>
      <c r="K298" s="366"/>
      <c r="L298" s="367"/>
      <c r="M298" s="22" t="s">
        <v>591</v>
      </c>
      <c r="N298" s="22" t="s">
        <v>592</v>
      </c>
      <c r="O298" s="22" t="s">
        <v>593</v>
      </c>
      <c r="P298" s="24" t="s">
        <v>594</v>
      </c>
      <c r="V298" s="7"/>
    </row>
    <row r="299" spans="2:22" ht="18" customHeight="1">
      <c r="B299" s="355" t="str">
        <f>HYPERLINK("#LAYOUT_m1!lay중YPSY4E07","YPSY4E07")</f>
        <v>YPSY4E07</v>
      </c>
      <c r="C299" s="355"/>
      <c r="E299" s="7"/>
      <c r="G299" s="366" t="s">
        <v>727</v>
      </c>
      <c r="H299" s="366"/>
      <c r="I299" s="366"/>
      <c r="J299" s="366"/>
      <c r="K299" s="366"/>
      <c r="L299" s="367"/>
      <c r="M299" s="22" t="s">
        <v>591</v>
      </c>
      <c r="N299" s="22" t="s">
        <v>592</v>
      </c>
      <c r="O299" s="22" t="s">
        <v>593</v>
      </c>
      <c r="P299" s="24" t="s">
        <v>594</v>
      </c>
      <c r="V299" s="7"/>
    </row>
    <row r="300" spans="2:22" ht="18" customHeight="1">
      <c r="B300" s="355" t="str">
        <f>HYPERLINK("#LAYOUT_m1!lay중YPSY4E08","YPSY4E08")</f>
        <v>YPSY4E08</v>
      </c>
      <c r="C300" s="355"/>
      <c r="E300" s="7"/>
      <c r="G300" s="366" t="s">
        <v>728</v>
      </c>
      <c r="H300" s="366"/>
      <c r="I300" s="366"/>
      <c r="J300" s="366"/>
      <c r="K300" s="366"/>
      <c r="L300" s="367"/>
      <c r="M300" s="22" t="s">
        <v>591</v>
      </c>
      <c r="N300" s="22" t="s">
        <v>592</v>
      </c>
      <c r="O300" s="22" t="s">
        <v>593</v>
      </c>
      <c r="P300" s="24" t="s">
        <v>594</v>
      </c>
      <c r="V300" s="7"/>
    </row>
    <row r="301" spans="2:22" ht="18" customHeight="1">
      <c r="B301" s="355" t="str">
        <f>HYPERLINK("#LAYOUT_m1!lay중YPSY4E09","YPSY4E09")</f>
        <v>YPSY4E09</v>
      </c>
      <c r="C301" s="355"/>
      <c r="E301" s="7"/>
      <c r="G301" s="366" t="s">
        <v>729</v>
      </c>
      <c r="H301" s="366"/>
      <c r="I301" s="366"/>
      <c r="J301" s="366"/>
      <c r="K301" s="366"/>
      <c r="L301" s="367"/>
      <c r="M301" s="22" t="s">
        <v>591</v>
      </c>
      <c r="N301" s="22" t="s">
        <v>592</v>
      </c>
      <c r="O301" s="22" t="s">
        <v>593</v>
      </c>
      <c r="P301" s="24" t="s">
        <v>594</v>
      </c>
      <c r="V301" s="7"/>
    </row>
    <row r="302" spans="2:22" ht="18" customHeight="1">
      <c r="B302" s="355" t="str">
        <f>HYPERLINK("#LAYOUT_m1!lay중YPSY4E10","YPSY4E10")</f>
        <v>YPSY4E10</v>
      </c>
      <c r="C302" s="355"/>
      <c r="E302" s="7"/>
      <c r="G302" s="366" t="s">
        <v>730</v>
      </c>
      <c r="H302" s="366"/>
      <c r="I302" s="366"/>
      <c r="J302" s="366"/>
      <c r="K302" s="366"/>
      <c r="L302" s="367"/>
      <c r="M302" s="22" t="s">
        <v>591</v>
      </c>
      <c r="N302" s="22" t="s">
        <v>592</v>
      </c>
      <c r="O302" s="22" t="s">
        <v>593</v>
      </c>
      <c r="P302" s="24" t="s">
        <v>594</v>
      </c>
      <c r="V302" s="7"/>
    </row>
    <row r="303" spans="2:22" ht="18" customHeight="1">
      <c r="B303" s="195"/>
      <c r="C303" s="195"/>
      <c r="E303" s="7"/>
      <c r="V303" s="7"/>
    </row>
    <row r="304" spans="2:22" ht="18" customHeight="1">
      <c r="B304" s="195"/>
      <c r="C304" s="195"/>
      <c r="E304" s="7"/>
      <c r="V304" s="7"/>
    </row>
    <row r="305" spans="2:22" ht="18" customHeight="1" thickBot="1">
      <c r="B305" s="195"/>
      <c r="C305" s="195"/>
      <c r="E305" s="7"/>
      <c r="F305" s="6" t="s">
        <v>897</v>
      </c>
      <c r="V305" s="7"/>
    </row>
    <row r="306" spans="2:22" ht="31.5" thickTop="1" thickBot="1">
      <c r="B306" s="195"/>
      <c r="C306" s="195"/>
      <c r="E306" s="7"/>
      <c r="G306" s="397" t="s">
        <v>643</v>
      </c>
      <c r="H306" s="397"/>
      <c r="I306" s="397"/>
      <c r="J306" s="397"/>
      <c r="K306" s="397"/>
      <c r="L306" s="398"/>
      <c r="M306" s="9" t="s">
        <v>622</v>
      </c>
      <c r="N306" s="9" t="s">
        <v>623</v>
      </c>
      <c r="O306" s="9" t="s">
        <v>107</v>
      </c>
      <c r="P306" s="10" t="s">
        <v>108</v>
      </c>
      <c r="V306" s="7"/>
    </row>
    <row r="307" spans="2:22" ht="18" customHeight="1" thickTop="1">
      <c r="B307" s="355" t="str">
        <f>HYPERLINK("#LAYOUT_m1!lay중YPSY5A01","YPSY5A01")</f>
        <v>YPSY5A01</v>
      </c>
      <c r="C307" s="355"/>
      <c r="E307" s="7"/>
      <c r="G307" s="366" t="s">
        <v>732</v>
      </c>
      <c r="H307" s="366"/>
      <c r="I307" s="366"/>
      <c r="J307" s="366"/>
      <c r="K307" s="366"/>
      <c r="L307" s="367"/>
      <c r="M307" s="20" t="s">
        <v>591</v>
      </c>
      <c r="N307" s="20" t="s">
        <v>592</v>
      </c>
      <c r="O307" s="20" t="s">
        <v>593</v>
      </c>
      <c r="P307" s="25" t="s">
        <v>594</v>
      </c>
      <c r="V307" s="7"/>
    </row>
    <row r="308" spans="2:22" ht="18" customHeight="1">
      <c r="B308" s="355" t="str">
        <f>HYPERLINK("#LAYOUT_m1!lay중YPSY5A02","YPSY5A02")</f>
        <v>YPSY5A02</v>
      </c>
      <c r="C308" s="355"/>
      <c r="E308" s="7"/>
      <c r="G308" s="366" t="s">
        <v>733</v>
      </c>
      <c r="H308" s="366"/>
      <c r="I308" s="366"/>
      <c r="J308" s="366"/>
      <c r="K308" s="366"/>
      <c r="L308" s="367"/>
      <c r="M308" s="22" t="s">
        <v>591</v>
      </c>
      <c r="N308" s="22" t="s">
        <v>592</v>
      </c>
      <c r="O308" s="22" t="s">
        <v>593</v>
      </c>
      <c r="P308" s="24" t="s">
        <v>594</v>
      </c>
      <c r="V308" s="7"/>
    </row>
    <row r="309" spans="2:22" ht="18" customHeight="1">
      <c r="B309" s="355" t="str">
        <f>HYPERLINK("#LAYOUT_m1!lay중YPSY5A03","YPSY5A03")</f>
        <v>YPSY5A03</v>
      </c>
      <c r="C309" s="355"/>
      <c r="E309" s="7"/>
      <c r="G309" s="366" t="s">
        <v>734</v>
      </c>
      <c r="H309" s="366"/>
      <c r="I309" s="366"/>
      <c r="J309" s="366"/>
      <c r="K309" s="366"/>
      <c r="L309" s="367"/>
      <c r="M309" s="22" t="s">
        <v>591</v>
      </c>
      <c r="N309" s="22" t="s">
        <v>592</v>
      </c>
      <c r="O309" s="22" t="s">
        <v>593</v>
      </c>
      <c r="P309" s="24" t="s">
        <v>594</v>
      </c>
      <c r="V309" s="7"/>
    </row>
    <row r="310" spans="2:22" ht="18" customHeight="1">
      <c r="B310" s="355" t="str">
        <f>HYPERLINK("#LAYOUT_m1!lay중YPSY5A04","YPSY5A04")</f>
        <v>YPSY5A04</v>
      </c>
      <c r="C310" s="355"/>
      <c r="E310" s="7"/>
      <c r="G310" s="366" t="s">
        <v>735</v>
      </c>
      <c r="H310" s="366"/>
      <c r="I310" s="366"/>
      <c r="J310" s="366"/>
      <c r="K310" s="366"/>
      <c r="L310" s="367"/>
      <c r="M310" s="22" t="s">
        <v>591</v>
      </c>
      <c r="N310" s="22" t="s">
        <v>592</v>
      </c>
      <c r="O310" s="22" t="s">
        <v>593</v>
      </c>
      <c r="P310" s="24" t="s">
        <v>594</v>
      </c>
      <c r="V310" s="7"/>
    </row>
    <row r="311" spans="2:22" ht="18" customHeight="1">
      <c r="B311" s="355" t="str">
        <f>HYPERLINK("#LAYOUT_m1!lay중YPSY5A05","YPSY5A05")</f>
        <v>YPSY5A05</v>
      </c>
      <c r="C311" s="355"/>
      <c r="E311" s="7"/>
      <c r="G311" s="366" t="s">
        <v>736</v>
      </c>
      <c r="H311" s="366"/>
      <c r="I311" s="366"/>
      <c r="J311" s="366"/>
      <c r="K311" s="366"/>
      <c r="L311" s="367"/>
      <c r="M311" s="22" t="s">
        <v>591</v>
      </c>
      <c r="N311" s="22" t="s">
        <v>592</v>
      </c>
      <c r="O311" s="22" t="s">
        <v>593</v>
      </c>
      <c r="P311" s="24" t="s">
        <v>594</v>
      </c>
      <c r="V311" s="7"/>
    </row>
    <row r="312" spans="2:22" ht="18" customHeight="1">
      <c r="B312" s="355" t="str">
        <f>HYPERLINK("#LAYOUT_m1!lay중YPSY5A06","YPSY5A06")</f>
        <v>YPSY5A06</v>
      </c>
      <c r="C312" s="355"/>
      <c r="E312" s="7"/>
      <c r="G312" s="366" t="s">
        <v>737</v>
      </c>
      <c r="H312" s="366"/>
      <c r="I312" s="366"/>
      <c r="J312" s="366"/>
      <c r="K312" s="366"/>
      <c r="L312" s="367"/>
      <c r="M312" s="22" t="s">
        <v>591</v>
      </c>
      <c r="N312" s="22" t="s">
        <v>592</v>
      </c>
      <c r="O312" s="22" t="s">
        <v>593</v>
      </c>
      <c r="P312" s="24" t="s">
        <v>594</v>
      </c>
      <c r="V312" s="7"/>
    </row>
    <row r="313" spans="2:22" ht="18" customHeight="1">
      <c r="B313" s="355" t="str">
        <f>HYPERLINK("#LAYOUT_m1!lay중YPSY5A07","YPSY5A07")</f>
        <v>YPSY5A07</v>
      </c>
      <c r="C313" s="355"/>
      <c r="E313" s="7"/>
      <c r="G313" s="366" t="s">
        <v>738</v>
      </c>
      <c r="H313" s="366"/>
      <c r="I313" s="366"/>
      <c r="J313" s="366"/>
      <c r="K313" s="366"/>
      <c r="L313" s="367"/>
      <c r="M313" s="22" t="s">
        <v>591</v>
      </c>
      <c r="N313" s="22" t="s">
        <v>592</v>
      </c>
      <c r="O313" s="22" t="s">
        <v>593</v>
      </c>
      <c r="P313" s="24" t="s">
        <v>594</v>
      </c>
      <c r="V313" s="7"/>
    </row>
    <row r="314" spans="2:22" ht="18" customHeight="1">
      <c r="B314" s="355" t="str">
        <f>HYPERLINK("#LAYOUT_m1!lay중YPSY5A08","YPSY5A08")</f>
        <v>YPSY5A08</v>
      </c>
      <c r="C314" s="355"/>
      <c r="E314" s="7"/>
      <c r="G314" s="366" t="s">
        <v>739</v>
      </c>
      <c r="H314" s="366"/>
      <c r="I314" s="366"/>
      <c r="J314" s="366"/>
      <c r="K314" s="366"/>
      <c r="L314" s="367"/>
      <c r="M314" s="22" t="s">
        <v>591</v>
      </c>
      <c r="N314" s="22" t="s">
        <v>592</v>
      </c>
      <c r="O314" s="22" t="s">
        <v>593</v>
      </c>
      <c r="P314" s="24" t="s">
        <v>594</v>
      </c>
      <c r="V314" s="7"/>
    </row>
    <row r="315" spans="2:22" ht="18" customHeight="1">
      <c r="B315" s="355" t="str">
        <f>HYPERLINK("#LAYOUT_m1!lay중YPSY5A09","YPSY5A09")</f>
        <v>YPSY5A09</v>
      </c>
      <c r="C315" s="355"/>
      <c r="E315" s="7"/>
      <c r="G315" s="366" t="s">
        <v>740</v>
      </c>
      <c r="H315" s="366"/>
      <c r="I315" s="366"/>
      <c r="J315" s="366"/>
      <c r="K315" s="366"/>
      <c r="L315" s="367"/>
      <c r="M315" s="22" t="s">
        <v>591</v>
      </c>
      <c r="N315" s="22" t="s">
        <v>592</v>
      </c>
      <c r="O315" s="22" t="s">
        <v>593</v>
      </c>
      <c r="P315" s="24" t="s">
        <v>594</v>
      </c>
      <c r="V315" s="7"/>
    </row>
    <row r="316" spans="2:22" ht="18" customHeight="1">
      <c r="B316" s="355" t="str">
        <f>HYPERLINK("#LAYOUT_m1!lay중YPSY5A10","YPSY5A10")</f>
        <v>YPSY5A10</v>
      </c>
      <c r="C316" s="355"/>
      <c r="E316" s="7"/>
      <c r="G316" s="366" t="s">
        <v>741</v>
      </c>
      <c r="H316" s="366"/>
      <c r="I316" s="366"/>
      <c r="J316" s="366"/>
      <c r="K316" s="366"/>
      <c r="L316" s="367"/>
      <c r="M316" s="22" t="s">
        <v>591</v>
      </c>
      <c r="N316" s="22" t="s">
        <v>592</v>
      </c>
      <c r="O316" s="22" t="s">
        <v>593</v>
      </c>
      <c r="P316" s="24" t="s">
        <v>594</v>
      </c>
      <c r="V316" s="7"/>
    </row>
    <row r="317" spans="2:22" ht="18" customHeight="1">
      <c r="B317" s="355" t="str">
        <f>HYPERLINK("#LAYOUT_m1!lay중YPSY5A11","YPSY5A11")</f>
        <v>YPSY5A11</v>
      </c>
      <c r="C317" s="355"/>
      <c r="E317" s="7"/>
      <c r="G317" s="366" t="s">
        <v>742</v>
      </c>
      <c r="H317" s="366"/>
      <c r="I317" s="366"/>
      <c r="J317" s="366"/>
      <c r="K317" s="366"/>
      <c r="L317" s="367"/>
      <c r="M317" s="22" t="s">
        <v>591</v>
      </c>
      <c r="N317" s="22" t="s">
        <v>592</v>
      </c>
      <c r="O317" s="22" t="s">
        <v>593</v>
      </c>
      <c r="P317" s="24" t="s">
        <v>594</v>
      </c>
      <c r="V317" s="7"/>
    </row>
    <row r="318" spans="2:22" ht="18" customHeight="1">
      <c r="B318" s="355" t="str">
        <f>HYPERLINK("#LAYOUT_m1!lay중YPSY5A12","YPSY5A12")</f>
        <v>YPSY5A12</v>
      </c>
      <c r="C318" s="355"/>
      <c r="E318" s="7"/>
      <c r="G318" s="366" t="s">
        <v>743</v>
      </c>
      <c r="H318" s="366"/>
      <c r="I318" s="366"/>
      <c r="J318" s="366"/>
      <c r="K318" s="366"/>
      <c r="L318" s="367"/>
      <c r="M318" s="22" t="s">
        <v>591</v>
      </c>
      <c r="N318" s="22" t="s">
        <v>592</v>
      </c>
      <c r="O318" s="22" t="s">
        <v>593</v>
      </c>
      <c r="P318" s="24" t="s">
        <v>594</v>
      </c>
      <c r="V318" s="7"/>
    </row>
    <row r="319" spans="2:22" ht="18" customHeight="1">
      <c r="B319" s="355" t="str">
        <f>HYPERLINK("#LAYOUT_m1!lay중YPSY5A13","YPSY5A13")</f>
        <v>YPSY5A13</v>
      </c>
      <c r="C319" s="355"/>
      <c r="E319" s="7"/>
      <c r="G319" s="366" t="s">
        <v>744</v>
      </c>
      <c r="H319" s="366"/>
      <c r="I319" s="366"/>
      <c r="J319" s="366"/>
      <c r="K319" s="366"/>
      <c r="L319" s="367"/>
      <c r="M319" s="22" t="s">
        <v>591</v>
      </c>
      <c r="N319" s="22" t="s">
        <v>592</v>
      </c>
      <c r="O319" s="22" t="s">
        <v>593</v>
      </c>
      <c r="P319" s="24" t="s">
        <v>594</v>
      </c>
      <c r="V319" s="7"/>
    </row>
    <row r="320" spans="2:22" ht="18" customHeight="1">
      <c r="B320" s="355" t="str">
        <f>HYPERLINK("#LAYOUT_m1!lay중YPSY5A14","YPSY5A14")</f>
        <v>YPSY5A14</v>
      </c>
      <c r="C320" s="355"/>
      <c r="E320" s="7"/>
      <c r="G320" s="366" t="s">
        <v>745</v>
      </c>
      <c r="H320" s="366"/>
      <c r="I320" s="366"/>
      <c r="J320" s="366"/>
      <c r="K320" s="366"/>
      <c r="L320" s="367"/>
      <c r="M320" s="22" t="s">
        <v>591</v>
      </c>
      <c r="N320" s="22" t="s">
        <v>592</v>
      </c>
      <c r="O320" s="22" t="s">
        <v>593</v>
      </c>
      <c r="P320" s="24" t="s">
        <v>594</v>
      </c>
      <c r="V320" s="7"/>
    </row>
    <row r="321" spans="2:22" ht="18" customHeight="1">
      <c r="B321" s="195"/>
      <c r="C321" s="195"/>
      <c r="E321" s="7"/>
      <c r="G321" s="28"/>
      <c r="H321" s="28"/>
      <c r="I321" s="28"/>
      <c r="J321" s="28"/>
      <c r="K321" s="28"/>
      <c r="L321" s="28"/>
      <c r="M321" s="11"/>
      <c r="N321" s="11"/>
      <c r="O321" s="11"/>
      <c r="P321" s="11"/>
      <c r="V321" s="7"/>
    </row>
    <row r="322" spans="2:22" ht="18" customHeight="1">
      <c r="B322" s="195"/>
      <c r="C322" s="195"/>
      <c r="E322" s="7"/>
      <c r="G322" s="28"/>
      <c r="H322" s="28"/>
      <c r="I322" s="28"/>
      <c r="J322" s="28"/>
      <c r="K322" s="28"/>
      <c r="L322" s="28"/>
      <c r="M322" s="11"/>
      <c r="N322" s="11"/>
      <c r="O322" s="11"/>
      <c r="P322" s="11"/>
      <c r="V322" s="7"/>
    </row>
    <row r="323" spans="2:22" ht="18" customHeight="1" thickBot="1">
      <c r="B323" s="195"/>
      <c r="C323" s="195"/>
      <c r="E323" s="7"/>
      <c r="F323" s="6" t="s">
        <v>898</v>
      </c>
      <c r="G323" s="28"/>
      <c r="H323" s="28"/>
      <c r="I323" s="28"/>
      <c r="J323" s="28"/>
      <c r="K323" s="28"/>
      <c r="L323" s="28"/>
      <c r="M323" s="11"/>
      <c r="N323" s="11"/>
      <c r="O323" s="11"/>
      <c r="P323" s="11"/>
      <c r="V323" s="7"/>
    </row>
    <row r="324" spans="2:22" ht="18" customHeight="1" thickTop="1" thickBot="1">
      <c r="B324" s="195"/>
      <c r="C324" s="195"/>
      <c r="E324" s="7"/>
      <c r="G324" s="368" t="s">
        <v>899</v>
      </c>
      <c r="H324" s="368"/>
      <c r="I324" s="409"/>
      <c r="J324" s="52" t="s">
        <v>900</v>
      </c>
      <c r="K324" s="418" t="s">
        <v>899</v>
      </c>
      <c r="L324" s="368"/>
      <c r="M324" s="409"/>
      <c r="N324" s="53" t="s">
        <v>900</v>
      </c>
      <c r="V324" s="7"/>
    </row>
    <row r="325" spans="2:22" ht="18" customHeight="1" thickTop="1">
      <c r="B325" s="195" t="str">
        <f>HYPERLINK("#LAYOUT_m1!lay중YPSY6A01","YPSY6A01")</f>
        <v>YPSY6A01</v>
      </c>
      <c r="C325" s="195" t="str">
        <f>HYPERLINK("#LAYOUT_m1!lay중YPSY6A02","YPSY6A02")</f>
        <v>YPSY6A02</v>
      </c>
      <c r="E325" s="7"/>
      <c r="G325" s="420" t="s">
        <v>384</v>
      </c>
      <c r="H325" s="420"/>
      <c r="I325" s="421"/>
      <c r="J325" s="54"/>
      <c r="K325" s="419" t="s">
        <v>387</v>
      </c>
      <c r="L325" s="420"/>
      <c r="M325" s="421"/>
      <c r="N325" s="55"/>
      <c r="V325" s="7"/>
    </row>
    <row r="326" spans="2:22" ht="18" customHeight="1">
      <c r="B326" s="195" t="str">
        <f>HYPERLINK("#LAYOUT_m1!lay중YPSY6A03","YPSY6A03")</f>
        <v>YPSY6A03</v>
      </c>
      <c r="C326" s="195" t="str">
        <f>HYPERLINK("#LAYOUT_m1!lay중YPSY6A04","YPSY6A04")</f>
        <v>YPSY6A04</v>
      </c>
      <c r="E326" s="7"/>
      <c r="G326" s="411" t="s">
        <v>388</v>
      </c>
      <c r="H326" s="411"/>
      <c r="I326" s="412"/>
      <c r="J326" s="56"/>
      <c r="K326" s="410" t="s">
        <v>389</v>
      </c>
      <c r="L326" s="411"/>
      <c r="M326" s="412"/>
      <c r="N326" s="57"/>
      <c r="V326" s="7"/>
    </row>
    <row r="327" spans="2:22" ht="18" customHeight="1">
      <c r="B327" s="195" t="str">
        <f>HYPERLINK("#LAYOUT_m1!lay중YPSY6A05","YPSY6A05")</f>
        <v>YPSY6A05</v>
      </c>
      <c r="C327" s="195" t="str">
        <f>HYPERLINK("#LAYOUT_m1!lay중YPSY6A06","YPSY6A06")</f>
        <v>YPSY6A06</v>
      </c>
      <c r="E327" s="7"/>
      <c r="G327" s="411" t="s">
        <v>390</v>
      </c>
      <c r="H327" s="411"/>
      <c r="I327" s="412"/>
      <c r="J327" s="56"/>
      <c r="K327" s="410" t="s">
        <v>391</v>
      </c>
      <c r="L327" s="411"/>
      <c r="M327" s="412"/>
      <c r="N327" s="57"/>
      <c r="V327" s="7"/>
    </row>
    <row r="328" spans="2:22" ht="18" customHeight="1">
      <c r="B328" s="195" t="str">
        <f>HYPERLINK("#LAYOUT_m1!lay중YPSY6A07","YPSY6A07")</f>
        <v>YPSY6A07</v>
      </c>
      <c r="C328" s="195" t="str">
        <f>HYPERLINK("#LAYOUT_m1!lay중YPSY6A08","YPSY6A08")</f>
        <v>YPSY6A08</v>
      </c>
      <c r="E328" s="7"/>
      <c r="G328" s="411" t="s">
        <v>392</v>
      </c>
      <c r="H328" s="411"/>
      <c r="I328" s="412"/>
      <c r="J328" s="56"/>
      <c r="K328" s="410" t="s">
        <v>393</v>
      </c>
      <c r="L328" s="411"/>
      <c r="M328" s="412"/>
      <c r="N328" s="57"/>
      <c r="V328" s="7"/>
    </row>
    <row r="329" spans="2:22" ht="18" customHeight="1">
      <c r="B329" s="195" t="str">
        <f>HYPERLINK("#LAYOUT_m1!lay중YPSY6A09","YPSY6A09")</f>
        <v>YPSY6A09</v>
      </c>
      <c r="C329" s="195" t="str">
        <f>HYPERLINK("#LAYOUT_m1!lay중YPSY6A10","YPSY6A10")</f>
        <v>YPSY6A10</v>
      </c>
      <c r="E329" s="7"/>
      <c r="G329" s="411" t="s">
        <v>394</v>
      </c>
      <c r="H329" s="411"/>
      <c r="I329" s="412"/>
      <c r="J329" s="56"/>
      <c r="K329" s="410" t="s">
        <v>395</v>
      </c>
      <c r="L329" s="411"/>
      <c r="M329" s="412"/>
      <c r="N329" s="57"/>
      <c r="V329" s="7"/>
    </row>
    <row r="330" spans="2:22" ht="18" customHeight="1">
      <c r="B330" s="195" t="str">
        <f>HYPERLINK("#LAYOUT_m1!lay중YPSY6A11","YPSY6A11")</f>
        <v>YPSY6A11</v>
      </c>
      <c r="C330" s="195" t="str">
        <f>HYPERLINK("#LAYOUT_m1!lay중YPSY6A12","YPSY6A12")</f>
        <v>YPSY6A12</v>
      </c>
      <c r="E330" s="7"/>
      <c r="G330" s="411" t="s">
        <v>396</v>
      </c>
      <c r="H330" s="411"/>
      <c r="I330" s="412"/>
      <c r="J330" s="56"/>
      <c r="K330" s="410" t="s">
        <v>397</v>
      </c>
      <c r="L330" s="411"/>
      <c r="M330" s="412"/>
      <c r="N330" s="57"/>
      <c r="V330" s="7"/>
    </row>
    <row r="331" spans="2:22" ht="18" customHeight="1">
      <c r="B331" s="195" t="str">
        <f>HYPERLINK("#LAYOUT_m1!lay중YPSY6A13","YPSY6A13")</f>
        <v>YPSY6A13</v>
      </c>
      <c r="C331" s="195" t="str">
        <f>HYPERLINK("#LAYOUT_m1!lay중YPSY6A14","YPSY6A14")</f>
        <v>YPSY6A14</v>
      </c>
      <c r="E331" s="7"/>
      <c r="G331" s="411" t="s">
        <v>398</v>
      </c>
      <c r="H331" s="411"/>
      <c r="I331" s="412"/>
      <c r="J331" s="56"/>
      <c r="K331" s="410" t="s">
        <v>399</v>
      </c>
      <c r="L331" s="411"/>
      <c r="M331" s="412"/>
      <c r="N331" s="57"/>
      <c r="V331" s="7"/>
    </row>
    <row r="332" spans="2:22" ht="18" customHeight="1">
      <c r="B332" s="195" t="str">
        <f>HYPERLINK("#LAYOUT_m1!lay중YPSY6A15","YPSY6A15")</f>
        <v>YPSY6A15</v>
      </c>
      <c r="C332" s="195" t="str">
        <f>HYPERLINK("#LAYOUT_m1!lay중YPSY6A16","YPSY6A16")</f>
        <v>YPSY6A16</v>
      </c>
      <c r="E332" s="7"/>
      <c r="G332" s="411" t="s">
        <v>400</v>
      </c>
      <c r="H332" s="411"/>
      <c r="I332" s="412"/>
      <c r="J332" s="56"/>
      <c r="K332" s="410" t="s">
        <v>401</v>
      </c>
      <c r="L332" s="411"/>
      <c r="M332" s="412"/>
      <c r="N332" s="57"/>
      <c r="V332" s="7"/>
    </row>
    <row r="333" spans="2:22" ht="18" customHeight="1">
      <c r="B333" s="195" t="str">
        <f>HYPERLINK("#LAYOUT_m1!lay중YPSY6A17","YPSY6A17")</f>
        <v>YPSY6A17</v>
      </c>
      <c r="C333" s="195" t="str">
        <f>HYPERLINK("#LAYOUT_m1!lay중YPSY6A18","YPSY6A18")</f>
        <v>YPSY6A18</v>
      </c>
      <c r="E333" s="7"/>
      <c r="G333" s="411" t="s">
        <v>402</v>
      </c>
      <c r="H333" s="411"/>
      <c r="I333" s="412"/>
      <c r="J333" s="56"/>
      <c r="K333" s="410" t="s">
        <v>403</v>
      </c>
      <c r="L333" s="411"/>
      <c r="M333" s="412"/>
      <c r="N333" s="57"/>
      <c r="V333" s="7"/>
    </row>
    <row r="334" spans="2:22" ht="18" customHeight="1">
      <c r="B334" s="195" t="str">
        <f>HYPERLINK("#LAYOUT_m1!lay중YPSY6A19","YPSY6A19")</f>
        <v>YPSY6A19</v>
      </c>
      <c r="C334" s="195" t="str">
        <f>HYPERLINK("#LAYOUT_m1!lay중YPSY6A20","YPSY6A20")</f>
        <v>YPSY6A20</v>
      </c>
      <c r="E334" s="7"/>
      <c r="G334" s="411" t="s">
        <v>404</v>
      </c>
      <c r="H334" s="411"/>
      <c r="I334" s="412"/>
      <c r="J334" s="56"/>
      <c r="K334" s="410" t="s">
        <v>405</v>
      </c>
      <c r="L334" s="411"/>
      <c r="M334" s="412"/>
      <c r="N334" s="57"/>
      <c r="V334" s="7"/>
    </row>
    <row r="335" spans="2:22" ht="18" customHeight="1">
      <c r="B335" s="195" t="str">
        <f>HYPERLINK("#LAYOUT_m1!lay중YPSY6A21","YPSY6A21")</f>
        <v>YPSY6A21</v>
      </c>
      <c r="C335" s="195" t="str">
        <f>HYPERLINK("#LAYOUT_m1!lay중YPSY6A22","YPSY6A22")</f>
        <v>YPSY6A22</v>
      </c>
      <c r="E335" s="7"/>
      <c r="G335" s="411" t="s">
        <v>406</v>
      </c>
      <c r="H335" s="411"/>
      <c r="I335" s="412"/>
      <c r="J335" s="56"/>
      <c r="K335" s="410" t="s">
        <v>407</v>
      </c>
      <c r="L335" s="411"/>
      <c r="M335" s="412"/>
      <c r="N335" s="57"/>
      <c r="V335" s="7"/>
    </row>
    <row r="336" spans="2:22" ht="18" customHeight="1">
      <c r="B336" s="195" t="str">
        <f>HYPERLINK("#LAYOUT_m1!lay중YPSY6A23","YPSY6A23")</f>
        <v>YPSY6A23</v>
      </c>
      <c r="C336" s="195" t="str">
        <f>HYPERLINK("#LAYOUT_m1!lay중YPSY6A24","YPSY6A24")</f>
        <v>YPSY6A24</v>
      </c>
      <c r="E336" s="7"/>
      <c r="G336" s="411" t="s">
        <v>408</v>
      </c>
      <c r="H336" s="411"/>
      <c r="I336" s="412"/>
      <c r="J336" s="56"/>
      <c r="K336" s="410" t="s">
        <v>409</v>
      </c>
      <c r="L336" s="411"/>
      <c r="M336" s="412"/>
      <c r="N336" s="57"/>
      <c r="V336" s="7"/>
    </row>
    <row r="337" spans="2:22" ht="18" customHeight="1">
      <c r="B337" s="195" t="str">
        <f>HYPERLINK("#LAYOUT_m1!lay중YPSY6A25","YPSY6A25")</f>
        <v>YPSY6A25</v>
      </c>
      <c r="C337" s="195" t="str">
        <f>HYPERLINK("#LAYOUT_m1!lay중YPSY6A26","YPSY6A26")</f>
        <v>YPSY6A26</v>
      </c>
      <c r="E337" s="7"/>
      <c r="G337" s="411" t="s">
        <v>410</v>
      </c>
      <c r="H337" s="411"/>
      <c r="I337" s="412"/>
      <c r="J337" s="56"/>
      <c r="K337" s="410" t="s">
        <v>411</v>
      </c>
      <c r="L337" s="411"/>
      <c r="M337" s="412"/>
      <c r="N337" s="57"/>
      <c r="V337" s="7"/>
    </row>
    <row r="338" spans="2:22" ht="18" customHeight="1">
      <c r="B338" s="195" t="str">
        <f>HYPERLINK("#LAYOUT_m1!lay중YPSY6A27","YPSY6A27")</f>
        <v>YPSY6A27</v>
      </c>
      <c r="C338" s="195" t="str">
        <f>HYPERLINK("#LAYOUT_m1!lay중YPSY6A28","YPSY6A28")</f>
        <v>YPSY6A28</v>
      </c>
      <c r="E338" s="7"/>
      <c r="G338" s="411" t="s">
        <v>412</v>
      </c>
      <c r="H338" s="411"/>
      <c r="I338" s="412"/>
      <c r="J338" s="56"/>
      <c r="K338" s="410" t="s">
        <v>413</v>
      </c>
      <c r="L338" s="411"/>
      <c r="M338" s="412"/>
      <c r="N338" s="57"/>
      <c r="V338" s="7"/>
    </row>
    <row r="339" spans="2:22" ht="18" customHeight="1">
      <c r="B339" s="195" t="str">
        <f>HYPERLINK("#LAYOUT_m1!lay중YPSY6A29","YPSY6A29")</f>
        <v>YPSY6A29</v>
      </c>
      <c r="C339" s="195" t="str">
        <f>HYPERLINK("#LAYOUT_m1!lay중YPSY6A30","YPSY6A30")</f>
        <v>YPSY6A30</v>
      </c>
      <c r="E339" s="7"/>
      <c r="G339" s="411" t="s">
        <v>414</v>
      </c>
      <c r="H339" s="411"/>
      <c r="I339" s="412"/>
      <c r="J339" s="56"/>
      <c r="K339" s="410" t="s">
        <v>415</v>
      </c>
      <c r="L339" s="411"/>
      <c r="M339" s="412"/>
      <c r="N339" s="57"/>
      <c r="V339" s="7"/>
    </row>
    <row r="340" spans="2:22" ht="18" customHeight="1">
      <c r="B340" s="195"/>
      <c r="C340" s="195"/>
      <c r="E340" s="7"/>
      <c r="G340" s="28"/>
      <c r="H340" s="28"/>
      <c r="I340" s="28"/>
      <c r="J340" s="28"/>
      <c r="K340" s="28"/>
      <c r="L340" s="28"/>
      <c r="M340" s="11"/>
      <c r="N340" s="11"/>
      <c r="O340" s="11"/>
      <c r="P340" s="11"/>
      <c r="V340" s="7"/>
    </row>
    <row r="341" spans="2:22" ht="18" customHeight="1">
      <c r="B341" s="195"/>
      <c r="C341" s="195"/>
      <c r="E341" s="7"/>
      <c r="G341" s="28"/>
      <c r="H341" s="28"/>
      <c r="I341" s="28"/>
      <c r="J341" s="28"/>
      <c r="K341" s="28"/>
      <c r="L341" s="28"/>
      <c r="M341" s="11"/>
      <c r="N341" s="11"/>
      <c r="O341" s="11"/>
      <c r="P341" s="11"/>
      <c r="V341" s="7"/>
    </row>
    <row r="342" spans="2:22" ht="18" customHeight="1" thickBot="1">
      <c r="B342" s="195"/>
      <c r="C342" s="195"/>
      <c r="E342" s="7"/>
      <c r="F342" s="6" t="s">
        <v>901</v>
      </c>
      <c r="V342" s="7"/>
    </row>
    <row r="343" spans="2:22" ht="31.5" thickTop="1" thickBot="1">
      <c r="B343" s="195"/>
      <c r="C343" s="195"/>
      <c r="E343" s="7"/>
      <c r="G343" s="397" t="s">
        <v>643</v>
      </c>
      <c r="H343" s="397"/>
      <c r="I343" s="397"/>
      <c r="J343" s="397"/>
      <c r="K343" s="397"/>
      <c r="L343" s="398"/>
      <c r="M343" s="9" t="s">
        <v>622</v>
      </c>
      <c r="N343" s="9" t="s">
        <v>623</v>
      </c>
      <c r="O343" s="9" t="s">
        <v>107</v>
      </c>
      <c r="P343" s="10" t="s">
        <v>108</v>
      </c>
      <c r="V343" s="7"/>
    </row>
    <row r="344" spans="2:22" ht="18" customHeight="1" thickTop="1">
      <c r="B344" s="355" t="str">
        <f>HYPERLINK("#LAYOUT_m1!lay중YPSY7A01","YPSY7A01")</f>
        <v>YPSY7A01</v>
      </c>
      <c r="C344" s="355"/>
      <c r="E344" s="7"/>
      <c r="G344" s="366" t="s">
        <v>747</v>
      </c>
      <c r="H344" s="366"/>
      <c r="I344" s="366"/>
      <c r="J344" s="366"/>
      <c r="K344" s="366"/>
      <c r="L344" s="367"/>
      <c r="M344" s="20" t="s">
        <v>591</v>
      </c>
      <c r="N344" s="20" t="s">
        <v>592</v>
      </c>
      <c r="O344" s="20" t="s">
        <v>593</v>
      </c>
      <c r="P344" s="25" t="s">
        <v>594</v>
      </c>
      <c r="V344" s="7"/>
    </row>
    <row r="345" spans="2:22" ht="31.5" customHeight="1">
      <c r="B345" s="355" t="str">
        <f>HYPERLINK("#LAYOUT_m1!lay중YPSY7A02","YPSY7A02")</f>
        <v>YPSY7A02</v>
      </c>
      <c r="C345" s="355"/>
      <c r="E345" s="7"/>
      <c r="G345" s="366" t="s">
        <v>748</v>
      </c>
      <c r="H345" s="366"/>
      <c r="I345" s="366"/>
      <c r="J345" s="366"/>
      <c r="K345" s="366"/>
      <c r="L345" s="367"/>
      <c r="M345" s="22" t="s">
        <v>591</v>
      </c>
      <c r="N345" s="22" t="s">
        <v>592</v>
      </c>
      <c r="O345" s="22" t="s">
        <v>593</v>
      </c>
      <c r="P345" s="24" t="s">
        <v>594</v>
      </c>
      <c r="V345" s="7"/>
    </row>
    <row r="346" spans="2:22" ht="18" customHeight="1">
      <c r="B346" s="355" t="str">
        <f>HYPERLINK("#LAYOUT_m1!lay중YPSY7A03","YPSY7A03")</f>
        <v>YPSY7A03</v>
      </c>
      <c r="C346" s="355"/>
      <c r="E346" s="7"/>
      <c r="G346" s="366" t="s">
        <v>749</v>
      </c>
      <c r="H346" s="366"/>
      <c r="I346" s="366"/>
      <c r="J346" s="366"/>
      <c r="K346" s="366"/>
      <c r="L346" s="367"/>
      <c r="M346" s="22" t="s">
        <v>591</v>
      </c>
      <c r="N346" s="22" t="s">
        <v>592</v>
      </c>
      <c r="O346" s="22" t="s">
        <v>593</v>
      </c>
      <c r="P346" s="24" t="s">
        <v>594</v>
      </c>
      <c r="V346" s="7"/>
    </row>
    <row r="347" spans="2:22" ht="18" customHeight="1">
      <c r="B347" s="355" t="str">
        <f>HYPERLINK("#LAYOUT_m1!lay중YPSY7A04","YPSY7A04")</f>
        <v>YPSY7A04</v>
      </c>
      <c r="C347" s="355"/>
      <c r="E347" s="7"/>
      <c r="G347" s="366" t="s">
        <v>750</v>
      </c>
      <c r="H347" s="366"/>
      <c r="I347" s="366"/>
      <c r="J347" s="366"/>
      <c r="K347" s="366"/>
      <c r="L347" s="367"/>
      <c r="M347" s="22" t="s">
        <v>591</v>
      </c>
      <c r="N347" s="22" t="s">
        <v>592</v>
      </c>
      <c r="O347" s="22" t="s">
        <v>593</v>
      </c>
      <c r="P347" s="24" t="s">
        <v>594</v>
      </c>
      <c r="V347" s="7"/>
    </row>
    <row r="348" spans="2:22" ht="18" customHeight="1">
      <c r="B348" s="355" t="str">
        <f>HYPERLINK("#LAYOUT_m1!lay중YPSY7A05","YPSY7A05")</f>
        <v>YPSY7A05</v>
      </c>
      <c r="C348" s="355"/>
      <c r="E348" s="7"/>
      <c r="G348" s="366" t="s">
        <v>751</v>
      </c>
      <c r="H348" s="366"/>
      <c r="I348" s="366"/>
      <c r="J348" s="366"/>
      <c r="K348" s="366"/>
      <c r="L348" s="367"/>
      <c r="M348" s="22" t="s">
        <v>591</v>
      </c>
      <c r="N348" s="22" t="s">
        <v>592</v>
      </c>
      <c r="O348" s="22" t="s">
        <v>593</v>
      </c>
      <c r="P348" s="24" t="s">
        <v>594</v>
      </c>
      <c r="V348" s="7"/>
    </row>
    <row r="349" spans="2:22" ht="18" customHeight="1">
      <c r="B349" s="355" t="str">
        <f>HYPERLINK("#LAYOUT_m1!lay중YPSY7A06","YPSY7A06")</f>
        <v>YPSY7A06</v>
      </c>
      <c r="C349" s="355"/>
      <c r="E349" s="7"/>
      <c r="G349" s="366" t="s">
        <v>752</v>
      </c>
      <c r="H349" s="366"/>
      <c r="I349" s="366"/>
      <c r="J349" s="366"/>
      <c r="K349" s="366"/>
      <c r="L349" s="367"/>
      <c r="M349" s="22" t="s">
        <v>591</v>
      </c>
      <c r="N349" s="22" t="s">
        <v>592</v>
      </c>
      <c r="O349" s="22" t="s">
        <v>593</v>
      </c>
      <c r="P349" s="24" t="s">
        <v>594</v>
      </c>
      <c r="V349" s="7"/>
    </row>
    <row r="350" spans="2:22" ht="18" customHeight="1">
      <c r="B350" s="355" t="str">
        <f>HYPERLINK("#LAYOUT_m1!lay중YPSY7A07","YPSY7A07")</f>
        <v>YPSY7A07</v>
      </c>
      <c r="C350" s="355"/>
      <c r="E350" s="7"/>
      <c r="G350" s="366" t="s">
        <v>753</v>
      </c>
      <c r="H350" s="366"/>
      <c r="I350" s="366"/>
      <c r="J350" s="366"/>
      <c r="K350" s="366"/>
      <c r="L350" s="367"/>
      <c r="M350" s="22" t="s">
        <v>591</v>
      </c>
      <c r="N350" s="22" t="s">
        <v>592</v>
      </c>
      <c r="O350" s="22" t="s">
        <v>593</v>
      </c>
      <c r="P350" s="24" t="s">
        <v>594</v>
      </c>
      <c r="V350" s="7"/>
    </row>
    <row r="351" spans="2:22" ht="18" customHeight="1">
      <c r="B351" s="355" t="str">
        <f>HYPERLINK("#LAYOUT_m1!lay중YPSY7A08","YPSY7A08")</f>
        <v>YPSY7A08</v>
      </c>
      <c r="C351" s="355"/>
      <c r="E351" s="7"/>
      <c r="G351" s="366" t="s">
        <v>754</v>
      </c>
      <c r="H351" s="366"/>
      <c r="I351" s="366"/>
      <c r="J351" s="366"/>
      <c r="K351" s="366"/>
      <c r="L351" s="367"/>
      <c r="M351" s="22" t="s">
        <v>591</v>
      </c>
      <c r="N351" s="22" t="s">
        <v>592</v>
      </c>
      <c r="O351" s="22" t="s">
        <v>593</v>
      </c>
      <c r="P351" s="24" t="s">
        <v>594</v>
      </c>
      <c r="V351" s="7"/>
    </row>
    <row r="352" spans="2:22" ht="18" customHeight="1">
      <c r="B352" s="195"/>
      <c r="C352" s="195"/>
      <c r="E352" s="7"/>
      <c r="V352" s="7"/>
    </row>
    <row r="353" spans="2:22" ht="18" customHeight="1">
      <c r="B353" s="195"/>
      <c r="C353" s="195"/>
      <c r="E353" s="7"/>
      <c r="V353" s="7"/>
    </row>
    <row r="354" spans="2:22" ht="18" customHeight="1">
      <c r="B354" s="195"/>
      <c r="C354" s="195"/>
      <c r="E354" s="7"/>
      <c r="F354" s="6" t="s">
        <v>902</v>
      </c>
      <c r="V354" s="7"/>
    </row>
    <row r="355" spans="2:22" ht="18" customHeight="1" thickBot="1">
      <c r="B355" s="195"/>
      <c r="C355" s="195"/>
      <c r="E355" s="7"/>
      <c r="G355" s="6" t="s">
        <v>756</v>
      </c>
      <c r="V355" s="7"/>
    </row>
    <row r="356" spans="2:22" ht="18" customHeight="1" thickTop="1" thickBot="1">
      <c r="B356" s="195"/>
      <c r="C356" s="195"/>
      <c r="E356" s="7"/>
      <c r="G356" s="401" t="s">
        <v>757</v>
      </c>
      <c r="H356" s="402"/>
      <c r="I356" s="368" t="s">
        <v>758</v>
      </c>
      <c r="J356" s="368"/>
      <c r="V356" s="7"/>
    </row>
    <row r="357" spans="2:22" ht="18" customHeight="1" thickTop="1">
      <c r="B357" s="195" t="str">
        <f>HYPERLINK("#LAYOUT_m1!lay중YFAM1A01","YFAM1A01")</f>
        <v>YFAM1A01</v>
      </c>
      <c r="C357" s="195" t="str">
        <f>HYPERLINK("#LAYOUT_m1!lay중YFAM1A03","YFAM1A03")</f>
        <v>YFAM1A03</v>
      </c>
      <c r="E357" s="7"/>
      <c r="G357" s="399" t="s">
        <v>1593</v>
      </c>
      <c r="H357" s="400"/>
      <c r="I357" s="399" t="s">
        <v>1594</v>
      </c>
      <c r="J357" s="399"/>
      <c r="V357" s="7"/>
    </row>
    <row r="358" spans="2:22" ht="18" customHeight="1">
      <c r="B358" s="195" t="str">
        <f>HYPERLINK("#LAYOUT_m1!lay중YFAM1A02","YFAM1A02")</f>
        <v>YFAM1A02</v>
      </c>
      <c r="C358" s="195" t="str">
        <f>HYPERLINK("#LAYOUT_m1!lay중YFAM1A04","YFAM1A04")</f>
        <v>YFAM1A04</v>
      </c>
      <c r="E358" s="7"/>
      <c r="G358" s="403" t="s">
        <v>1595</v>
      </c>
      <c r="H358" s="404"/>
      <c r="I358" s="405" t="s">
        <v>1595</v>
      </c>
      <c r="J358" s="405"/>
      <c r="V358" s="7"/>
    </row>
    <row r="359" spans="2:22" ht="18" customHeight="1">
      <c r="B359" s="195"/>
      <c r="C359" s="195"/>
      <c r="E359" s="7"/>
      <c r="G359" s="77"/>
      <c r="H359" s="77"/>
      <c r="I359" s="77"/>
      <c r="J359" s="77"/>
      <c r="V359" s="7"/>
    </row>
    <row r="360" spans="2:22" ht="18" customHeight="1">
      <c r="B360" s="195"/>
      <c r="C360" s="195"/>
      <c r="E360" s="7"/>
      <c r="G360" s="77"/>
      <c r="H360" s="77"/>
      <c r="I360" s="77"/>
      <c r="J360" s="77"/>
      <c r="V360" s="7"/>
    </row>
    <row r="361" spans="2:22" ht="18" customHeight="1">
      <c r="B361" s="355" t="str">
        <f>HYPERLINK("#LAYOUT_m1!lay중YFAM3A00","YFAM3A00")</f>
        <v>YFAM3A00</v>
      </c>
      <c r="C361" s="355"/>
      <c r="E361" s="7"/>
      <c r="F361" s="6" t="s">
        <v>1643</v>
      </c>
      <c r="G361" s="77"/>
      <c r="H361" s="77"/>
      <c r="I361" s="77"/>
      <c r="J361" s="77"/>
      <c r="V361" s="7"/>
    </row>
    <row r="362" spans="2:22" ht="18" customHeight="1">
      <c r="B362" s="195"/>
      <c r="C362" s="195"/>
      <c r="E362" s="7"/>
      <c r="G362" s="6" t="s">
        <v>1640</v>
      </c>
      <c r="H362" s="77"/>
      <c r="I362" s="77"/>
      <c r="J362" s="77"/>
      <c r="V362" s="7"/>
    </row>
    <row r="363" spans="2:22" ht="18" customHeight="1">
      <c r="B363" s="195"/>
      <c r="C363" s="195"/>
      <c r="E363" s="7"/>
      <c r="G363" s="77"/>
      <c r="H363" s="77"/>
      <c r="I363" s="77"/>
      <c r="J363" s="77"/>
      <c r="V363" s="7"/>
    </row>
    <row r="364" spans="2:22" ht="18" customHeight="1">
      <c r="B364" s="195"/>
      <c r="C364" s="195"/>
      <c r="E364" s="7"/>
      <c r="G364" s="77"/>
      <c r="H364" s="77"/>
      <c r="I364" s="77"/>
      <c r="J364" s="77"/>
      <c r="V364" s="7"/>
    </row>
    <row r="365" spans="2:22" ht="18" customHeight="1">
      <c r="B365" s="355" t="str">
        <f>HYPERLINK("#LAYOUT_m1!lay중YFAM3B00","YFAM3B00")</f>
        <v>YFAM3B00</v>
      </c>
      <c r="C365" s="355"/>
      <c r="E365" s="7"/>
      <c r="F365" s="6" t="s">
        <v>1644</v>
      </c>
      <c r="G365" s="77"/>
      <c r="H365" s="77"/>
      <c r="I365" s="77"/>
      <c r="J365" s="77"/>
      <c r="V365" s="7"/>
    </row>
    <row r="366" spans="2:22" ht="18" customHeight="1" thickBot="1">
      <c r="B366" s="195"/>
      <c r="C366" s="195"/>
      <c r="E366" s="7"/>
      <c r="G366" s="6" t="s">
        <v>1642</v>
      </c>
      <c r="H366" s="77"/>
      <c r="I366" s="77"/>
      <c r="J366" s="77"/>
      <c r="V366" s="7"/>
    </row>
    <row r="367" spans="2:22" ht="18" customHeight="1" thickTop="1" thickBot="1">
      <c r="B367" s="195"/>
      <c r="C367" s="195"/>
      <c r="E367" s="7"/>
      <c r="G367" s="152"/>
      <c r="H367" s="401" t="s">
        <v>1564</v>
      </c>
      <c r="I367" s="402"/>
      <c r="J367" s="401" t="s">
        <v>1565</v>
      </c>
      <c r="K367" s="402"/>
      <c r="L367" s="10"/>
      <c r="V367" s="7"/>
    </row>
    <row r="368" spans="2:22" ht="18" customHeight="1" thickTop="1">
      <c r="B368" s="195" t="str">
        <f>HYPERLINK("#LAYOUT_m1!lay중YFAM1B01","YFAM1B01")</f>
        <v>YFAM1B01</v>
      </c>
      <c r="C368" s="195" t="str">
        <f>HYPERLINK("#LAYOUT_m1!lay중YFAM1B03","YFAM1B03")</f>
        <v>YFAM1B03</v>
      </c>
      <c r="E368" s="7"/>
      <c r="G368" s="447" t="s">
        <v>1518</v>
      </c>
      <c r="H368" s="452" t="s">
        <v>1645</v>
      </c>
      <c r="I368" s="447"/>
      <c r="J368" s="452" t="s">
        <v>1645</v>
      </c>
      <c r="K368" s="447"/>
      <c r="L368" s="452" t="s">
        <v>1519</v>
      </c>
      <c r="V368" s="7"/>
    </row>
    <row r="369" spans="2:22" ht="18" customHeight="1">
      <c r="B369" s="195" t="str">
        <f>HYPERLINK("#LAYOUT_m1!lay중YFAM1B02","YFAM1B02")</f>
        <v>YFAM1B02</v>
      </c>
      <c r="C369" s="195" t="str">
        <f>HYPERLINK("#LAYOUT_m1!lay중YFAM1B04","YFAM1B04")</f>
        <v>YFAM1B04</v>
      </c>
      <c r="E369" s="7"/>
      <c r="G369" s="439"/>
      <c r="H369" s="453" t="s">
        <v>1646</v>
      </c>
      <c r="I369" s="439"/>
      <c r="J369" s="453" t="s">
        <v>1646</v>
      </c>
      <c r="K369" s="439"/>
      <c r="L369" s="453"/>
      <c r="V369" s="7"/>
    </row>
    <row r="370" spans="2:22" ht="18" customHeight="1">
      <c r="B370" s="195" t="str">
        <f>HYPERLINK("#LAYOUT_m1!lay중YFAM1C01","YFAM1C01")</f>
        <v>YFAM1C01</v>
      </c>
      <c r="C370" s="195" t="str">
        <f>HYPERLINK("#LAYOUT_m1!lay중YFAM1C03","YFAM1C03")</f>
        <v>YFAM1C03</v>
      </c>
      <c r="E370" s="7"/>
      <c r="G370" s="450" t="s">
        <v>1520</v>
      </c>
      <c r="H370" s="451" t="s">
        <v>1647</v>
      </c>
      <c r="I370" s="450"/>
      <c r="J370" s="451" t="s">
        <v>1647</v>
      </c>
      <c r="K370" s="450"/>
      <c r="L370" s="451" t="s">
        <v>1519</v>
      </c>
      <c r="V370" s="7"/>
    </row>
    <row r="371" spans="2:22" ht="18" customHeight="1">
      <c r="B371" s="195" t="str">
        <f>HYPERLINK("#LAYOUT_m1!lay중YFAM1C02","YFAM1C02")</f>
        <v>YFAM1C02</v>
      </c>
      <c r="C371" s="195" t="str">
        <f>HYPERLINK("#LAYOUT_m1!lay중YFAM1C04","YFAM1C04")</f>
        <v>YFAM1C04</v>
      </c>
      <c r="E371" s="7"/>
      <c r="G371" s="448"/>
      <c r="H371" s="449" t="s">
        <v>1646</v>
      </c>
      <c r="I371" s="448"/>
      <c r="J371" s="449" t="s">
        <v>1648</v>
      </c>
      <c r="K371" s="448"/>
      <c r="L371" s="449"/>
      <c r="V371" s="7"/>
    </row>
    <row r="372" spans="2:22" ht="18" customHeight="1">
      <c r="B372" s="195" t="str">
        <f>HYPERLINK("#LAYOUT_m1!lay중YFAM1D01","YFAM1D01")</f>
        <v>YFAM1D01</v>
      </c>
      <c r="C372" s="195" t="str">
        <f>HYPERLINK("#LAYOUT_m1!lay중YFAM1D03","YFAM1D03")</f>
        <v>YFAM1D03</v>
      </c>
      <c r="E372" s="7"/>
      <c r="G372" s="450" t="s">
        <v>1521</v>
      </c>
      <c r="H372" s="451" t="s">
        <v>1647</v>
      </c>
      <c r="I372" s="450"/>
      <c r="J372" s="451" t="s">
        <v>1649</v>
      </c>
      <c r="K372" s="450"/>
      <c r="L372" s="451" t="s">
        <v>1519</v>
      </c>
      <c r="V372" s="7"/>
    </row>
    <row r="373" spans="2:22" ht="18" customHeight="1">
      <c r="B373" s="195" t="str">
        <f>HYPERLINK("#LAYOUT_m1!lay중YFAM1D02","YFAM1D02")</f>
        <v>YFAM1D02</v>
      </c>
      <c r="C373" s="195" t="str">
        <f>HYPERLINK("#LAYOUT_m1!lay중YFAM1D04","YFAM1D04")</f>
        <v>YFAM1D04</v>
      </c>
      <c r="E373" s="7"/>
      <c r="G373" s="448"/>
      <c r="H373" s="449" t="s">
        <v>1650</v>
      </c>
      <c r="I373" s="448"/>
      <c r="J373" s="449" t="s">
        <v>1648</v>
      </c>
      <c r="K373" s="448"/>
      <c r="L373" s="449"/>
      <c r="V373" s="7"/>
    </row>
    <row r="374" spans="2:22" ht="18" customHeight="1">
      <c r="B374" s="195" t="str">
        <f>HYPERLINK("#LAYOUT_m1!lay중YFAM1E01","YFAM1E01")</f>
        <v>YFAM1E01</v>
      </c>
      <c r="C374" s="195" t="str">
        <f>HYPERLINK("#LAYOUT_m1!lay중YFAM1E03","YFAM1E03")</f>
        <v>YFAM1E03</v>
      </c>
      <c r="E374" s="7"/>
      <c r="G374" s="450" t="s">
        <v>1579</v>
      </c>
      <c r="H374" s="451" t="s">
        <v>249</v>
      </c>
      <c r="I374" s="450"/>
      <c r="J374" s="451" t="s">
        <v>249</v>
      </c>
      <c r="K374" s="450"/>
      <c r="L374" s="451" t="s">
        <v>1519</v>
      </c>
      <c r="V374" s="7"/>
    </row>
    <row r="375" spans="2:22" ht="18" customHeight="1">
      <c r="B375" s="195" t="str">
        <f>HYPERLINK("#LAYOUT_m1!lay중YFAM1E02","YFAM1E02")</f>
        <v>YFAM1E02</v>
      </c>
      <c r="C375" s="195" t="str">
        <f>HYPERLINK("#LAYOUT_m1!lay중YFAM1E04","YFAM1E04")</f>
        <v>YFAM1E04</v>
      </c>
      <c r="E375" s="7"/>
      <c r="G375" s="448"/>
      <c r="H375" s="449" t="s">
        <v>53</v>
      </c>
      <c r="I375" s="448"/>
      <c r="J375" s="449" t="s">
        <v>53</v>
      </c>
      <c r="K375" s="448"/>
      <c r="L375" s="449"/>
      <c r="V375" s="7"/>
    </row>
    <row r="376" spans="2:22" ht="18" customHeight="1">
      <c r="B376" s="195" t="str">
        <f>HYPERLINK("#LAYOUT_m1!lay중YFAM1F01","YFAM1F01")</f>
        <v>YFAM1F01</v>
      </c>
      <c r="C376" s="195" t="str">
        <f>HYPERLINK("#LAYOUT_m1!lay중YFAM1F03","YFAM1F03")</f>
        <v>YFAM1F03</v>
      </c>
      <c r="E376" s="7"/>
      <c r="G376" s="450" t="s">
        <v>1580</v>
      </c>
      <c r="H376" s="451" t="s">
        <v>249</v>
      </c>
      <c r="I376" s="450"/>
      <c r="J376" s="451" t="s">
        <v>249</v>
      </c>
      <c r="K376" s="450"/>
      <c r="L376" s="451" t="s">
        <v>1519</v>
      </c>
      <c r="V376" s="7"/>
    </row>
    <row r="377" spans="2:22" ht="18" customHeight="1">
      <c r="B377" s="195" t="str">
        <f>HYPERLINK("#LAYOUT_m1!lay중YFAM1F02","YFAM1F02")</f>
        <v>YFAM1F02</v>
      </c>
      <c r="C377" s="195" t="str">
        <f>HYPERLINK("#LAYOUT_m1!lay중YFAM1F04","YFAM1F04")</f>
        <v>YFAM1F04</v>
      </c>
      <c r="E377" s="7"/>
      <c r="G377" s="448"/>
      <c r="H377" s="449" t="s">
        <v>53</v>
      </c>
      <c r="I377" s="448"/>
      <c r="J377" s="449" t="s">
        <v>53</v>
      </c>
      <c r="K377" s="448"/>
      <c r="L377" s="449"/>
      <c r="V377" s="7"/>
    </row>
    <row r="378" spans="2:22" ht="18" customHeight="1">
      <c r="B378" s="195"/>
      <c r="C378" s="195"/>
      <c r="E378" s="7"/>
      <c r="G378" s="11"/>
      <c r="H378" s="11"/>
      <c r="I378" s="11"/>
      <c r="J378" s="11"/>
      <c r="K378" s="11"/>
      <c r="L378" s="11"/>
      <c r="V378" s="7"/>
    </row>
    <row r="379" spans="2:22" ht="18" customHeight="1">
      <c r="B379" s="195"/>
      <c r="C379" s="195"/>
      <c r="E379" s="7"/>
      <c r="G379" s="11"/>
      <c r="H379" s="11"/>
      <c r="I379" s="11"/>
      <c r="J379" s="11"/>
      <c r="K379" s="11"/>
      <c r="L379" s="11"/>
      <c r="V379" s="7"/>
    </row>
    <row r="380" spans="2:22" ht="18" customHeight="1" thickBot="1">
      <c r="B380" s="195"/>
      <c r="C380" s="195"/>
      <c r="E380" s="7"/>
      <c r="F380" s="6" t="s">
        <v>1531</v>
      </c>
      <c r="V380" s="7"/>
    </row>
    <row r="381" spans="2:22" ht="31.5" thickTop="1" thickBot="1">
      <c r="B381" s="195"/>
      <c r="C381" s="195"/>
      <c r="E381" s="7"/>
      <c r="G381" s="397" t="s">
        <v>643</v>
      </c>
      <c r="H381" s="397"/>
      <c r="I381" s="397"/>
      <c r="J381" s="397"/>
      <c r="K381" s="397"/>
      <c r="L381" s="398"/>
      <c r="M381" s="9" t="s">
        <v>622</v>
      </c>
      <c r="N381" s="9" t="s">
        <v>623</v>
      </c>
      <c r="O381" s="9" t="s">
        <v>107</v>
      </c>
      <c r="P381" s="10" t="s">
        <v>108</v>
      </c>
      <c r="V381" s="7"/>
    </row>
    <row r="382" spans="2:22" ht="18" customHeight="1" thickTop="1">
      <c r="B382" s="355" t="str">
        <f>HYPERLINK("#LAYOUT_m1!lay중YFAM2A01","YFAM2A01")</f>
        <v>YFAM2A01</v>
      </c>
      <c r="C382" s="355"/>
      <c r="E382" s="7"/>
      <c r="G382" s="366" t="s">
        <v>760</v>
      </c>
      <c r="H382" s="366"/>
      <c r="I382" s="366"/>
      <c r="J382" s="366"/>
      <c r="K382" s="366"/>
      <c r="L382" s="367"/>
      <c r="M382" s="20" t="s">
        <v>591</v>
      </c>
      <c r="N382" s="20" t="s">
        <v>592</v>
      </c>
      <c r="O382" s="20" t="s">
        <v>593</v>
      </c>
      <c r="P382" s="25" t="s">
        <v>594</v>
      </c>
      <c r="V382" s="7"/>
    </row>
    <row r="383" spans="2:22" ht="18" customHeight="1">
      <c r="B383" s="355" t="str">
        <f>HYPERLINK("#LAYOUT_m1!lay중YFAM2A02","YFAM2A02")</f>
        <v>YFAM2A02</v>
      </c>
      <c r="C383" s="355"/>
      <c r="E383" s="7"/>
      <c r="G383" s="366" t="s">
        <v>761</v>
      </c>
      <c r="H383" s="366"/>
      <c r="I383" s="366"/>
      <c r="J383" s="366"/>
      <c r="K383" s="366"/>
      <c r="L383" s="367"/>
      <c r="M383" s="22" t="s">
        <v>591</v>
      </c>
      <c r="N383" s="22" t="s">
        <v>592</v>
      </c>
      <c r="O383" s="22" t="s">
        <v>593</v>
      </c>
      <c r="P383" s="24" t="s">
        <v>594</v>
      </c>
      <c r="V383" s="7"/>
    </row>
    <row r="384" spans="2:22" ht="18" customHeight="1">
      <c r="B384" s="355" t="str">
        <f>HYPERLINK("#LAYOUT_m1!lay중YFAM2A03","YFAM2A03")</f>
        <v>YFAM2A03</v>
      </c>
      <c r="C384" s="355"/>
      <c r="E384" s="7"/>
      <c r="G384" s="366" t="s">
        <v>762</v>
      </c>
      <c r="H384" s="366"/>
      <c r="I384" s="366"/>
      <c r="J384" s="366"/>
      <c r="K384" s="366"/>
      <c r="L384" s="367"/>
      <c r="M384" s="22" t="s">
        <v>591</v>
      </c>
      <c r="N384" s="22" t="s">
        <v>592</v>
      </c>
      <c r="O384" s="22" t="s">
        <v>593</v>
      </c>
      <c r="P384" s="24" t="s">
        <v>594</v>
      </c>
      <c r="V384" s="7"/>
    </row>
    <row r="385" spans="2:22" ht="18" customHeight="1">
      <c r="B385" s="355" t="str">
        <f>HYPERLINK("#LAYOUT_m1!lay중YFAM2A04","YFAM2A04")</f>
        <v>YFAM2A04</v>
      </c>
      <c r="C385" s="355"/>
      <c r="E385" s="7"/>
      <c r="G385" s="366" t="s">
        <v>763</v>
      </c>
      <c r="H385" s="366"/>
      <c r="I385" s="366"/>
      <c r="J385" s="366"/>
      <c r="K385" s="366"/>
      <c r="L385" s="367"/>
      <c r="M385" s="22" t="s">
        <v>591</v>
      </c>
      <c r="N385" s="22" t="s">
        <v>592</v>
      </c>
      <c r="O385" s="22" t="s">
        <v>593</v>
      </c>
      <c r="P385" s="24" t="s">
        <v>594</v>
      </c>
      <c r="V385" s="7"/>
    </row>
    <row r="386" spans="2:22" ht="18" customHeight="1">
      <c r="B386" s="355" t="str">
        <f>HYPERLINK("#LAYOUT_m1!lay중YFAM2B01","YFAM2B01")</f>
        <v>YFAM2B01</v>
      </c>
      <c r="C386" s="355"/>
      <c r="E386" s="7"/>
      <c r="G386" s="366" t="s">
        <v>764</v>
      </c>
      <c r="H386" s="366"/>
      <c r="I386" s="366"/>
      <c r="J386" s="366"/>
      <c r="K386" s="366"/>
      <c r="L386" s="367"/>
      <c r="M386" s="22" t="s">
        <v>591</v>
      </c>
      <c r="N386" s="22" t="s">
        <v>592</v>
      </c>
      <c r="O386" s="22" t="s">
        <v>593</v>
      </c>
      <c r="P386" s="24" t="s">
        <v>594</v>
      </c>
      <c r="V386" s="7"/>
    </row>
    <row r="387" spans="2:22" ht="18" customHeight="1">
      <c r="B387" s="355" t="str">
        <f>HYPERLINK("#LAYOUT_m1!lay중YFAM2B02","YFAM2B02")</f>
        <v>YFAM2B02</v>
      </c>
      <c r="C387" s="355"/>
      <c r="E387" s="7"/>
      <c r="G387" s="366" t="s">
        <v>765</v>
      </c>
      <c r="H387" s="366"/>
      <c r="I387" s="366"/>
      <c r="J387" s="366"/>
      <c r="K387" s="366"/>
      <c r="L387" s="367"/>
      <c r="M387" s="22" t="s">
        <v>591</v>
      </c>
      <c r="N387" s="22" t="s">
        <v>592</v>
      </c>
      <c r="O387" s="22" t="s">
        <v>593</v>
      </c>
      <c r="P387" s="24" t="s">
        <v>594</v>
      </c>
      <c r="V387" s="7"/>
    </row>
    <row r="388" spans="2:22" ht="18" customHeight="1">
      <c r="B388" s="355" t="str">
        <f>HYPERLINK("#LAYOUT_m1!lay중YFAM2B03","YFAM2B03")</f>
        <v>YFAM2B03</v>
      </c>
      <c r="C388" s="355"/>
      <c r="E388" s="7"/>
      <c r="G388" s="366" t="s">
        <v>766</v>
      </c>
      <c r="H388" s="366"/>
      <c r="I388" s="366"/>
      <c r="J388" s="366"/>
      <c r="K388" s="366"/>
      <c r="L388" s="367"/>
      <c r="M388" s="22" t="s">
        <v>591</v>
      </c>
      <c r="N388" s="22" t="s">
        <v>592</v>
      </c>
      <c r="O388" s="22" t="s">
        <v>593</v>
      </c>
      <c r="P388" s="24" t="s">
        <v>594</v>
      </c>
      <c r="V388" s="7"/>
    </row>
    <row r="389" spans="2:22" ht="18" customHeight="1">
      <c r="B389" s="355" t="str">
        <f>HYPERLINK("#LAYOUT_m1!lay중YFAM2B04","YFAM2B04")</f>
        <v>YFAM2B04</v>
      </c>
      <c r="C389" s="355"/>
      <c r="E389" s="7"/>
      <c r="G389" s="366" t="s">
        <v>767</v>
      </c>
      <c r="H389" s="366"/>
      <c r="I389" s="366"/>
      <c r="J389" s="366"/>
      <c r="K389" s="366"/>
      <c r="L389" s="367"/>
      <c r="M389" s="22" t="s">
        <v>591</v>
      </c>
      <c r="N389" s="22" t="s">
        <v>592</v>
      </c>
      <c r="O389" s="22" t="s">
        <v>593</v>
      </c>
      <c r="P389" s="24" t="s">
        <v>594</v>
      </c>
      <c r="V389" s="7"/>
    </row>
    <row r="390" spans="2:22" ht="18" customHeight="1">
      <c r="B390" s="355" t="str">
        <f>HYPERLINK("#LAYOUT_m1!lay중YFAM2C01","YFAM2C01")</f>
        <v>YFAM2C01</v>
      </c>
      <c r="C390" s="355"/>
      <c r="E390" s="7"/>
      <c r="G390" s="366" t="s">
        <v>768</v>
      </c>
      <c r="H390" s="366"/>
      <c r="I390" s="366"/>
      <c r="J390" s="366"/>
      <c r="K390" s="366"/>
      <c r="L390" s="367"/>
      <c r="M390" s="22" t="s">
        <v>591</v>
      </c>
      <c r="N390" s="22" t="s">
        <v>592</v>
      </c>
      <c r="O390" s="22" t="s">
        <v>593</v>
      </c>
      <c r="P390" s="24" t="s">
        <v>594</v>
      </c>
      <c r="V390" s="7"/>
    </row>
    <row r="391" spans="2:22" ht="18" customHeight="1">
      <c r="B391" s="355" t="str">
        <f>HYPERLINK("#LAYOUT_m1!lay중YFAM2C02","YFAM2C02")</f>
        <v>YFAM2C02</v>
      </c>
      <c r="C391" s="355"/>
      <c r="E391" s="7"/>
      <c r="G391" s="366" t="s">
        <v>769</v>
      </c>
      <c r="H391" s="366"/>
      <c r="I391" s="366"/>
      <c r="J391" s="366"/>
      <c r="K391" s="366"/>
      <c r="L391" s="367"/>
      <c r="M391" s="22" t="s">
        <v>591</v>
      </c>
      <c r="N391" s="22" t="s">
        <v>592</v>
      </c>
      <c r="O391" s="22" t="s">
        <v>593</v>
      </c>
      <c r="P391" s="24" t="s">
        <v>594</v>
      </c>
      <c r="V391" s="7"/>
    </row>
    <row r="392" spans="2:22" ht="18" customHeight="1">
      <c r="B392" s="355" t="str">
        <f>HYPERLINK("#LAYOUT_m1!lay중YFAM2C03","YFAM2C03")</f>
        <v>YFAM2C03</v>
      </c>
      <c r="C392" s="355"/>
      <c r="E392" s="7"/>
      <c r="G392" s="366" t="s">
        <v>770</v>
      </c>
      <c r="H392" s="366"/>
      <c r="I392" s="366"/>
      <c r="J392" s="366"/>
      <c r="K392" s="366"/>
      <c r="L392" s="367"/>
      <c r="M392" s="22" t="s">
        <v>591</v>
      </c>
      <c r="N392" s="22" t="s">
        <v>592</v>
      </c>
      <c r="O392" s="22" t="s">
        <v>593</v>
      </c>
      <c r="P392" s="24" t="s">
        <v>594</v>
      </c>
      <c r="V392" s="7"/>
    </row>
    <row r="393" spans="2:22" ht="18" customHeight="1">
      <c r="B393" s="355" t="str">
        <f>HYPERLINK("#LAYOUT_m1!lay중YFAM2C04","YFAM2C04")</f>
        <v>YFAM2C04</v>
      </c>
      <c r="C393" s="355"/>
      <c r="E393" s="7"/>
      <c r="G393" s="366" t="s">
        <v>771</v>
      </c>
      <c r="H393" s="366"/>
      <c r="I393" s="366"/>
      <c r="J393" s="366"/>
      <c r="K393" s="366"/>
      <c r="L393" s="367"/>
      <c r="M393" s="22" t="s">
        <v>591</v>
      </c>
      <c r="N393" s="22" t="s">
        <v>592</v>
      </c>
      <c r="O393" s="22" t="s">
        <v>593</v>
      </c>
      <c r="P393" s="24" t="s">
        <v>594</v>
      </c>
      <c r="V393" s="7"/>
    </row>
    <row r="394" spans="2:22" ht="18" customHeight="1">
      <c r="B394" s="355" t="str">
        <f>HYPERLINK("#LAYOUT_m1!lay중YFAM2D01","YFAM2D01")</f>
        <v>YFAM2D01</v>
      </c>
      <c r="C394" s="355"/>
      <c r="E394" s="7"/>
      <c r="G394" s="366" t="s">
        <v>772</v>
      </c>
      <c r="H394" s="366"/>
      <c r="I394" s="366"/>
      <c r="J394" s="366"/>
      <c r="K394" s="366"/>
      <c r="L394" s="367"/>
      <c r="M394" s="22" t="s">
        <v>591</v>
      </c>
      <c r="N394" s="22" t="s">
        <v>592</v>
      </c>
      <c r="O394" s="22" t="s">
        <v>593</v>
      </c>
      <c r="P394" s="24" t="s">
        <v>594</v>
      </c>
      <c r="V394" s="7"/>
    </row>
    <row r="395" spans="2:22" ht="18" customHeight="1">
      <c r="B395" s="355" t="str">
        <f>HYPERLINK("#LAYOUT_m1!lay중YFAM2D02","YFAM2D02")</f>
        <v>YFAM2D02</v>
      </c>
      <c r="C395" s="355"/>
      <c r="E395" s="7"/>
      <c r="G395" s="366" t="s">
        <v>773</v>
      </c>
      <c r="H395" s="366"/>
      <c r="I395" s="366"/>
      <c r="J395" s="366"/>
      <c r="K395" s="366"/>
      <c r="L395" s="367"/>
      <c r="M395" s="22" t="s">
        <v>591</v>
      </c>
      <c r="N395" s="22" t="s">
        <v>592</v>
      </c>
      <c r="O395" s="22" t="s">
        <v>593</v>
      </c>
      <c r="P395" s="24" t="s">
        <v>594</v>
      </c>
      <c r="V395" s="7"/>
    </row>
    <row r="396" spans="2:22" ht="18" customHeight="1">
      <c r="B396" s="355" t="str">
        <f>HYPERLINK("#LAYOUT_m1!lay중YFAM2D03","YFAM2D03")</f>
        <v>YFAM2D03</v>
      </c>
      <c r="C396" s="355"/>
      <c r="E396" s="7"/>
      <c r="G396" s="366" t="s">
        <v>774</v>
      </c>
      <c r="H396" s="366"/>
      <c r="I396" s="366"/>
      <c r="J396" s="366"/>
      <c r="K396" s="366"/>
      <c r="L396" s="367"/>
      <c r="M396" s="22" t="s">
        <v>591</v>
      </c>
      <c r="N396" s="22" t="s">
        <v>592</v>
      </c>
      <c r="O396" s="22" t="s">
        <v>593</v>
      </c>
      <c r="P396" s="24" t="s">
        <v>594</v>
      </c>
      <c r="V396" s="7"/>
    </row>
    <row r="397" spans="2:22" ht="18" customHeight="1">
      <c r="B397" s="355" t="str">
        <f>HYPERLINK("#LAYOUT_m1!lay중YFAM2D04","YFAM2D04")</f>
        <v>YFAM2D04</v>
      </c>
      <c r="C397" s="355"/>
      <c r="E397" s="7"/>
      <c r="G397" s="366" t="s">
        <v>775</v>
      </c>
      <c r="H397" s="366"/>
      <c r="I397" s="366"/>
      <c r="J397" s="366"/>
      <c r="K397" s="366"/>
      <c r="L397" s="367"/>
      <c r="M397" s="22" t="s">
        <v>591</v>
      </c>
      <c r="N397" s="22" t="s">
        <v>592</v>
      </c>
      <c r="O397" s="22" t="s">
        <v>593</v>
      </c>
      <c r="P397" s="24" t="s">
        <v>594</v>
      </c>
      <c r="V397" s="7"/>
    </row>
    <row r="398" spans="2:22" ht="18" customHeight="1">
      <c r="B398" s="355" t="str">
        <f>HYPERLINK("#LAYOUT_m1!lay중YFAM2E01","YFAM2E01")</f>
        <v>YFAM2E01</v>
      </c>
      <c r="C398" s="355"/>
      <c r="E398" s="7"/>
      <c r="G398" s="366" t="s">
        <v>776</v>
      </c>
      <c r="H398" s="366"/>
      <c r="I398" s="366"/>
      <c r="J398" s="366"/>
      <c r="K398" s="366"/>
      <c r="L398" s="367"/>
      <c r="M398" s="22" t="s">
        <v>591</v>
      </c>
      <c r="N398" s="22" t="s">
        <v>592</v>
      </c>
      <c r="O398" s="22" t="s">
        <v>593</v>
      </c>
      <c r="P398" s="24" t="s">
        <v>594</v>
      </c>
      <c r="V398" s="7"/>
    </row>
    <row r="399" spans="2:22" ht="18" customHeight="1">
      <c r="B399" s="355" t="str">
        <f>HYPERLINK("#LAYOUT_m1!lay중YFAM2E02","YFAM2E02")</f>
        <v>YFAM2E02</v>
      </c>
      <c r="C399" s="355"/>
      <c r="E399" s="7"/>
      <c r="G399" s="366" t="s">
        <v>777</v>
      </c>
      <c r="H399" s="366"/>
      <c r="I399" s="366"/>
      <c r="J399" s="366"/>
      <c r="K399" s="366"/>
      <c r="L399" s="367"/>
      <c r="M399" s="22" t="s">
        <v>591</v>
      </c>
      <c r="N399" s="22" t="s">
        <v>592</v>
      </c>
      <c r="O399" s="22" t="s">
        <v>593</v>
      </c>
      <c r="P399" s="24" t="s">
        <v>594</v>
      </c>
      <c r="V399" s="7"/>
    </row>
    <row r="400" spans="2:22" ht="18" customHeight="1">
      <c r="B400" s="355" t="str">
        <f>HYPERLINK("#LAYOUT_m1!lay중YFAM2E03","YFAM2E03")</f>
        <v>YFAM2E03</v>
      </c>
      <c r="C400" s="355"/>
      <c r="E400" s="7"/>
      <c r="G400" s="366" t="s">
        <v>778</v>
      </c>
      <c r="H400" s="366"/>
      <c r="I400" s="366"/>
      <c r="J400" s="366"/>
      <c r="K400" s="366"/>
      <c r="L400" s="367"/>
      <c r="M400" s="22" t="s">
        <v>591</v>
      </c>
      <c r="N400" s="22" t="s">
        <v>592</v>
      </c>
      <c r="O400" s="22" t="s">
        <v>593</v>
      </c>
      <c r="P400" s="24" t="s">
        <v>594</v>
      </c>
      <c r="V400" s="7"/>
    </row>
    <row r="401" spans="2:22" ht="18" customHeight="1">
      <c r="B401" s="355" t="str">
        <f>HYPERLINK("#LAYOUT_m1!lay중YFAM2E04","YFAM2E04")</f>
        <v>YFAM2E04</v>
      </c>
      <c r="C401" s="355"/>
      <c r="E401" s="7"/>
      <c r="G401" s="366" t="s">
        <v>779</v>
      </c>
      <c r="H401" s="366"/>
      <c r="I401" s="366"/>
      <c r="J401" s="366"/>
      <c r="K401" s="366"/>
      <c r="L401" s="367"/>
      <c r="M401" s="22" t="s">
        <v>591</v>
      </c>
      <c r="N401" s="22" t="s">
        <v>592</v>
      </c>
      <c r="O401" s="22" t="s">
        <v>593</v>
      </c>
      <c r="P401" s="24" t="s">
        <v>594</v>
      </c>
      <c r="V401" s="7"/>
    </row>
    <row r="402" spans="2:22" ht="18" customHeight="1">
      <c r="B402" s="355" t="str">
        <f>HYPERLINK("#LAYOUT_m1!lay중YFAM2F01","YFAM2F01")</f>
        <v>YFAM2F01</v>
      </c>
      <c r="C402" s="355"/>
      <c r="E402" s="7"/>
      <c r="G402" s="366" t="s">
        <v>780</v>
      </c>
      <c r="H402" s="366"/>
      <c r="I402" s="366"/>
      <c r="J402" s="366"/>
      <c r="K402" s="366"/>
      <c r="L402" s="367"/>
      <c r="M402" s="22" t="s">
        <v>591</v>
      </c>
      <c r="N402" s="22" t="s">
        <v>592</v>
      </c>
      <c r="O402" s="22" t="s">
        <v>593</v>
      </c>
      <c r="P402" s="24" t="s">
        <v>594</v>
      </c>
      <c r="V402" s="7"/>
    </row>
    <row r="403" spans="2:22" ht="18" customHeight="1">
      <c r="B403" s="355" t="str">
        <f>HYPERLINK("#LAYOUT_m1!lay중YFAM2F02","YFAM2F02")</f>
        <v>YFAM2F02</v>
      </c>
      <c r="C403" s="355"/>
      <c r="E403" s="7"/>
      <c r="G403" s="366" t="s">
        <v>781</v>
      </c>
      <c r="H403" s="366"/>
      <c r="I403" s="366"/>
      <c r="J403" s="366"/>
      <c r="K403" s="366"/>
      <c r="L403" s="367"/>
      <c r="M403" s="22" t="s">
        <v>591</v>
      </c>
      <c r="N403" s="22" t="s">
        <v>592</v>
      </c>
      <c r="O403" s="22" t="s">
        <v>593</v>
      </c>
      <c r="P403" s="24" t="s">
        <v>594</v>
      </c>
      <c r="V403" s="7"/>
    </row>
    <row r="404" spans="2:22" ht="18" customHeight="1">
      <c r="B404" s="355" t="str">
        <f>HYPERLINK("#LAYOUT_m1!lay중YFAM2F03","YFAM2F03")</f>
        <v>YFAM2F03</v>
      </c>
      <c r="C404" s="355"/>
      <c r="E404" s="7"/>
      <c r="G404" s="366" t="s">
        <v>782</v>
      </c>
      <c r="H404" s="366"/>
      <c r="I404" s="366"/>
      <c r="J404" s="366"/>
      <c r="K404" s="366"/>
      <c r="L404" s="367"/>
      <c r="M404" s="22" t="s">
        <v>591</v>
      </c>
      <c r="N404" s="22" t="s">
        <v>592</v>
      </c>
      <c r="O404" s="22" t="s">
        <v>593</v>
      </c>
      <c r="P404" s="24" t="s">
        <v>594</v>
      </c>
      <c r="V404" s="7"/>
    </row>
    <row r="405" spans="2:22" ht="18" customHeight="1">
      <c r="B405" s="355" t="str">
        <f>HYPERLINK("#LAYOUT_m1!lay중YFAM2F04","YFAM2F04")</f>
        <v>YFAM2F04</v>
      </c>
      <c r="C405" s="355"/>
      <c r="E405" s="7"/>
      <c r="G405" s="366" t="s">
        <v>783</v>
      </c>
      <c r="H405" s="366"/>
      <c r="I405" s="366"/>
      <c r="J405" s="366"/>
      <c r="K405" s="366"/>
      <c r="L405" s="367"/>
      <c r="M405" s="22" t="s">
        <v>591</v>
      </c>
      <c r="N405" s="22" t="s">
        <v>592</v>
      </c>
      <c r="O405" s="22" t="s">
        <v>593</v>
      </c>
      <c r="P405" s="24" t="s">
        <v>594</v>
      </c>
      <c r="V405" s="7"/>
    </row>
    <row r="406" spans="2:22" ht="18" customHeight="1">
      <c r="B406" s="195"/>
      <c r="C406" s="195"/>
      <c r="E406" s="7"/>
      <c r="V406" s="7"/>
    </row>
    <row r="407" spans="2:22" ht="18" customHeight="1">
      <c r="B407" s="195"/>
      <c r="C407" s="195"/>
      <c r="E407" s="7"/>
      <c r="V407" s="7"/>
    </row>
    <row r="408" spans="2:22" ht="18" customHeight="1" thickBot="1">
      <c r="B408" s="195"/>
      <c r="C408" s="195"/>
      <c r="E408" s="7"/>
      <c r="F408" s="6" t="s">
        <v>1532</v>
      </c>
      <c r="V408" s="7"/>
    </row>
    <row r="409" spans="2:22" ht="31.5" thickTop="1" thickBot="1">
      <c r="B409" s="195"/>
      <c r="C409" s="195"/>
      <c r="E409" s="7"/>
      <c r="G409" s="397" t="s">
        <v>643</v>
      </c>
      <c r="H409" s="397"/>
      <c r="I409" s="397"/>
      <c r="J409" s="397"/>
      <c r="K409" s="397"/>
      <c r="L409" s="398"/>
      <c r="M409" s="9" t="s">
        <v>622</v>
      </c>
      <c r="N409" s="9" t="s">
        <v>623</v>
      </c>
      <c r="O409" s="9" t="s">
        <v>107</v>
      </c>
      <c r="P409" s="10" t="s">
        <v>108</v>
      </c>
      <c r="V409" s="7"/>
    </row>
    <row r="410" spans="2:22" ht="18" customHeight="1" thickTop="1">
      <c r="B410" s="355" t="str">
        <f>HYPERLINK("#LAYOUT_m1!lay중YEDU2A01","YEDU2A01")</f>
        <v>YEDU2A01</v>
      </c>
      <c r="C410" s="355"/>
      <c r="E410" s="7"/>
      <c r="G410" s="366" t="s">
        <v>785</v>
      </c>
      <c r="H410" s="366"/>
      <c r="I410" s="366"/>
      <c r="J410" s="366"/>
      <c r="K410" s="366"/>
      <c r="L410" s="367"/>
      <c r="M410" s="20" t="s">
        <v>591</v>
      </c>
      <c r="N410" s="20" t="s">
        <v>592</v>
      </c>
      <c r="O410" s="20" t="s">
        <v>593</v>
      </c>
      <c r="P410" s="25" t="s">
        <v>594</v>
      </c>
      <c r="V410" s="7"/>
    </row>
    <row r="411" spans="2:22" ht="18" customHeight="1">
      <c r="B411" s="355" t="str">
        <f>HYPERLINK("#LAYOUT_m1!lay중YEDU2A02","YEDU2A02")</f>
        <v>YEDU2A02</v>
      </c>
      <c r="C411" s="355"/>
      <c r="E411" s="7"/>
      <c r="G411" s="366" t="s">
        <v>786</v>
      </c>
      <c r="H411" s="366"/>
      <c r="I411" s="366"/>
      <c r="J411" s="366"/>
      <c r="K411" s="366"/>
      <c r="L411" s="367"/>
      <c r="M411" s="22" t="s">
        <v>591</v>
      </c>
      <c r="N411" s="22" t="s">
        <v>592</v>
      </c>
      <c r="O411" s="22" t="s">
        <v>593</v>
      </c>
      <c r="P411" s="24" t="s">
        <v>594</v>
      </c>
      <c r="V411" s="7"/>
    </row>
    <row r="412" spans="2:22" ht="18" customHeight="1">
      <c r="B412" s="355" t="str">
        <f>HYPERLINK("#LAYOUT_m1!lay중YEDU2A03","YEDU2A03")</f>
        <v>YEDU2A03</v>
      </c>
      <c r="C412" s="355"/>
      <c r="E412" s="7"/>
      <c r="G412" s="366" t="s">
        <v>787</v>
      </c>
      <c r="H412" s="366"/>
      <c r="I412" s="366"/>
      <c r="J412" s="366"/>
      <c r="K412" s="366"/>
      <c r="L412" s="367"/>
      <c r="M412" s="22" t="s">
        <v>591</v>
      </c>
      <c r="N412" s="22" t="s">
        <v>592</v>
      </c>
      <c r="O412" s="22" t="s">
        <v>593</v>
      </c>
      <c r="P412" s="24" t="s">
        <v>594</v>
      </c>
      <c r="V412" s="7"/>
    </row>
    <row r="413" spans="2:22" ht="18" customHeight="1">
      <c r="B413" s="355" t="str">
        <f>HYPERLINK("#LAYOUT_m1!lay중YEDU2A04","YEDU2A04")</f>
        <v>YEDU2A04</v>
      </c>
      <c r="C413" s="355"/>
      <c r="E413" s="7"/>
      <c r="G413" s="366" t="s">
        <v>788</v>
      </c>
      <c r="H413" s="366"/>
      <c r="I413" s="366"/>
      <c r="J413" s="366"/>
      <c r="K413" s="366"/>
      <c r="L413" s="367"/>
      <c r="M413" s="22" t="s">
        <v>591</v>
      </c>
      <c r="N413" s="22" t="s">
        <v>592</v>
      </c>
      <c r="O413" s="22" t="s">
        <v>593</v>
      </c>
      <c r="P413" s="24" t="s">
        <v>594</v>
      </c>
      <c r="V413" s="7"/>
    </row>
    <row r="414" spans="2:22" ht="18" customHeight="1">
      <c r="B414" s="355" t="str">
        <f>HYPERLINK("#LAYOUT_m1!lay중YEDU2A05","YEDU2A05")</f>
        <v>YEDU2A05</v>
      </c>
      <c r="C414" s="355"/>
      <c r="E414" s="7"/>
      <c r="G414" s="366" t="s">
        <v>789</v>
      </c>
      <c r="H414" s="366"/>
      <c r="I414" s="366"/>
      <c r="J414" s="366"/>
      <c r="K414" s="366"/>
      <c r="L414" s="367"/>
      <c r="M414" s="22" t="s">
        <v>591</v>
      </c>
      <c r="N414" s="22" t="s">
        <v>592</v>
      </c>
      <c r="O414" s="22" t="s">
        <v>593</v>
      </c>
      <c r="P414" s="24" t="s">
        <v>594</v>
      </c>
      <c r="V414" s="7"/>
    </row>
    <row r="415" spans="2:22" ht="18" customHeight="1">
      <c r="B415" s="355" t="str">
        <f>HYPERLINK("#LAYOUT_m1!lay중YEDU2A06","YEDU2A06")</f>
        <v>YEDU2A06</v>
      </c>
      <c r="C415" s="355"/>
      <c r="E415" s="7"/>
      <c r="G415" s="366" t="s">
        <v>790</v>
      </c>
      <c r="H415" s="366"/>
      <c r="I415" s="366"/>
      <c r="J415" s="366"/>
      <c r="K415" s="366"/>
      <c r="L415" s="367"/>
      <c r="M415" s="22" t="s">
        <v>591</v>
      </c>
      <c r="N415" s="22" t="s">
        <v>592</v>
      </c>
      <c r="O415" s="22" t="s">
        <v>593</v>
      </c>
      <c r="P415" s="24" t="s">
        <v>594</v>
      </c>
      <c r="V415" s="7"/>
    </row>
    <row r="416" spans="2:22" ht="18" customHeight="1">
      <c r="B416" s="355" t="str">
        <f>HYPERLINK("#LAYOUT_m1!lay중YEDU2A07","YEDU2A07")</f>
        <v>YEDU2A07</v>
      </c>
      <c r="C416" s="355"/>
      <c r="E416" s="7"/>
      <c r="G416" s="366" t="s">
        <v>791</v>
      </c>
      <c r="H416" s="366"/>
      <c r="I416" s="366"/>
      <c r="J416" s="366"/>
      <c r="K416" s="366"/>
      <c r="L416" s="367"/>
      <c r="M416" s="22" t="s">
        <v>591</v>
      </c>
      <c r="N416" s="22" t="s">
        <v>592</v>
      </c>
      <c r="O416" s="22" t="s">
        <v>593</v>
      </c>
      <c r="P416" s="24" t="s">
        <v>594</v>
      </c>
      <c r="V416" s="7"/>
    </row>
    <row r="417" spans="2:22" ht="18" customHeight="1">
      <c r="B417" s="355" t="str">
        <f>HYPERLINK("#LAYOUT_m1!lay중YEDU2A08","YEDU2A08")</f>
        <v>YEDU2A08</v>
      </c>
      <c r="C417" s="355"/>
      <c r="E417" s="7"/>
      <c r="G417" s="366" t="s">
        <v>792</v>
      </c>
      <c r="H417" s="366"/>
      <c r="I417" s="366"/>
      <c r="J417" s="366"/>
      <c r="K417" s="366"/>
      <c r="L417" s="367"/>
      <c r="M417" s="22" t="s">
        <v>591</v>
      </c>
      <c r="N417" s="22" t="s">
        <v>592</v>
      </c>
      <c r="O417" s="22" t="s">
        <v>593</v>
      </c>
      <c r="P417" s="24" t="s">
        <v>594</v>
      </c>
      <c r="V417" s="7"/>
    </row>
    <row r="418" spans="2:22" ht="18" customHeight="1">
      <c r="B418" s="355" t="str">
        <f>HYPERLINK("#LAYOUT_m1!lay중YEDU2A09","YEDU2A09")</f>
        <v>YEDU2A09</v>
      </c>
      <c r="C418" s="355"/>
      <c r="E418" s="7"/>
      <c r="G418" s="366" t="s">
        <v>793</v>
      </c>
      <c r="H418" s="366"/>
      <c r="I418" s="366"/>
      <c r="J418" s="366"/>
      <c r="K418" s="366"/>
      <c r="L418" s="367"/>
      <c r="M418" s="22" t="s">
        <v>591</v>
      </c>
      <c r="N418" s="22" t="s">
        <v>592</v>
      </c>
      <c r="O418" s="22" t="s">
        <v>593</v>
      </c>
      <c r="P418" s="24" t="s">
        <v>594</v>
      </c>
      <c r="V418" s="7"/>
    </row>
    <row r="419" spans="2:22" ht="18" customHeight="1">
      <c r="B419" s="355" t="str">
        <f>HYPERLINK("#LAYOUT_m1!lay중YEDU2A10","YEDU2A10")</f>
        <v>YEDU2A10</v>
      </c>
      <c r="C419" s="355"/>
      <c r="E419" s="7"/>
      <c r="G419" s="366" t="s">
        <v>794</v>
      </c>
      <c r="H419" s="366"/>
      <c r="I419" s="366"/>
      <c r="J419" s="366"/>
      <c r="K419" s="366"/>
      <c r="L419" s="367"/>
      <c r="M419" s="22" t="s">
        <v>591</v>
      </c>
      <c r="N419" s="22" t="s">
        <v>592</v>
      </c>
      <c r="O419" s="22" t="s">
        <v>593</v>
      </c>
      <c r="P419" s="24" t="s">
        <v>594</v>
      </c>
      <c r="V419" s="7"/>
    </row>
    <row r="420" spans="2:22" ht="18" customHeight="1">
      <c r="B420" s="355" t="str">
        <f>HYPERLINK("#LAYOUT_m1!lay중YEDU2A11","YEDU2A11")</f>
        <v>YEDU2A11</v>
      </c>
      <c r="C420" s="355"/>
      <c r="E420" s="7"/>
      <c r="G420" s="366" t="s">
        <v>795</v>
      </c>
      <c r="H420" s="366"/>
      <c r="I420" s="366"/>
      <c r="J420" s="366"/>
      <c r="K420" s="366"/>
      <c r="L420" s="367"/>
      <c r="M420" s="22" t="s">
        <v>591</v>
      </c>
      <c r="N420" s="22" t="s">
        <v>592</v>
      </c>
      <c r="O420" s="22" t="s">
        <v>593</v>
      </c>
      <c r="P420" s="24" t="s">
        <v>594</v>
      </c>
      <c r="V420" s="7"/>
    </row>
    <row r="421" spans="2:22" ht="18" customHeight="1">
      <c r="B421" s="355" t="str">
        <f>HYPERLINK("#LAYOUT_m1!lay중YEDU2A12","YEDU2A12")</f>
        <v>YEDU2A12</v>
      </c>
      <c r="C421" s="355"/>
      <c r="E421" s="7"/>
      <c r="G421" s="366" t="s">
        <v>796</v>
      </c>
      <c r="H421" s="366"/>
      <c r="I421" s="366"/>
      <c r="J421" s="366"/>
      <c r="K421" s="366"/>
      <c r="L421" s="367"/>
      <c r="M421" s="22" t="s">
        <v>591</v>
      </c>
      <c r="N421" s="22" t="s">
        <v>592</v>
      </c>
      <c r="O421" s="22" t="s">
        <v>593</v>
      </c>
      <c r="P421" s="24" t="s">
        <v>594</v>
      </c>
      <c r="V421" s="7"/>
    </row>
    <row r="422" spans="2:22" ht="18" customHeight="1">
      <c r="B422" s="355" t="str">
        <f>HYPERLINK("#LAYOUT_m1!lay중YEDU2A13","YEDU2A13")</f>
        <v>YEDU2A13</v>
      </c>
      <c r="C422" s="355"/>
      <c r="E422" s="7"/>
      <c r="G422" s="366" t="s">
        <v>797</v>
      </c>
      <c r="H422" s="366"/>
      <c r="I422" s="366"/>
      <c r="J422" s="366"/>
      <c r="K422" s="366"/>
      <c r="L422" s="367"/>
      <c r="M422" s="22" t="s">
        <v>591</v>
      </c>
      <c r="N422" s="22" t="s">
        <v>592</v>
      </c>
      <c r="O422" s="22" t="s">
        <v>593</v>
      </c>
      <c r="P422" s="24" t="s">
        <v>594</v>
      </c>
      <c r="V422" s="7"/>
    </row>
    <row r="423" spans="2:22" ht="18" customHeight="1">
      <c r="B423" s="195"/>
      <c r="C423" s="195"/>
      <c r="E423" s="7"/>
      <c r="V423" s="7"/>
    </row>
    <row r="424" spans="2:22" ht="18" customHeight="1">
      <c r="B424" s="195"/>
      <c r="C424" s="195"/>
      <c r="E424" s="7"/>
      <c r="V424" s="7"/>
    </row>
    <row r="425" spans="2:22" ht="18" customHeight="1" thickBot="1">
      <c r="B425" s="195"/>
      <c r="C425" s="195"/>
      <c r="E425" s="7"/>
      <c r="F425" s="6" t="s">
        <v>1533</v>
      </c>
      <c r="V425" s="7"/>
    </row>
    <row r="426" spans="2:22" ht="31.5" thickTop="1" thickBot="1">
      <c r="B426" s="195"/>
      <c r="C426" s="195"/>
      <c r="E426" s="7"/>
      <c r="G426" s="397" t="s">
        <v>643</v>
      </c>
      <c r="H426" s="397"/>
      <c r="I426" s="397"/>
      <c r="J426" s="397"/>
      <c r="K426" s="397"/>
      <c r="L426" s="398"/>
      <c r="M426" s="9" t="s">
        <v>622</v>
      </c>
      <c r="N426" s="9" t="s">
        <v>623</v>
      </c>
      <c r="O426" s="9" t="s">
        <v>107</v>
      </c>
      <c r="P426" s="10" t="s">
        <v>108</v>
      </c>
      <c r="V426" s="7"/>
    </row>
    <row r="427" spans="2:22" ht="18" customHeight="1" thickTop="1">
      <c r="B427" s="355" t="str">
        <f>HYPERLINK("#LAYOUT_m1!lay중YEDU3A01","YEDU3A01")</f>
        <v>YEDU3A01</v>
      </c>
      <c r="C427" s="355"/>
      <c r="E427" s="7"/>
      <c r="G427" s="366" t="s">
        <v>799</v>
      </c>
      <c r="H427" s="366"/>
      <c r="I427" s="366"/>
      <c r="J427" s="366"/>
      <c r="K427" s="366"/>
      <c r="L427" s="367"/>
      <c r="M427" s="20" t="s">
        <v>591</v>
      </c>
      <c r="N427" s="20" t="s">
        <v>592</v>
      </c>
      <c r="O427" s="20" t="s">
        <v>593</v>
      </c>
      <c r="P427" s="25" t="s">
        <v>594</v>
      </c>
      <c r="V427" s="7"/>
    </row>
    <row r="428" spans="2:22" ht="18" customHeight="1">
      <c r="B428" s="355" t="str">
        <f>HYPERLINK("#LAYOUT_m1!lay중YEDU3A02","YEDU3A02")</f>
        <v>YEDU3A02</v>
      </c>
      <c r="C428" s="355"/>
      <c r="E428" s="7"/>
      <c r="G428" s="366" t="s">
        <v>800</v>
      </c>
      <c r="H428" s="366"/>
      <c r="I428" s="366"/>
      <c r="J428" s="366"/>
      <c r="K428" s="366"/>
      <c r="L428" s="367"/>
      <c r="M428" s="22" t="s">
        <v>591</v>
      </c>
      <c r="N428" s="22" t="s">
        <v>592</v>
      </c>
      <c r="O428" s="22" t="s">
        <v>593</v>
      </c>
      <c r="P428" s="24" t="s">
        <v>594</v>
      </c>
      <c r="V428" s="7"/>
    </row>
    <row r="429" spans="2:22" ht="18" customHeight="1">
      <c r="B429" s="355" t="str">
        <f>HYPERLINK("#LAYOUT_m1!lay중YEDU3A03","YEDU3A03")</f>
        <v>YEDU3A03</v>
      </c>
      <c r="C429" s="355"/>
      <c r="E429" s="7"/>
      <c r="G429" s="366" t="s">
        <v>801</v>
      </c>
      <c r="H429" s="366"/>
      <c r="I429" s="366"/>
      <c r="J429" s="366"/>
      <c r="K429" s="366"/>
      <c r="L429" s="367"/>
      <c r="M429" s="22" t="s">
        <v>591</v>
      </c>
      <c r="N429" s="22" t="s">
        <v>592</v>
      </c>
      <c r="O429" s="22" t="s">
        <v>593</v>
      </c>
      <c r="P429" s="24" t="s">
        <v>594</v>
      </c>
      <c r="V429" s="7"/>
    </row>
    <row r="430" spans="2:22" ht="18" customHeight="1">
      <c r="B430" s="355" t="str">
        <f>HYPERLINK("#LAYOUT_m1!lay중YEDU3A04","YEDU3A04")</f>
        <v>YEDU3A04</v>
      </c>
      <c r="C430" s="355"/>
      <c r="E430" s="7"/>
      <c r="G430" s="366" t="s">
        <v>802</v>
      </c>
      <c r="H430" s="366"/>
      <c r="I430" s="366"/>
      <c r="J430" s="366"/>
      <c r="K430" s="366"/>
      <c r="L430" s="367"/>
      <c r="M430" s="22" t="s">
        <v>591</v>
      </c>
      <c r="N430" s="22" t="s">
        <v>592</v>
      </c>
      <c r="O430" s="22" t="s">
        <v>593</v>
      </c>
      <c r="P430" s="24" t="s">
        <v>594</v>
      </c>
      <c r="V430" s="7"/>
    </row>
    <row r="431" spans="2:22" ht="18" customHeight="1">
      <c r="B431" s="355" t="str">
        <f>HYPERLINK("#LAYOUT_m1!lay중YEDU3A05","YEDU3A05")</f>
        <v>YEDU3A05</v>
      </c>
      <c r="C431" s="355"/>
      <c r="E431" s="7"/>
      <c r="G431" s="366" t="s">
        <v>803</v>
      </c>
      <c r="H431" s="366"/>
      <c r="I431" s="366"/>
      <c r="J431" s="366"/>
      <c r="K431" s="366"/>
      <c r="L431" s="367"/>
      <c r="M431" s="22" t="s">
        <v>591</v>
      </c>
      <c r="N431" s="22" t="s">
        <v>592</v>
      </c>
      <c r="O431" s="22" t="s">
        <v>593</v>
      </c>
      <c r="P431" s="24" t="s">
        <v>594</v>
      </c>
      <c r="V431" s="7"/>
    </row>
    <row r="432" spans="2:22" ht="18" customHeight="1">
      <c r="B432" s="355" t="str">
        <f>HYPERLINK("#LAYOUT_m1!lay중YEDU3A06","YEDU3A06")</f>
        <v>YEDU3A06</v>
      </c>
      <c r="C432" s="355"/>
      <c r="E432" s="7"/>
      <c r="G432" s="366" t="s">
        <v>804</v>
      </c>
      <c r="H432" s="366"/>
      <c r="I432" s="366"/>
      <c r="J432" s="366"/>
      <c r="K432" s="366"/>
      <c r="L432" s="367"/>
      <c r="M432" s="22" t="s">
        <v>591</v>
      </c>
      <c r="N432" s="22" t="s">
        <v>592</v>
      </c>
      <c r="O432" s="22" t="s">
        <v>593</v>
      </c>
      <c r="P432" s="24" t="s">
        <v>594</v>
      </c>
      <c r="V432" s="7"/>
    </row>
    <row r="433" spans="2:22" ht="18" customHeight="1">
      <c r="B433" s="355" t="str">
        <f>HYPERLINK("#LAYOUT_m1!lay중YEDU3A07","YEDU3A07")</f>
        <v>YEDU3A07</v>
      </c>
      <c r="C433" s="355"/>
      <c r="E433" s="7"/>
      <c r="G433" s="366" t="s">
        <v>805</v>
      </c>
      <c r="H433" s="366"/>
      <c r="I433" s="366"/>
      <c r="J433" s="366"/>
      <c r="K433" s="366"/>
      <c r="L433" s="367"/>
      <c r="M433" s="22" t="s">
        <v>591</v>
      </c>
      <c r="N433" s="22" t="s">
        <v>592</v>
      </c>
      <c r="O433" s="22" t="s">
        <v>593</v>
      </c>
      <c r="P433" s="24" t="s">
        <v>594</v>
      </c>
      <c r="V433" s="7"/>
    </row>
    <row r="434" spans="2:22" ht="18" customHeight="1">
      <c r="B434" s="355" t="str">
        <f>HYPERLINK("#LAYOUT_m1!lay중YEDU3A08","YEDU3A08")</f>
        <v>YEDU3A08</v>
      </c>
      <c r="C434" s="355"/>
      <c r="E434" s="7"/>
      <c r="G434" s="366" t="s">
        <v>806</v>
      </c>
      <c r="H434" s="366"/>
      <c r="I434" s="366"/>
      <c r="J434" s="366"/>
      <c r="K434" s="366"/>
      <c r="L434" s="367"/>
      <c r="M434" s="22" t="s">
        <v>591</v>
      </c>
      <c r="N434" s="22" t="s">
        <v>592</v>
      </c>
      <c r="O434" s="22" t="s">
        <v>593</v>
      </c>
      <c r="P434" s="24" t="s">
        <v>594</v>
      </c>
      <c r="V434" s="7"/>
    </row>
    <row r="435" spans="2:22" ht="18" customHeight="1">
      <c r="B435" s="355" t="str">
        <f>HYPERLINK("#LAYOUT_m1!lay중YEDU3A09","YEDU3A09")</f>
        <v>YEDU3A09</v>
      </c>
      <c r="C435" s="355"/>
      <c r="E435" s="7"/>
      <c r="G435" s="366" t="s">
        <v>807</v>
      </c>
      <c r="H435" s="366"/>
      <c r="I435" s="366"/>
      <c r="J435" s="366"/>
      <c r="K435" s="366"/>
      <c r="L435" s="367"/>
      <c r="M435" s="22" t="s">
        <v>591</v>
      </c>
      <c r="N435" s="22" t="s">
        <v>592</v>
      </c>
      <c r="O435" s="22" t="s">
        <v>593</v>
      </c>
      <c r="P435" s="24" t="s">
        <v>594</v>
      </c>
      <c r="V435" s="7"/>
    </row>
    <row r="436" spans="2:22" ht="18" customHeight="1">
      <c r="B436" s="355" t="str">
        <f>HYPERLINK("#LAYOUT_m1!lay중YEDU3A10","YEDU3A10")</f>
        <v>YEDU3A10</v>
      </c>
      <c r="C436" s="355"/>
      <c r="E436" s="7"/>
      <c r="G436" s="366" t="s">
        <v>808</v>
      </c>
      <c r="H436" s="366"/>
      <c r="I436" s="366"/>
      <c r="J436" s="366"/>
      <c r="K436" s="366"/>
      <c r="L436" s="367"/>
      <c r="M436" s="22" t="s">
        <v>591</v>
      </c>
      <c r="N436" s="22" t="s">
        <v>592</v>
      </c>
      <c r="O436" s="22" t="s">
        <v>593</v>
      </c>
      <c r="P436" s="24" t="s">
        <v>594</v>
      </c>
      <c r="V436" s="7"/>
    </row>
    <row r="437" spans="2:22" ht="18" customHeight="1">
      <c r="B437" s="355" t="str">
        <f>HYPERLINK("#LAYOUT_m1!lay중YEDU3A11","YEDU3A11")</f>
        <v>YEDU3A11</v>
      </c>
      <c r="C437" s="355"/>
      <c r="E437" s="7"/>
      <c r="G437" s="366" t="s">
        <v>809</v>
      </c>
      <c r="H437" s="366"/>
      <c r="I437" s="366"/>
      <c r="J437" s="366"/>
      <c r="K437" s="366"/>
      <c r="L437" s="367"/>
      <c r="M437" s="22" t="s">
        <v>591</v>
      </c>
      <c r="N437" s="22" t="s">
        <v>592</v>
      </c>
      <c r="O437" s="22" t="s">
        <v>593</v>
      </c>
      <c r="P437" s="24" t="s">
        <v>594</v>
      </c>
      <c r="V437" s="7"/>
    </row>
    <row r="438" spans="2:22" ht="18" customHeight="1">
      <c r="B438" s="355" t="str">
        <f>HYPERLINK("#LAYOUT_m1!lay중YEDU3A12","YEDU3A12")</f>
        <v>YEDU3A12</v>
      </c>
      <c r="C438" s="355"/>
      <c r="E438" s="7"/>
      <c r="G438" s="366" t="s">
        <v>810</v>
      </c>
      <c r="H438" s="366"/>
      <c r="I438" s="366"/>
      <c r="J438" s="366"/>
      <c r="K438" s="366"/>
      <c r="L438" s="367"/>
      <c r="M438" s="22" t="s">
        <v>591</v>
      </c>
      <c r="N438" s="22" t="s">
        <v>592</v>
      </c>
      <c r="O438" s="22" t="s">
        <v>593</v>
      </c>
      <c r="P438" s="24" t="s">
        <v>594</v>
      </c>
      <c r="V438" s="7"/>
    </row>
    <row r="439" spans="2:22" ht="18" customHeight="1">
      <c r="B439" s="355" t="str">
        <f>HYPERLINK("#LAYOUT_m1!lay중YEDU3A13","YEDU3A13")</f>
        <v>YEDU3A13</v>
      </c>
      <c r="C439" s="355"/>
      <c r="E439" s="7"/>
      <c r="G439" s="366" t="s">
        <v>811</v>
      </c>
      <c r="H439" s="366"/>
      <c r="I439" s="366"/>
      <c r="J439" s="366"/>
      <c r="K439" s="366"/>
      <c r="L439" s="367"/>
      <c r="M439" s="22" t="s">
        <v>591</v>
      </c>
      <c r="N439" s="22" t="s">
        <v>592</v>
      </c>
      <c r="O439" s="22" t="s">
        <v>593</v>
      </c>
      <c r="P439" s="24" t="s">
        <v>594</v>
      </c>
      <c r="V439" s="7"/>
    </row>
    <row r="440" spans="2:22" ht="18" customHeight="1">
      <c r="B440" s="355" t="str">
        <f>HYPERLINK("#LAYOUT_m1!lay중YEDU3A14","YEDU3A14")</f>
        <v>YEDU3A14</v>
      </c>
      <c r="C440" s="355"/>
      <c r="E440" s="7"/>
      <c r="G440" s="366" t="s">
        <v>812</v>
      </c>
      <c r="H440" s="366"/>
      <c r="I440" s="366"/>
      <c r="J440" s="366"/>
      <c r="K440" s="366"/>
      <c r="L440" s="367"/>
      <c r="M440" s="22" t="s">
        <v>591</v>
      </c>
      <c r="N440" s="22" t="s">
        <v>592</v>
      </c>
      <c r="O440" s="22" t="s">
        <v>593</v>
      </c>
      <c r="P440" s="24" t="s">
        <v>594</v>
      </c>
      <c r="V440" s="7"/>
    </row>
    <row r="441" spans="2:22" ht="18" customHeight="1">
      <c r="B441" s="195"/>
      <c r="C441" s="195"/>
      <c r="E441" s="7"/>
      <c r="G441" s="28"/>
      <c r="H441" s="28"/>
      <c r="I441" s="28"/>
      <c r="J441" s="28"/>
      <c r="K441" s="28"/>
      <c r="L441" s="28"/>
      <c r="M441" s="11"/>
      <c r="N441" s="11"/>
      <c r="O441" s="11"/>
      <c r="P441" s="11"/>
      <c r="V441" s="7"/>
    </row>
    <row r="442" spans="2:22" ht="18" customHeight="1">
      <c r="B442" s="195"/>
      <c r="C442" s="195"/>
      <c r="E442" s="7"/>
      <c r="G442" s="28"/>
      <c r="H442" s="28"/>
      <c r="I442" s="28"/>
      <c r="J442" s="28"/>
      <c r="K442" s="28"/>
      <c r="L442" s="28"/>
      <c r="M442" s="11"/>
      <c r="N442" s="11"/>
      <c r="O442" s="11"/>
      <c r="P442" s="11"/>
      <c r="V442" s="7"/>
    </row>
    <row r="443" spans="2:22" ht="18" customHeight="1" thickBot="1">
      <c r="B443" s="195"/>
      <c r="C443" s="195"/>
      <c r="E443" s="7"/>
      <c r="F443" s="6" t="s">
        <v>1534</v>
      </c>
      <c r="G443" s="28"/>
      <c r="H443" s="28"/>
      <c r="I443" s="28"/>
      <c r="J443" s="28"/>
      <c r="K443" s="28"/>
      <c r="L443" s="28"/>
      <c r="M443" s="11"/>
      <c r="N443" s="11"/>
      <c r="O443" s="11"/>
      <c r="P443" s="11"/>
      <c r="V443" s="7"/>
    </row>
    <row r="444" spans="2:22" ht="18" customHeight="1" thickTop="1">
      <c r="B444" s="195"/>
      <c r="C444" s="195"/>
      <c r="E444" s="7"/>
      <c r="G444" s="390" t="s">
        <v>643</v>
      </c>
      <c r="H444" s="390"/>
      <c r="I444" s="390"/>
      <c r="J444" s="390"/>
      <c r="K444" s="390"/>
      <c r="L444" s="391"/>
      <c r="M444" s="416" t="s">
        <v>418</v>
      </c>
      <c r="N444" s="413" t="s">
        <v>341</v>
      </c>
      <c r="O444" s="414"/>
      <c r="P444" s="414"/>
      <c r="Q444" s="414"/>
      <c r="R444" s="414"/>
      <c r="V444" s="7"/>
    </row>
    <row r="445" spans="2:22" ht="30.75" thickBot="1">
      <c r="B445" s="195"/>
      <c r="C445" s="195"/>
      <c r="E445" s="7"/>
      <c r="G445" s="374"/>
      <c r="H445" s="374"/>
      <c r="I445" s="374"/>
      <c r="J445" s="374"/>
      <c r="K445" s="374"/>
      <c r="L445" s="408"/>
      <c r="M445" s="417"/>
      <c r="N445" s="33" t="s">
        <v>345</v>
      </c>
      <c r="O445" s="33" t="s">
        <v>419</v>
      </c>
      <c r="P445" s="33" t="s">
        <v>347</v>
      </c>
      <c r="Q445" s="33" t="s">
        <v>348</v>
      </c>
      <c r="R445" s="34" t="s">
        <v>853</v>
      </c>
      <c r="V445" s="7"/>
    </row>
    <row r="446" spans="2:22" ht="18" customHeight="1" thickTop="1">
      <c r="B446" s="355" t="str">
        <f>HYPERLINK("#LAYOUT_m1!lay중YDLQ1A01","YDLQ1A01")</f>
        <v>YDLQ1A01</v>
      </c>
      <c r="C446" s="355"/>
      <c r="E446" s="7"/>
      <c r="G446" s="366" t="s">
        <v>907</v>
      </c>
      <c r="H446" s="366"/>
      <c r="I446" s="366"/>
      <c r="J446" s="366"/>
      <c r="K446" s="366"/>
      <c r="L446" s="367"/>
      <c r="M446" s="20" t="s">
        <v>591</v>
      </c>
      <c r="N446" s="20" t="s">
        <v>592</v>
      </c>
      <c r="O446" s="20" t="s">
        <v>593</v>
      </c>
      <c r="P446" s="20" t="s">
        <v>594</v>
      </c>
      <c r="Q446" s="20" t="s">
        <v>595</v>
      </c>
      <c r="R446" s="25" t="s">
        <v>596</v>
      </c>
      <c r="V446" s="7"/>
    </row>
    <row r="447" spans="2:22" ht="18" customHeight="1">
      <c r="B447" s="355" t="str">
        <f>HYPERLINK("#LAYOUT_m1!lay중YDLQ1A02","YDLQ1A02")</f>
        <v>YDLQ1A02</v>
      </c>
      <c r="C447" s="355"/>
      <c r="E447" s="7"/>
      <c r="G447" s="366" t="s">
        <v>908</v>
      </c>
      <c r="H447" s="366"/>
      <c r="I447" s="366"/>
      <c r="J447" s="366"/>
      <c r="K447" s="366"/>
      <c r="L447" s="367"/>
      <c r="M447" s="26" t="s">
        <v>591</v>
      </c>
      <c r="N447" s="26" t="s">
        <v>592</v>
      </c>
      <c r="O447" s="26" t="s">
        <v>593</v>
      </c>
      <c r="P447" s="26" t="s">
        <v>594</v>
      </c>
      <c r="Q447" s="26" t="s">
        <v>595</v>
      </c>
      <c r="R447" s="27" t="s">
        <v>596</v>
      </c>
      <c r="V447" s="7"/>
    </row>
    <row r="448" spans="2:22" ht="18" customHeight="1">
      <c r="B448" s="355" t="str">
        <f>HYPERLINK("#LAYOUT_m1!lay중YDLQ1A03","YDLQ1A03")</f>
        <v>YDLQ1A03</v>
      </c>
      <c r="C448" s="355"/>
      <c r="E448" s="7"/>
      <c r="G448" s="366" t="s">
        <v>909</v>
      </c>
      <c r="H448" s="366"/>
      <c r="I448" s="366"/>
      <c r="J448" s="366"/>
      <c r="K448" s="366"/>
      <c r="L448" s="367"/>
      <c r="M448" s="26" t="s">
        <v>591</v>
      </c>
      <c r="N448" s="26" t="s">
        <v>592</v>
      </c>
      <c r="O448" s="26" t="s">
        <v>593</v>
      </c>
      <c r="P448" s="26" t="s">
        <v>594</v>
      </c>
      <c r="Q448" s="26" t="s">
        <v>595</v>
      </c>
      <c r="R448" s="27" t="s">
        <v>596</v>
      </c>
      <c r="V448" s="7"/>
    </row>
    <row r="449" spans="2:22" ht="18" customHeight="1">
      <c r="B449" s="355" t="str">
        <f>HYPERLINK("#LAYOUT_m1!lay중YDLQ1A04","YDLQ1A04")</f>
        <v>YDLQ1A04</v>
      </c>
      <c r="C449" s="355"/>
      <c r="E449" s="7"/>
      <c r="G449" s="366" t="s">
        <v>910</v>
      </c>
      <c r="H449" s="366"/>
      <c r="I449" s="366"/>
      <c r="J449" s="366"/>
      <c r="K449" s="366"/>
      <c r="L449" s="367"/>
      <c r="M449" s="26" t="s">
        <v>591</v>
      </c>
      <c r="N449" s="26" t="s">
        <v>592</v>
      </c>
      <c r="O449" s="26" t="s">
        <v>593</v>
      </c>
      <c r="P449" s="26" t="s">
        <v>594</v>
      </c>
      <c r="Q449" s="26" t="s">
        <v>595</v>
      </c>
      <c r="R449" s="27" t="s">
        <v>596</v>
      </c>
      <c r="V449" s="7"/>
    </row>
    <row r="450" spans="2:22" ht="18" customHeight="1">
      <c r="B450" s="355" t="str">
        <f>HYPERLINK("#LAYOUT_m1!lay중YDLQ1A05","YDLQ1A05")</f>
        <v>YDLQ1A05</v>
      </c>
      <c r="C450" s="355"/>
      <c r="E450" s="7"/>
      <c r="G450" s="366" t="s">
        <v>911</v>
      </c>
      <c r="H450" s="366"/>
      <c r="I450" s="366"/>
      <c r="J450" s="366"/>
      <c r="K450" s="366"/>
      <c r="L450" s="367"/>
      <c r="M450" s="22" t="s">
        <v>591</v>
      </c>
      <c r="N450" s="22" t="s">
        <v>592</v>
      </c>
      <c r="O450" s="22" t="s">
        <v>593</v>
      </c>
      <c r="P450" s="22" t="s">
        <v>594</v>
      </c>
      <c r="Q450" s="22" t="s">
        <v>595</v>
      </c>
      <c r="R450" s="24" t="s">
        <v>596</v>
      </c>
      <c r="V450" s="7"/>
    </row>
    <row r="451" spans="2:22" ht="18" customHeight="1">
      <c r="B451" s="355" t="str">
        <f>HYPERLINK("#LAYOUT_m1!lay중YDLQ1A06","YDLQ1A06")</f>
        <v>YDLQ1A06</v>
      </c>
      <c r="C451" s="355"/>
      <c r="E451" s="7"/>
      <c r="G451" s="366" t="s">
        <v>912</v>
      </c>
      <c r="H451" s="366"/>
      <c r="I451" s="366"/>
      <c r="J451" s="366"/>
      <c r="K451" s="366"/>
      <c r="L451" s="367"/>
      <c r="M451" s="22" t="s">
        <v>591</v>
      </c>
      <c r="N451" s="22" t="s">
        <v>592</v>
      </c>
      <c r="O451" s="22" t="s">
        <v>593</v>
      </c>
      <c r="P451" s="22" t="s">
        <v>594</v>
      </c>
      <c r="Q451" s="22" t="s">
        <v>595</v>
      </c>
      <c r="R451" s="24" t="s">
        <v>596</v>
      </c>
      <c r="V451" s="7"/>
    </row>
    <row r="452" spans="2:22" ht="18" customHeight="1">
      <c r="B452" s="355" t="str">
        <f>HYPERLINK("#LAYOUT_m1!lay중YDLQ1A07","YDLQ1A07")</f>
        <v>YDLQ1A07</v>
      </c>
      <c r="C452" s="355"/>
      <c r="E452" s="7"/>
      <c r="G452" s="366" t="s">
        <v>913</v>
      </c>
      <c r="H452" s="366"/>
      <c r="I452" s="366"/>
      <c r="J452" s="366"/>
      <c r="K452" s="366"/>
      <c r="L452" s="367"/>
      <c r="M452" s="22" t="s">
        <v>591</v>
      </c>
      <c r="N452" s="22" t="s">
        <v>592</v>
      </c>
      <c r="O452" s="22" t="s">
        <v>593</v>
      </c>
      <c r="P452" s="22" t="s">
        <v>594</v>
      </c>
      <c r="Q452" s="22" t="s">
        <v>595</v>
      </c>
      <c r="R452" s="24" t="s">
        <v>596</v>
      </c>
      <c r="V452" s="7"/>
    </row>
    <row r="453" spans="2:22" ht="18" customHeight="1">
      <c r="B453" s="355" t="str">
        <f>HYPERLINK("#LAYOUT_m1!lay중YDLQ1A08","YDLQ1A08")</f>
        <v>YDLQ1A08</v>
      </c>
      <c r="C453" s="355"/>
      <c r="E453" s="7"/>
      <c r="G453" s="366" t="s">
        <v>914</v>
      </c>
      <c r="H453" s="366"/>
      <c r="I453" s="366"/>
      <c r="J453" s="366"/>
      <c r="K453" s="366"/>
      <c r="L453" s="367"/>
      <c r="M453" s="22" t="s">
        <v>591</v>
      </c>
      <c r="N453" s="22" t="s">
        <v>592</v>
      </c>
      <c r="O453" s="22" t="s">
        <v>593</v>
      </c>
      <c r="P453" s="22" t="s">
        <v>594</v>
      </c>
      <c r="Q453" s="22" t="s">
        <v>595</v>
      </c>
      <c r="R453" s="24" t="s">
        <v>596</v>
      </c>
      <c r="V453" s="7"/>
    </row>
    <row r="454" spans="2:22" ht="18" customHeight="1">
      <c r="B454" s="355" t="str">
        <f>HYPERLINK("#LAYOUT_m1!lay중YDLQ1A09","YDLQ1A09")</f>
        <v>YDLQ1A09</v>
      </c>
      <c r="C454" s="355"/>
      <c r="E454" s="7"/>
      <c r="G454" s="366" t="s">
        <v>915</v>
      </c>
      <c r="H454" s="366"/>
      <c r="I454" s="366"/>
      <c r="J454" s="366"/>
      <c r="K454" s="366"/>
      <c r="L454" s="367"/>
      <c r="M454" s="22" t="s">
        <v>591</v>
      </c>
      <c r="N454" s="22" t="s">
        <v>592</v>
      </c>
      <c r="O454" s="22" t="s">
        <v>593</v>
      </c>
      <c r="P454" s="22" t="s">
        <v>594</v>
      </c>
      <c r="Q454" s="22" t="s">
        <v>595</v>
      </c>
      <c r="R454" s="24" t="s">
        <v>596</v>
      </c>
      <c r="V454" s="7"/>
    </row>
    <row r="455" spans="2:22" ht="18" customHeight="1">
      <c r="B455" s="355" t="str">
        <f>HYPERLINK("#LAYOUT_m1!lay중YDLQ1A10","YDLQ1A10")</f>
        <v>YDLQ1A10</v>
      </c>
      <c r="C455" s="355"/>
      <c r="E455" s="7"/>
      <c r="G455" s="366" t="s">
        <v>916</v>
      </c>
      <c r="H455" s="366"/>
      <c r="I455" s="366"/>
      <c r="J455" s="366"/>
      <c r="K455" s="366"/>
      <c r="L455" s="367"/>
      <c r="M455" s="22" t="s">
        <v>591</v>
      </c>
      <c r="N455" s="22" t="s">
        <v>592</v>
      </c>
      <c r="O455" s="22" t="s">
        <v>593</v>
      </c>
      <c r="P455" s="22" t="s">
        <v>594</v>
      </c>
      <c r="Q455" s="22" t="s">
        <v>595</v>
      </c>
      <c r="R455" s="24" t="s">
        <v>596</v>
      </c>
      <c r="V455" s="7"/>
    </row>
    <row r="456" spans="2:22" ht="18" customHeight="1">
      <c r="B456" s="355" t="str">
        <f>HYPERLINK("#LAYOUT_m1!lay중YDLQ1A11","YDLQ1A11")</f>
        <v>YDLQ1A11</v>
      </c>
      <c r="C456" s="355"/>
      <c r="E456" s="7"/>
      <c r="G456" s="366" t="s">
        <v>917</v>
      </c>
      <c r="H456" s="366"/>
      <c r="I456" s="366"/>
      <c r="J456" s="366"/>
      <c r="K456" s="366"/>
      <c r="L456" s="367"/>
      <c r="M456" s="22" t="s">
        <v>591</v>
      </c>
      <c r="N456" s="22" t="s">
        <v>592</v>
      </c>
      <c r="O456" s="22" t="s">
        <v>593</v>
      </c>
      <c r="P456" s="22" t="s">
        <v>594</v>
      </c>
      <c r="Q456" s="22" t="s">
        <v>595</v>
      </c>
      <c r="R456" s="24" t="s">
        <v>596</v>
      </c>
      <c r="V456" s="7"/>
    </row>
    <row r="457" spans="2:22" ht="18" customHeight="1">
      <c r="B457" s="355" t="str">
        <f>HYPERLINK("#LAYOUT_m1!lay중YDLQ1A12","YDLQ1A12")</f>
        <v>YDLQ1A12</v>
      </c>
      <c r="C457" s="355"/>
      <c r="E457" s="7"/>
      <c r="G457" s="366" t="s">
        <v>918</v>
      </c>
      <c r="H457" s="366"/>
      <c r="I457" s="366"/>
      <c r="J457" s="366"/>
      <c r="K457" s="366"/>
      <c r="L457" s="367"/>
      <c r="M457" s="22" t="s">
        <v>591</v>
      </c>
      <c r="N457" s="22" t="s">
        <v>592</v>
      </c>
      <c r="O457" s="22" t="s">
        <v>593</v>
      </c>
      <c r="P457" s="22" t="s">
        <v>594</v>
      </c>
      <c r="Q457" s="22" t="s">
        <v>595</v>
      </c>
      <c r="R457" s="24" t="s">
        <v>596</v>
      </c>
      <c r="V457" s="7"/>
    </row>
    <row r="458" spans="2:22" ht="18" customHeight="1">
      <c r="B458" s="355" t="str">
        <f>HYPERLINK("#LAYOUT_m1!lay중YDLQ1A13","YDLQ1A13")</f>
        <v>YDLQ1A13</v>
      </c>
      <c r="C458" s="355"/>
      <c r="E458" s="7"/>
      <c r="G458" s="366" t="s">
        <v>919</v>
      </c>
      <c r="H458" s="366"/>
      <c r="I458" s="366"/>
      <c r="J458" s="366"/>
      <c r="K458" s="366"/>
      <c r="L458" s="367"/>
      <c r="M458" s="22" t="s">
        <v>591</v>
      </c>
      <c r="N458" s="22" t="s">
        <v>592</v>
      </c>
      <c r="O458" s="22" t="s">
        <v>593</v>
      </c>
      <c r="P458" s="22" t="s">
        <v>594</v>
      </c>
      <c r="Q458" s="22" t="s">
        <v>595</v>
      </c>
      <c r="R458" s="24" t="s">
        <v>596</v>
      </c>
      <c r="V458" s="7"/>
    </row>
    <row r="459" spans="2:22" ht="18" customHeight="1">
      <c r="B459" s="355" t="str">
        <f>HYPERLINK("#LAYOUT_m1!lay중YDLQ1A14","YDLQ1A14")</f>
        <v>YDLQ1A14</v>
      </c>
      <c r="C459" s="355"/>
      <c r="E459" s="7"/>
      <c r="G459" s="366" t="s">
        <v>920</v>
      </c>
      <c r="H459" s="366"/>
      <c r="I459" s="366"/>
      <c r="J459" s="366"/>
      <c r="K459" s="366"/>
      <c r="L459" s="367"/>
      <c r="M459" s="22" t="s">
        <v>591</v>
      </c>
      <c r="N459" s="22" t="s">
        <v>592</v>
      </c>
      <c r="O459" s="22" t="s">
        <v>593</v>
      </c>
      <c r="P459" s="22" t="s">
        <v>594</v>
      </c>
      <c r="Q459" s="22" t="s">
        <v>595</v>
      </c>
      <c r="R459" s="24" t="s">
        <v>596</v>
      </c>
      <c r="V459" s="7"/>
    </row>
    <row r="460" spans="2:22" ht="18" customHeight="1">
      <c r="B460" s="355" t="str">
        <f>HYPERLINK("#LAYOUT_m1!lay중YDLQ1A15","YDLQ1A15")</f>
        <v>YDLQ1A15</v>
      </c>
      <c r="C460" s="355"/>
      <c r="E460" s="7"/>
      <c r="G460" s="366" t="s">
        <v>921</v>
      </c>
      <c r="H460" s="366"/>
      <c r="I460" s="366"/>
      <c r="J460" s="366"/>
      <c r="K460" s="366"/>
      <c r="L460" s="367"/>
      <c r="M460" s="22" t="s">
        <v>591</v>
      </c>
      <c r="N460" s="22" t="s">
        <v>592</v>
      </c>
      <c r="O460" s="22" t="s">
        <v>593</v>
      </c>
      <c r="P460" s="22" t="s">
        <v>594</v>
      </c>
      <c r="Q460" s="22" t="s">
        <v>595</v>
      </c>
      <c r="R460" s="24" t="s">
        <v>596</v>
      </c>
      <c r="V460" s="7"/>
    </row>
    <row r="461" spans="2:22" ht="18" customHeight="1">
      <c r="B461" s="195"/>
      <c r="C461" s="195"/>
      <c r="E461" s="7"/>
      <c r="G461" s="28"/>
      <c r="H461" s="28"/>
      <c r="I461" s="28"/>
      <c r="J461" s="28"/>
      <c r="K461" s="28"/>
      <c r="L461" s="28"/>
      <c r="M461" s="11"/>
      <c r="N461" s="11"/>
      <c r="O461" s="11"/>
      <c r="P461" s="11"/>
      <c r="V461" s="7"/>
    </row>
    <row r="462" spans="2:22" ht="18" customHeight="1">
      <c r="B462" s="195"/>
      <c r="C462" s="195"/>
      <c r="E462" s="7"/>
      <c r="G462" s="28"/>
      <c r="H462" s="28"/>
      <c r="I462" s="28"/>
      <c r="J462" s="28"/>
      <c r="K462" s="28"/>
      <c r="L462" s="28"/>
      <c r="M462" s="11"/>
      <c r="N462" s="11"/>
      <c r="O462" s="11"/>
      <c r="P462" s="11"/>
      <c r="V462" s="7"/>
    </row>
    <row r="463" spans="2:22" ht="18" customHeight="1" thickBot="1">
      <c r="B463" s="195"/>
      <c r="C463" s="195"/>
      <c r="E463" s="7"/>
      <c r="F463" s="6" t="s">
        <v>1535</v>
      </c>
      <c r="G463" s="28"/>
      <c r="H463" s="28"/>
      <c r="I463" s="28"/>
      <c r="J463" s="28"/>
      <c r="K463" s="28"/>
      <c r="L463" s="28"/>
      <c r="M463" s="11"/>
      <c r="N463" s="11"/>
      <c r="O463" s="11"/>
      <c r="P463" s="11"/>
      <c r="V463" s="7"/>
    </row>
    <row r="464" spans="2:22" ht="18" customHeight="1" thickTop="1">
      <c r="B464" s="195"/>
      <c r="C464" s="195"/>
      <c r="E464" s="7"/>
      <c r="G464" s="390" t="s">
        <v>643</v>
      </c>
      <c r="H464" s="390"/>
      <c r="I464" s="390"/>
      <c r="J464" s="390"/>
      <c r="K464" s="390"/>
      <c r="L464" s="391"/>
      <c r="M464" s="416" t="s">
        <v>418</v>
      </c>
      <c r="N464" s="413" t="s">
        <v>341</v>
      </c>
      <c r="O464" s="414"/>
      <c r="P464" s="414"/>
      <c r="Q464" s="414"/>
      <c r="R464" s="414"/>
      <c r="V464" s="7"/>
    </row>
    <row r="465" spans="2:22" ht="30.75" thickBot="1">
      <c r="B465" s="195"/>
      <c r="C465" s="195"/>
      <c r="E465" s="7"/>
      <c r="G465" s="374"/>
      <c r="H465" s="374"/>
      <c r="I465" s="374"/>
      <c r="J465" s="374"/>
      <c r="K465" s="374"/>
      <c r="L465" s="408"/>
      <c r="M465" s="417"/>
      <c r="N465" s="33" t="s">
        <v>345</v>
      </c>
      <c r="O465" s="33" t="s">
        <v>419</v>
      </c>
      <c r="P465" s="33" t="s">
        <v>347</v>
      </c>
      <c r="Q465" s="33" t="s">
        <v>348</v>
      </c>
      <c r="R465" s="34" t="s">
        <v>853</v>
      </c>
      <c r="V465" s="7"/>
    </row>
    <row r="466" spans="2:22" ht="18" customHeight="1" thickTop="1">
      <c r="B466" s="355" t="str">
        <f>HYPERLINK("#LAYOUT_m1!lay중YDLQ2A01","YDLQ2A01")</f>
        <v>YDLQ2A01</v>
      </c>
      <c r="C466" s="355"/>
      <c r="E466" s="7"/>
      <c r="G466" s="366" t="s">
        <v>923</v>
      </c>
      <c r="H466" s="366"/>
      <c r="I466" s="366"/>
      <c r="J466" s="366"/>
      <c r="K466" s="366"/>
      <c r="L466" s="367"/>
      <c r="M466" s="20" t="s">
        <v>591</v>
      </c>
      <c r="N466" s="20" t="s">
        <v>592</v>
      </c>
      <c r="O466" s="20" t="s">
        <v>593</v>
      </c>
      <c r="P466" s="20" t="s">
        <v>594</v>
      </c>
      <c r="Q466" s="20" t="s">
        <v>595</v>
      </c>
      <c r="R466" s="25" t="s">
        <v>596</v>
      </c>
      <c r="V466" s="7"/>
    </row>
    <row r="467" spans="2:22" ht="18" customHeight="1">
      <c r="B467" s="355" t="str">
        <f>HYPERLINK("#LAYOUT_m1!lay중YDLQ2A02","YDLQ2A02")</f>
        <v>YDLQ2A02</v>
      </c>
      <c r="C467" s="355"/>
      <c r="E467" s="7"/>
      <c r="G467" s="366" t="s">
        <v>924</v>
      </c>
      <c r="H467" s="366"/>
      <c r="I467" s="366"/>
      <c r="J467" s="366"/>
      <c r="K467" s="366"/>
      <c r="L467" s="367"/>
      <c r="M467" s="26" t="s">
        <v>591</v>
      </c>
      <c r="N467" s="26" t="s">
        <v>592</v>
      </c>
      <c r="O467" s="26" t="s">
        <v>593</v>
      </c>
      <c r="P467" s="26" t="s">
        <v>594</v>
      </c>
      <c r="Q467" s="26" t="s">
        <v>595</v>
      </c>
      <c r="R467" s="27" t="s">
        <v>596</v>
      </c>
      <c r="V467" s="7"/>
    </row>
    <row r="468" spans="2:22" ht="18" customHeight="1">
      <c r="B468" s="355" t="str">
        <f>HYPERLINK("#LAYOUT_m1!lay중YDLQ2A03","YDLQ2A03")</f>
        <v>YDLQ2A03</v>
      </c>
      <c r="C468" s="355"/>
      <c r="E468" s="7"/>
      <c r="G468" s="366" t="s">
        <v>925</v>
      </c>
      <c r="H468" s="366"/>
      <c r="I468" s="366"/>
      <c r="J468" s="366"/>
      <c r="K468" s="366"/>
      <c r="L468" s="367"/>
      <c r="M468" s="22" t="s">
        <v>591</v>
      </c>
      <c r="N468" s="22" t="s">
        <v>592</v>
      </c>
      <c r="O468" s="22" t="s">
        <v>593</v>
      </c>
      <c r="P468" s="22" t="s">
        <v>594</v>
      </c>
      <c r="Q468" s="22" t="s">
        <v>595</v>
      </c>
      <c r="R468" s="24" t="s">
        <v>596</v>
      </c>
      <c r="V468" s="7"/>
    </row>
    <row r="469" spans="2:22" ht="30.75" customHeight="1">
      <c r="B469" s="355" t="str">
        <f>HYPERLINK("#LAYOUT_m1!lay중YDLQ2A04","YDLQ2A04")</f>
        <v>YDLQ2A04</v>
      </c>
      <c r="C469" s="355"/>
      <c r="E469" s="7"/>
      <c r="G469" s="366" t="s">
        <v>926</v>
      </c>
      <c r="H469" s="366"/>
      <c r="I469" s="366"/>
      <c r="J469" s="366"/>
      <c r="K469" s="366"/>
      <c r="L469" s="367"/>
      <c r="M469" s="22" t="s">
        <v>591</v>
      </c>
      <c r="N469" s="22" t="s">
        <v>592</v>
      </c>
      <c r="O469" s="22" t="s">
        <v>593</v>
      </c>
      <c r="P469" s="22" t="s">
        <v>594</v>
      </c>
      <c r="Q469" s="22" t="s">
        <v>595</v>
      </c>
      <c r="R469" s="24" t="s">
        <v>596</v>
      </c>
      <c r="V469" s="7"/>
    </row>
    <row r="470" spans="2:22" ht="30.75" customHeight="1">
      <c r="B470" s="355" t="str">
        <f>HYPERLINK("#LAYOUT_m1!lay중YDLQ2A05","YDLQ2A05")</f>
        <v>YDLQ2A05</v>
      </c>
      <c r="C470" s="355"/>
      <c r="E470" s="7"/>
      <c r="G470" s="366" t="s">
        <v>927</v>
      </c>
      <c r="H470" s="366"/>
      <c r="I470" s="366"/>
      <c r="J470" s="366"/>
      <c r="K470" s="366"/>
      <c r="L470" s="367"/>
      <c r="M470" s="22" t="s">
        <v>591</v>
      </c>
      <c r="N470" s="22" t="s">
        <v>592</v>
      </c>
      <c r="O470" s="22" t="s">
        <v>593</v>
      </c>
      <c r="P470" s="22" t="s">
        <v>594</v>
      </c>
      <c r="Q470" s="22" t="s">
        <v>595</v>
      </c>
      <c r="R470" s="24" t="s">
        <v>596</v>
      </c>
      <c r="V470" s="7"/>
    </row>
    <row r="471" spans="2:22" ht="30.75" customHeight="1">
      <c r="B471" s="355" t="str">
        <f>HYPERLINK("#LAYOUT_m1!lay중YDLQ2A06","YDLQ2A06")</f>
        <v>YDLQ2A06</v>
      </c>
      <c r="C471" s="355"/>
      <c r="E471" s="7"/>
      <c r="G471" s="366" t="s">
        <v>928</v>
      </c>
      <c r="H471" s="366"/>
      <c r="I471" s="366"/>
      <c r="J471" s="366"/>
      <c r="K471" s="366"/>
      <c r="L471" s="367"/>
      <c r="M471" s="22" t="s">
        <v>591</v>
      </c>
      <c r="N471" s="22" t="s">
        <v>592</v>
      </c>
      <c r="O471" s="22" t="s">
        <v>593</v>
      </c>
      <c r="P471" s="22" t="s">
        <v>594</v>
      </c>
      <c r="Q471" s="22" t="s">
        <v>595</v>
      </c>
      <c r="R471" s="24" t="s">
        <v>596</v>
      </c>
      <c r="V471" s="7"/>
    </row>
    <row r="472" spans="2:22" ht="18" customHeight="1">
      <c r="B472" s="355" t="str">
        <f>HYPERLINK("#LAYOUT_m1!lay중YDLQ2A07","YDLQ2A07")</f>
        <v>YDLQ2A07</v>
      </c>
      <c r="C472" s="355"/>
      <c r="E472" s="7"/>
      <c r="G472" s="366" t="s">
        <v>929</v>
      </c>
      <c r="H472" s="366"/>
      <c r="I472" s="366"/>
      <c r="J472" s="366"/>
      <c r="K472" s="366"/>
      <c r="L472" s="367"/>
      <c r="M472" s="22" t="s">
        <v>591</v>
      </c>
      <c r="N472" s="22" t="s">
        <v>592</v>
      </c>
      <c r="O472" s="22" t="s">
        <v>593</v>
      </c>
      <c r="P472" s="22" t="s">
        <v>594</v>
      </c>
      <c r="Q472" s="22" t="s">
        <v>595</v>
      </c>
      <c r="R472" s="24" t="s">
        <v>596</v>
      </c>
      <c r="V472" s="7"/>
    </row>
    <row r="473" spans="2:22" ht="18" customHeight="1">
      <c r="B473" s="355" t="str">
        <f>HYPERLINK("#LAYOUT_m1!lay중YDLQ2A08","YDLQ2A08")</f>
        <v>YDLQ2A08</v>
      </c>
      <c r="C473" s="355"/>
      <c r="E473" s="7"/>
      <c r="G473" s="366" t="s">
        <v>930</v>
      </c>
      <c r="H473" s="366"/>
      <c r="I473" s="366"/>
      <c r="J473" s="366"/>
      <c r="K473" s="366"/>
      <c r="L473" s="367"/>
      <c r="M473" s="22" t="s">
        <v>591</v>
      </c>
      <c r="N473" s="22" t="s">
        <v>592</v>
      </c>
      <c r="O473" s="22" t="s">
        <v>593</v>
      </c>
      <c r="P473" s="22" t="s">
        <v>594</v>
      </c>
      <c r="Q473" s="22" t="s">
        <v>595</v>
      </c>
      <c r="R473" s="24" t="s">
        <v>596</v>
      </c>
      <c r="V473" s="7"/>
    </row>
    <row r="474" spans="2:22" ht="18" customHeight="1">
      <c r="B474" s="355" t="str">
        <f>HYPERLINK("#LAYOUT_m1!lay중YDLQ2A09","YDLQ2A09")</f>
        <v>YDLQ2A09</v>
      </c>
      <c r="C474" s="355"/>
      <c r="E474" s="7"/>
      <c r="G474" s="366" t="s">
        <v>931</v>
      </c>
      <c r="H474" s="366"/>
      <c r="I474" s="366"/>
      <c r="J474" s="366"/>
      <c r="K474" s="366"/>
      <c r="L474" s="367"/>
      <c r="M474" s="22" t="s">
        <v>591</v>
      </c>
      <c r="N474" s="22" t="s">
        <v>592</v>
      </c>
      <c r="O474" s="22" t="s">
        <v>593</v>
      </c>
      <c r="P474" s="22" t="s">
        <v>594</v>
      </c>
      <c r="Q474" s="22" t="s">
        <v>595</v>
      </c>
      <c r="R474" s="24" t="s">
        <v>596</v>
      </c>
      <c r="V474" s="7"/>
    </row>
    <row r="475" spans="2:22" ht="30.75" customHeight="1">
      <c r="B475" s="355" t="str">
        <f>HYPERLINK("#LAYOUT_m1!lay중YDLQ2A10","YDLQ2A10")</f>
        <v>YDLQ2A10</v>
      </c>
      <c r="C475" s="355"/>
      <c r="E475" s="7"/>
      <c r="G475" s="366" t="s">
        <v>932</v>
      </c>
      <c r="H475" s="366"/>
      <c r="I475" s="366"/>
      <c r="J475" s="366"/>
      <c r="K475" s="366"/>
      <c r="L475" s="367"/>
      <c r="M475" s="22" t="s">
        <v>591</v>
      </c>
      <c r="N475" s="22" t="s">
        <v>592</v>
      </c>
      <c r="O475" s="22" t="s">
        <v>593</v>
      </c>
      <c r="P475" s="22" t="s">
        <v>594</v>
      </c>
      <c r="Q475" s="22" t="s">
        <v>595</v>
      </c>
      <c r="R475" s="24" t="s">
        <v>596</v>
      </c>
      <c r="V475" s="7"/>
    </row>
    <row r="476" spans="2:22" ht="30.75" customHeight="1">
      <c r="B476" s="355" t="str">
        <f>HYPERLINK("#LAYOUT_m1!lay중YDLQ2A11","YDLQ2A11")</f>
        <v>YDLQ2A11</v>
      </c>
      <c r="C476" s="355"/>
      <c r="E476" s="7"/>
      <c r="G476" s="366" t="s">
        <v>933</v>
      </c>
      <c r="H476" s="366"/>
      <c r="I476" s="366"/>
      <c r="J476" s="366"/>
      <c r="K476" s="366"/>
      <c r="L476" s="367"/>
      <c r="M476" s="22" t="s">
        <v>591</v>
      </c>
      <c r="N476" s="22" t="s">
        <v>592</v>
      </c>
      <c r="O476" s="22" t="s">
        <v>593</v>
      </c>
      <c r="P476" s="22" t="s">
        <v>594</v>
      </c>
      <c r="Q476" s="22" t="s">
        <v>595</v>
      </c>
      <c r="R476" s="24" t="s">
        <v>596</v>
      </c>
      <c r="V476" s="7"/>
    </row>
    <row r="477" spans="2:22" ht="30.75" customHeight="1">
      <c r="B477" s="355" t="str">
        <f>HYPERLINK("#LAYOUT_m1!lay중YDLQ2A12","YDLQ2A12")</f>
        <v>YDLQ2A12</v>
      </c>
      <c r="C477" s="355"/>
      <c r="E477" s="7"/>
      <c r="G477" s="366" t="s">
        <v>934</v>
      </c>
      <c r="H477" s="366"/>
      <c r="I477" s="366"/>
      <c r="J477" s="366"/>
      <c r="K477" s="366"/>
      <c r="L477" s="367"/>
      <c r="M477" s="22" t="s">
        <v>591</v>
      </c>
      <c r="N477" s="22" t="s">
        <v>592</v>
      </c>
      <c r="O477" s="22" t="s">
        <v>593</v>
      </c>
      <c r="P477" s="22" t="s">
        <v>594</v>
      </c>
      <c r="Q477" s="22" t="s">
        <v>595</v>
      </c>
      <c r="R477" s="24" t="s">
        <v>596</v>
      </c>
      <c r="V477" s="7"/>
    </row>
    <row r="478" spans="2:22" ht="18" customHeight="1">
      <c r="B478" s="355" t="str">
        <f>HYPERLINK("#LAYOUT_m1!lay중YDLQ2A13","YDLQ2A13")</f>
        <v>YDLQ2A13</v>
      </c>
      <c r="C478" s="355"/>
      <c r="E478" s="7"/>
      <c r="G478" s="366" t="s">
        <v>935</v>
      </c>
      <c r="H478" s="366"/>
      <c r="I478" s="366"/>
      <c r="J478" s="366"/>
      <c r="K478" s="366"/>
      <c r="L478" s="367"/>
      <c r="M478" s="22" t="s">
        <v>591</v>
      </c>
      <c r="N478" s="22" t="s">
        <v>592</v>
      </c>
      <c r="O478" s="22" t="s">
        <v>593</v>
      </c>
      <c r="P478" s="22" t="s">
        <v>594</v>
      </c>
      <c r="Q478" s="22" t="s">
        <v>595</v>
      </c>
      <c r="R478" s="24" t="s">
        <v>596</v>
      </c>
      <c r="V478" s="7"/>
    </row>
    <row r="479" spans="2:22" ht="18" customHeight="1">
      <c r="B479" s="355" t="str">
        <f>HYPERLINK("#LAYOUT_m1!lay중YDLQ2A14","YDLQ2A14")</f>
        <v>YDLQ2A14</v>
      </c>
      <c r="C479" s="355"/>
      <c r="E479" s="7"/>
      <c r="G479" s="366" t="s">
        <v>936</v>
      </c>
      <c r="H479" s="366"/>
      <c r="I479" s="366"/>
      <c r="J479" s="366"/>
      <c r="K479" s="366"/>
      <c r="L479" s="367"/>
      <c r="M479" s="22" t="s">
        <v>591</v>
      </c>
      <c r="N479" s="22" t="s">
        <v>592</v>
      </c>
      <c r="O479" s="22" t="s">
        <v>593</v>
      </c>
      <c r="P479" s="22" t="s">
        <v>594</v>
      </c>
      <c r="Q479" s="22" t="s">
        <v>595</v>
      </c>
      <c r="R479" s="24" t="s">
        <v>596</v>
      </c>
      <c r="V479" s="7"/>
    </row>
    <row r="480" spans="2:22" ht="18" customHeight="1">
      <c r="B480" s="355" t="str">
        <f>HYPERLINK("#LAYOUT_m1!lay중YDLQ2A15","YDLQ2A15")</f>
        <v>YDLQ2A15</v>
      </c>
      <c r="C480" s="355"/>
      <c r="E480" s="7"/>
      <c r="G480" s="366" t="s">
        <v>937</v>
      </c>
      <c r="H480" s="366"/>
      <c r="I480" s="366"/>
      <c r="J480" s="366"/>
      <c r="K480" s="366"/>
      <c r="L480" s="367"/>
      <c r="M480" s="22" t="s">
        <v>591</v>
      </c>
      <c r="N480" s="22" t="s">
        <v>592</v>
      </c>
      <c r="O480" s="22" t="s">
        <v>593</v>
      </c>
      <c r="P480" s="22" t="s">
        <v>594</v>
      </c>
      <c r="Q480" s="22" t="s">
        <v>595</v>
      </c>
      <c r="R480" s="24" t="s">
        <v>596</v>
      </c>
      <c r="V480" s="7"/>
    </row>
    <row r="481" spans="2:22" ht="18" customHeight="1">
      <c r="B481" s="195"/>
      <c r="C481" s="195"/>
      <c r="E481" s="7"/>
      <c r="G481" s="28"/>
      <c r="H481" s="28"/>
      <c r="I481" s="28"/>
      <c r="J481" s="28"/>
      <c r="K481" s="28"/>
      <c r="L481" s="28"/>
      <c r="M481" s="11"/>
      <c r="N481" s="11"/>
      <c r="O481" s="11"/>
      <c r="P481" s="11"/>
      <c r="V481" s="7"/>
    </row>
    <row r="482" spans="2:22" ht="18" customHeight="1">
      <c r="B482" s="195"/>
      <c r="C482" s="195"/>
      <c r="E482" s="7"/>
      <c r="V482" s="7"/>
    </row>
    <row r="483" spans="2:22" ht="18" customHeight="1">
      <c r="B483" s="355" t="str">
        <f>HYPERLINK("#LAYOUT_m1!lay중YPHY1A00","YPHY1A00")</f>
        <v>YPHY1A00</v>
      </c>
      <c r="C483" s="355"/>
      <c r="E483" s="7"/>
      <c r="F483" s="6" t="s">
        <v>1536</v>
      </c>
      <c r="V483" s="7"/>
    </row>
    <row r="484" spans="2:22" ht="18" customHeight="1">
      <c r="B484" s="195"/>
      <c r="C484" s="195"/>
      <c r="E484" s="7"/>
      <c r="G484" s="396" t="s">
        <v>814</v>
      </c>
      <c r="H484" s="396"/>
      <c r="I484" s="396" t="s">
        <v>815</v>
      </c>
      <c r="J484" s="396"/>
      <c r="V484" s="7"/>
    </row>
    <row r="485" spans="2:22" ht="18" customHeight="1">
      <c r="B485" s="195"/>
      <c r="C485" s="195"/>
      <c r="E485" s="7"/>
      <c r="G485" s="396" t="s">
        <v>816</v>
      </c>
      <c r="H485" s="396"/>
      <c r="I485" s="396" t="s">
        <v>817</v>
      </c>
      <c r="J485" s="396"/>
      <c r="V485" s="7"/>
    </row>
    <row r="486" spans="2:22" ht="18" customHeight="1">
      <c r="B486" s="195"/>
      <c r="C486" s="195"/>
      <c r="E486" s="7"/>
      <c r="V486" s="7"/>
    </row>
    <row r="487" spans="2:22" ht="18" customHeight="1">
      <c r="B487" s="195"/>
      <c r="C487" s="195"/>
      <c r="E487" s="7"/>
      <c r="V487" s="7"/>
    </row>
    <row r="488" spans="2:22" ht="18" customHeight="1">
      <c r="B488" s="355" t="str">
        <f>HYPERLINK("#LAYOUT_m1!lay중YPHY1B00","YPHY1B00")</f>
        <v>YPHY1B00</v>
      </c>
      <c r="C488" s="355"/>
      <c r="E488" s="7"/>
      <c r="F488" s="6" t="s">
        <v>1537</v>
      </c>
      <c r="V488" s="7"/>
    </row>
    <row r="489" spans="2:22" ht="18" customHeight="1">
      <c r="B489" s="195"/>
      <c r="C489" s="195"/>
      <c r="E489" s="7"/>
      <c r="G489" s="6" t="s">
        <v>819</v>
      </c>
      <c r="H489" s="6" t="s">
        <v>820</v>
      </c>
      <c r="I489" s="6" t="s">
        <v>821</v>
      </c>
      <c r="V489" s="7"/>
    </row>
    <row r="490" spans="2:22" ht="18" customHeight="1">
      <c r="B490" s="195"/>
      <c r="C490" s="195"/>
      <c r="E490" s="7"/>
      <c r="G490" s="6" t="s">
        <v>822</v>
      </c>
      <c r="H490" s="6" t="s">
        <v>823</v>
      </c>
      <c r="V490" s="7"/>
    </row>
    <row r="491" spans="2:22" ht="18" customHeight="1">
      <c r="B491" s="195"/>
      <c r="C491" s="195"/>
      <c r="E491" s="7"/>
      <c r="V491" s="7"/>
    </row>
    <row r="492" spans="2:22" ht="18" customHeight="1">
      <c r="B492" s="195"/>
      <c r="C492" s="195"/>
      <c r="E492" s="7"/>
      <c r="V492" s="7"/>
    </row>
    <row r="493" spans="2:22" ht="18" customHeight="1">
      <c r="B493" s="355" t="str">
        <f>HYPERLINK("#LAYOUT_m1!lay중YPHY1C00","YPHY1C00")</f>
        <v>YPHY1C00</v>
      </c>
      <c r="C493" s="355"/>
      <c r="E493" s="7"/>
      <c r="F493" s="6" t="s">
        <v>1538</v>
      </c>
      <c r="V493" s="7"/>
    </row>
    <row r="494" spans="2:22" ht="18" customHeight="1">
      <c r="B494" s="195"/>
      <c r="C494" s="195"/>
      <c r="E494" s="7"/>
      <c r="G494" s="6" t="s">
        <v>1596</v>
      </c>
      <c r="V494" s="7"/>
    </row>
    <row r="495" spans="2:22" ht="18" customHeight="1">
      <c r="B495" s="195"/>
      <c r="C495" s="195"/>
      <c r="E495" s="7"/>
      <c r="V495" s="7"/>
    </row>
    <row r="496" spans="2:22" ht="18" customHeight="1">
      <c r="B496" s="195"/>
      <c r="C496" s="195"/>
      <c r="E496" s="7"/>
      <c r="V496" s="7"/>
    </row>
    <row r="497" spans="2:22" ht="18" customHeight="1">
      <c r="B497" s="195"/>
      <c r="C497" s="195"/>
      <c r="E497" s="7"/>
      <c r="F497" s="6" t="s">
        <v>1539</v>
      </c>
      <c r="V497" s="7"/>
    </row>
    <row r="498" spans="2:22" ht="18" customHeight="1">
      <c r="B498" s="355" t="str">
        <f>HYPERLINK("#LAYOUT_m1!lay중YPHY2A00","YPHY2A00")</f>
        <v>YPHY2A00</v>
      </c>
      <c r="C498" s="355"/>
      <c r="E498" s="7"/>
      <c r="G498" s="407" t="s">
        <v>1597</v>
      </c>
      <c r="H498" s="407"/>
      <c r="I498" s="407"/>
      <c r="V498" s="7"/>
    </row>
    <row r="499" spans="2:22" ht="18" customHeight="1">
      <c r="B499" s="355" t="str">
        <f>HYPERLINK("#LAYOUT_m1!lay중YPHY2B00","YPHY2B00")</f>
        <v>YPHY2B00</v>
      </c>
      <c r="C499" s="355"/>
      <c r="E499" s="7"/>
      <c r="G499" s="407" t="s">
        <v>1598</v>
      </c>
      <c r="H499" s="407"/>
      <c r="I499" s="407"/>
      <c r="V499" s="7"/>
    </row>
    <row r="500" spans="2:22" ht="18" customHeight="1">
      <c r="B500" s="195"/>
      <c r="C500" s="195"/>
      <c r="E500" s="7"/>
      <c r="G500" s="146"/>
      <c r="H500" s="146"/>
      <c r="I500" s="146"/>
      <c r="V500" s="7"/>
    </row>
    <row r="501" spans="2:22" ht="18" customHeight="1">
      <c r="B501" s="195"/>
      <c r="C501" s="195"/>
      <c r="E501" s="7"/>
      <c r="G501" s="146"/>
      <c r="H501" s="146"/>
      <c r="I501" s="146"/>
      <c r="V501" s="7"/>
    </row>
    <row r="502" spans="2:22" ht="18" customHeight="1">
      <c r="B502" s="355" t="str">
        <f>HYPERLINK("#LAYOUT_m1!lay중YPHY2C00","YPHY2C00")</f>
        <v>YPHY2C00</v>
      </c>
      <c r="C502" s="355"/>
      <c r="E502" s="7"/>
      <c r="F502" s="6" t="s">
        <v>1651</v>
      </c>
      <c r="G502" s="146"/>
      <c r="H502" s="146"/>
      <c r="I502" s="146"/>
      <c r="V502" s="7"/>
    </row>
    <row r="503" spans="2:22" ht="18" customHeight="1">
      <c r="E503" s="7"/>
      <c r="G503" s="396" t="s">
        <v>1652</v>
      </c>
      <c r="H503" s="396"/>
      <c r="I503" s="396" t="s">
        <v>1653</v>
      </c>
      <c r="J503" s="396"/>
      <c r="V503" s="7"/>
    </row>
    <row r="504" spans="2:22" ht="18" customHeight="1">
      <c r="E504" s="7"/>
      <c r="G504" s="396" t="s">
        <v>1654</v>
      </c>
      <c r="H504" s="396"/>
      <c r="I504" s="396" t="s">
        <v>1655</v>
      </c>
      <c r="J504" s="396"/>
      <c r="V504" s="7"/>
    </row>
    <row r="505" spans="2:22" ht="18" customHeight="1">
      <c r="E505" s="7"/>
      <c r="G505" s="396" t="s">
        <v>1656</v>
      </c>
      <c r="H505" s="396"/>
      <c r="I505" s="396" t="s">
        <v>1657</v>
      </c>
      <c r="J505" s="396"/>
      <c r="V505" s="7"/>
    </row>
    <row r="506" spans="2:22" ht="18" customHeight="1">
      <c r="E506" s="7"/>
      <c r="G506" s="396" t="s">
        <v>1658</v>
      </c>
      <c r="H506" s="396"/>
      <c r="I506" s="396" t="s">
        <v>1659</v>
      </c>
      <c r="J506" s="396"/>
      <c r="V506" s="7"/>
    </row>
    <row r="507" spans="2:22" ht="18" customHeight="1">
      <c r="E507" s="7"/>
      <c r="G507" s="396" t="s">
        <v>1660</v>
      </c>
      <c r="H507" s="396"/>
      <c r="I507" s="396" t="s">
        <v>1661</v>
      </c>
      <c r="J507" s="396"/>
      <c r="V507" s="7"/>
    </row>
    <row r="508" spans="2:22" ht="18" customHeight="1">
      <c r="E508" s="7"/>
      <c r="G508" s="146"/>
      <c r="H508" s="146"/>
      <c r="I508" s="146"/>
      <c r="V508" s="7"/>
    </row>
    <row r="509" spans="2:22" ht="9.75" customHeight="1"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</sheetData>
  <sheetProtection algorithmName="SHA-512" hashValue="aAHH9aoc3Jk6NJDQv8FPKqNaD/iVBBSEjxvPcDz6GyGNfKdojaFpoUC+biC2LpkgLordNPguqJMT1xd6jajKAw==" saltValue="Bvhvj0DFSIHntjfF5fk0Sg==" spinCount="100000" sheet="1" objects="1" scenarios="1"/>
  <mergeCells count="686">
    <mergeCell ref="B212:C212"/>
    <mergeCell ref="B344:C344"/>
    <mergeCell ref="B345:C345"/>
    <mergeCell ref="B10:C10"/>
    <mergeCell ref="B11:C11"/>
    <mergeCell ref="B14:C14"/>
    <mergeCell ref="B94:C94"/>
    <mergeCell ref="B95:C95"/>
    <mergeCell ref="B120:C120"/>
    <mergeCell ref="B202:C202"/>
    <mergeCell ref="B203:C203"/>
    <mergeCell ref="B206:C206"/>
    <mergeCell ref="B52:C52"/>
    <mergeCell ref="B68:C68"/>
    <mergeCell ref="B74:C74"/>
    <mergeCell ref="B85:C85"/>
    <mergeCell ref="B91:C91"/>
    <mergeCell ref="B130:C130"/>
    <mergeCell ref="B136:C136"/>
    <mergeCell ref="B171:C171"/>
    <mergeCell ref="B177:C177"/>
    <mergeCell ref="B183:C183"/>
    <mergeCell ref="B193:C193"/>
    <mergeCell ref="B199:C199"/>
    <mergeCell ref="B502:C502"/>
    <mergeCell ref="B361:C361"/>
    <mergeCell ref="G374:G375"/>
    <mergeCell ref="H374:I374"/>
    <mergeCell ref="J374:K374"/>
    <mergeCell ref="L374:L375"/>
    <mergeCell ref="H375:I375"/>
    <mergeCell ref="J375:K375"/>
    <mergeCell ref="G376:G377"/>
    <mergeCell ref="H376:I376"/>
    <mergeCell ref="J376:K376"/>
    <mergeCell ref="L376:L377"/>
    <mergeCell ref="H377:I377"/>
    <mergeCell ref="J377:K377"/>
    <mergeCell ref="B365:C365"/>
    <mergeCell ref="B382:C382"/>
    <mergeCell ref="G382:L382"/>
    <mergeCell ref="B383:C383"/>
    <mergeCell ref="G383:L383"/>
    <mergeCell ref="B384:C384"/>
    <mergeCell ref="G384:L384"/>
    <mergeCell ref="L372:L373"/>
    <mergeCell ref="L370:L371"/>
    <mergeCell ref="B388:C388"/>
    <mergeCell ref="F2:U3"/>
    <mergeCell ref="F5:U5"/>
    <mergeCell ref="G20:L21"/>
    <mergeCell ref="M20:N20"/>
    <mergeCell ref="O20:P20"/>
    <mergeCell ref="M21:N21"/>
    <mergeCell ref="O21:P21"/>
    <mergeCell ref="G22:L23"/>
    <mergeCell ref="M22:N22"/>
    <mergeCell ref="O22:P22"/>
    <mergeCell ref="M23:N23"/>
    <mergeCell ref="O23:P23"/>
    <mergeCell ref="F6:U6"/>
    <mergeCell ref="G24:L25"/>
    <mergeCell ref="M24:N24"/>
    <mergeCell ref="O24:P24"/>
    <mergeCell ref="M25:N25"/>
    <mergeCell ref="O25:P25"/>
    <mergeCell ref="B36:C36"/>
    <mergeCell ref="G36:L37"/>
    <mergeCell ref="B37:C37"/>
    <mergeCell ref="B38:C38"/>
    <mergeCell ref="G38:L39"/>
    <mergeCell ref="B39:C39"/>
    <mergeCell ref="O29:P29"/>
    <mergeCell ref="G31:M31"/>
    <mergeCell ref="B32:C32"/>
    <mergeCell ref="G32:L33"/>
    <mergeCell ref="B33:C33"/>
    <mergeCell ref="B34:C34"/>
    <mergeCell ref="G34:L35"/>
    <mergeCell ref="B35:C35"/>
    <mergeCell ref="B26:B29"/>
    <mergeCell ref="C26:C29"/>
    <mergeCell ref="G26:L29"/>
    <mergeCell ref="M26:N26"/>
    <mergeCell ref="O26:P26"/>
    <mergeCell ref="M27:N27"/>
    <mergeCell ref="O27:P27"/>
    <mergeCell ref="M28:N28"/>
    <mergeCell ref="O28:P28"/>
    <mergeCell ref="M29:N29"/>
    <mergeCell ref="B44:C44"/>
    <mergeCell ref="G44:L45"/>
    <mergeCell ref="B45:C45"/>
    <mergeCell ref="B46:C46"/>
    <mergeCell ref="G46:L47"/>
    <mergeCell ref="B47:C47"/>
    <mergeCell ref="B40:C40"/>
    <mergeCell ref="G40:L41"/>
    <mergeCell ref="B41:C41"/>
    <mergeCell ref="B42:C42"/>
    <mergeCell ref="G42:L43"/>
    <mergeCell ref="B43:C43"/>
    <mergeCell ref="G52:L53"/>
    <mergeCell ref="B53:C53"/>
    <mergeCell ref="B56:C56"/>
    <mergeCell ref="G63:L63"/>
    <mergeCell ref="B64:C64"/>
    <mergeCell ref="G64:L64"/>
    <mergeCell ref="B48:C48"/>
    <mergeCell ref="G48:L49"/>
    <mergeCell ref="B49:C49"/>
    <mergeCell ref="B50:C50"/>
    <mergeCell ref="G50:L51"/>
    <mergeCell ref="B51:C51"/>
    <mergeCell ref="G68:L68"/>
    <mergeCell ref="B69:C69"/>
    <mergeCell ref="G69:L69"/>
    <mergeCell ref="B70:C70"/>
    <mergeCell ref="G70:L70"/>
    <mergeCell ref="B65:C65"/>
    <mergeCell ref="G65:L65"/>
    <mergeCell ref="B66:C66"/>
    <mergeCell ref="G66:L66"/>
    <mergeCell ref="B67:C67"/>
    <mergeCell ref="G67:L67"/>
    <mergeCell ref="G74:L74"/>
    <mergeCell ref="G76:L76"/>
    <mergeCell ref="G80:L80"/>
    <mergeCell ref="B81:C81"/>
    <mergeCell ref="G81:L81"/>
    <mergeCell ref="B71:C71"/>
    <mergeCell ref="G71:L71"/>
    <mergeCell ref="B72:C72"/>
    <mergeCell ref="G72:L72"/>
    <mergeCell ref="B73:C73"/>
    <mergeCell ref="G73:L73"/>
    <mergeCell ref="G85:L85"/>
    <mergeCell ref="B86:C86"/>
    <mergeCell ref="G86:L86"/>
    <mergeCell ref="B87:C87"/>
    <mergeCell ref="G87:L87"/>
    <mergeCell ref="B82:C82"/>
    <mergeCell ref="G82:L82"/>
    <mergeCell ref="B83:C83"/>
    <mergeCell ref="G83:L83"/>
    <mergeCell ref="B84:C84"/>
    <mergeCell ref="G84:L84"/>
    <mergeCell ref="G91:L91"/>
    <mergeCell ref="B92:C92"/>
    <mergeCell ref="G92:L92"/>
    <mergeCell ref="B93:C93"/>
    <mergeCell ref="G93:L93"/>
    <mergeCell ref="B88:C88"/>
    <mergeCell ref="G88:L88"/>
    <mergeCell ref="B89:C89"/>
    <mergeCell ref="G89:L89"/>
    <mergeCell ref="B90:C90"/>
    <mergeCell ref="G90:L90"/>
    <mergeCell ref="Q100:T100"/>
    <mergeCell ref="G102:L102"/>
    <mergeCell ref="G103:L103"/>
    <mergeCell ref="G104:L104"/>
    <mergeCell ref="G105:L105"/>
    <mergeCell ref="G106:L106"/>
    <mergeCell ref="G94:L94"/>
    <mergeCell ref="G95:L95"/>
    <mergeCell ref="G100:L101"/>
    <mergeCell ref="M100:P100"/>
    <mergeCell ref="Q114:T114"/>
    <mergeCell ref="G116:L116"/>
    <mergeCell ref="G117:L117"/>
    <mergeCell ref="G121:H121"/>
    <mergeCell ref="G122:H122"/>
    <mergeCell ref="G107:L107"/>
    <mergeCell ref="G108:L108"/>
    <mergeCell ref="G109:L109"/>
    <mergeCell ref="G110:L110"/>
    <mergeCell ref="G114:L115"/>
    <mergeCell ref="M114:P114"/>
    <mergeCell ref="G130:L130"/>
    <mergeCell ref="B131:C131"/>
    <mergeCell ref="G131:L131"/>
    <mergeCell ref="B132:C132"/>
    <mergeCell ref="G132:L132"/>
    <mergeCell ref="G126:L127"/>
    <mergeCell ref="M126:M127"/>
    <mergeCell ref="N126:R126"/>
    <mergeCell ref="B128:C128"/>
    <mergeCell ref="G128:L128"/>
    <mergeCell ref="B129:C129"/>
    <mergeCell ref="G129:L129"/>
    <mergeCell ref="G136:L136"/>
    <mergeCell ref="B139:C139"/>
    <mergeCell ref="B148:C148"/>
    <mergeCell ref="B157:C157"/>
    <mergeCell ref="G167:L167"/>
    <mergeCell ref="B133:C133"/>
    <mergeCell ref="G133:L133"/>
    <mergeCell ref="B134:C134"/>
    <mergeCell ref="G134:L134"/>
    <mergeCell ref="B135:C135"/>
    <mergeCell ref="G135:L135"/>
    <mergeCell ref="G171:L171"/>
    <mergeCell ref="B172:C172"/>
    <mergeCell ref="G172:L172"/>
    <mergeCell ref="B173:C173"/>
    <mergeCell ref="G173:L173"/>
    <mergeCell ref="B168:C168"/>
    <mergeCell ref="G168:L168"/>
    <mergeCell ref="B169:C169"/>
    <mergeCell ref="G169:L169"/>
    <mergeCell ref="B170:C170"/>
    <mergeCell ref="G170:L170"/>
    <mergeCell ref="G177:L177"/>
    <mergeCell ref="B178:C178"/>
    <mergeCell ref="G178:L178"/>
    <mergeCell ref="B179:C179"/>
    <mergeCell ref="G179:L179"/>
    <mergeCell ref="B174:C174"/>
    <mergeCell ref="G174:L174"/>
    <mergeCell ref="B175:C175"/>
    <mergeCell ref="G175:L175"/>
    <mergeCell ref="B176:C176"/>
    <mergeCell ref="G176:L176"/>
    <mergeCell ref="G183:L183"/>
    <mergeCell ref="G187:L187"/>
    <mergeCell ref="B188:C188"/>
    <mergeCell ref="G188:L188"/>
    <mergeCell ref="B189:C189"/>
    <mergeCell ref="G189:L189"/>
    <mergeCell ref="B180:C180"/>
    <mergeCell ref="G180:L180"/>
    <mergeCell ref="B181:C181"/>
    <mergeCell ref="G181:L181"/>
    <mergeCell ref="B182:C182"/>
    <mergeCell ref="G182:L182"/>
    <mergeCell ref="G193:L193"/>
    <mergeCell ref="B194:C194"/>
    <mergeCell ref="G194:L194"/>
    <mergeCell ref="B195:C195"/>
    <mergeCell ref="G195:L195"/>
    <mergeCell ref="B190:C190"/>
    <mergeCell ref="G190:L190"/>
    <mergeCell ref="B191:C191"/>
    <mergeCell ref="G191:L191"/>
    <mergeCell ref="B192:C192"/>
    <mergeCell ref="G192:L192"/>
    <mergeCell ref="G199:L199"/>
    <mergeCell ref="B200:C200"/>
    <mergeCell ref="G200:L200"/>
    <mergeCell ref="B201:C201"/>
    <mergeCell ref="G201:L201"/>
    <mergeCell ref="B196:C196"/>
    <mergeCell ref="G196:L196"/>
    <mergeCell ref="B197:C197"/>
    <mergeCell ref="G197:L197"/>
    <mergeCell ref="B198:C198"/>
    <mergeCell ref="G198:L198"/>
    <mergeCell ref="G208:H208"/>
    <mergeCell ref="I208:J208"/>
    <mergeCell ref="G209:H209"/>
    <mergeCell ref="G213:I213"/>
    <mergeCell ref="G214:I214"/>
    <mergeCell ref="G202:L202"/>
    <mergeCell ref="G203:L203"/>
    <mergeCell ref="G207:H207"/>
    <mergeCell ref="I207:J207"/>
    <mergeCell ref="B222:C222"/>
    <mergeCell ref="G222:L222"/>
    <mergeCell ref="B223:C223"/>
    <mergeCell ref="G223:L223"/>
    <mergeCell ref="B224:C224"/>
    <mergeCell ref="G224:L224"/>
    <mergeCell ref="G215:I215"/>
    <mergeCell ref="G219:L219"/>
    <mergeCell ref="B220:C220"/>
    <mergeCell ref="G220:L220"/>
    <mergeCell ref="B221:C221"/>
    <mergeCell ref="G221:L221"/>
    <mergeCell ref="B232:C232"/>
    <mergeCell ref="G232:L232"/>
    <mergeCell ref="B233:C233"/>
    <mergeCell ref="G233:L233"/>
    <mergeCell ref="B234:C234"/>
    <mergeCell ref="G234:L234"/>
    <mergeCell ref="B225:C225"/>
    <mergeCell ref="G225:L225"/>
    <mergeCell ref="B226:C226"/>
    <mergeCell ref="G226:L226"/>
    <mergeCell ref="G227:L227"/>
    <mergeCell ref="G231:L231"/>
    <mergeCell ref="B242:C242"/>
    <mergeCell ref="G242:L242"/>
    <mergeCell ref="G246:L246"/>
    <mergeCell ref="B247:C247"/>
    <mergeCell ref="G247:L247"/>
    <mergeCell ref="B248:C248"/>
    <mergeCell ref="G248:L248"/>
    <mergeCell ref="B235:C235"/>
    <mergeCell ref="G235:L235"/>
    <mergeCell ref="B236:C236"/>
    <mergeCell ref="G236:L236"/>
    <mergeCell ref="G240:L240"/>
    <mergeCell ref="B241:C241"/>
    <mergeCell ref="G241:L241"/>
    <mergeCell ref="B256:C256"/>
    <mergeCell ref="G256:L256"/>
    <mergeCell ref="B257:C257"/>
    <mergeCell ref="G257:L257"/>
    <mergeCell ref="B258:C258"/>
    <mergeCell ref="G258:L258"/>
    <mergeCell ref="G252:L252"/>
    <mergeCell ref="B253:C253"/>
    <mergeCell ref="G253:L253"/>
    <mergeCell ref="B254:C254"/>
    <mergeCell ref="G254:L254"/>
    <mergeCell ref="B255:C255"/>
    <mergeCell ref="G255:L255"/>
    <mergeCell ref="B262:C262"/>
    <mergeCell ref="G262:L262"/>
    <mergeCell ref="G266:L266"/>
    <mergeCell ref="B267:C267"/>
    <mergeCell ref="G267:L267"/>
    <mergeCell ref="B268:C268"/>
    <mergeCell ref="G268:L268"/>
    <mergeCell ref="B259:C259"/>
    <mergeCell ref="G259:L259"/>
    <mergeCell ref="B260:C260"/>
    <mergeCell ref="G260:L260"/>
    <mergeCell ref="B261:C261"/>
    <mergeCell ref="G261:L261"/>
    <mergeCell ref="B272:C272"/>
    <mergeCell ref="G272:L272"/>
    <mergeCell ref="B273:C273"/>
    <mergeCell ref="G273:L273"/>
    <mergeCell ref="B274:C274"/>
    <mergeCell ref="G274:L274"/>
    <mergeCell ref="B269:C269"/>
    <mergeCell ref="G269:L269"/>
    <mergeCell ref="B270:C270"/>
    <mergeCell ref="G270:L270"/>
    <mergeCell ref="B271:C271"/>
    <mergeCell ref="G271:L271"/>
    <mergeCell ref="B278:C278"/>
    <mergeCell ref="G278:L278"/>
    <mergeCell ref="B279:C279"/>
    <mergeCell ref="G279:L279"/>
    <mergeCell ref="B280:C280"/>
    <mergeCell ref="G280:L280"/>
    <mergeCell ref="B275:C275"/>
    <mergeCell ref="G275:L275"/>
    <mergeCell ref="B276:C276"/>
    <mergeCell ref="G276:L276"/>
    <mergeCell ref="B277:C277"/>
    <mergeCell ref="G277:L277"/>
    <mergeCell ref="B284:C284"/>
    <mergeCell ref="G284:L284"/>
    <mergeCell ref="B285:C285"/>
    <mergeCell ref="G285:L285"/>
    <mergeCell ref="B286:C286"/>
    <mergeCell ref="G286:L286"/>
    <mergeCell ref="B281:C281"/>
    <mergeCell ref="G281:L281"/>
    <mergeCell ref="B282:C282"/>
    <mergeCell ref="G282:L282"/>
    <mergeCell ref="B283:C283"/>
    <mergeCell ref="G283:L283"/>
    <mergeCell ref="B290:C290"/>
    <mergeCell ref="G290:L290"/>
    <mergeCell ref="B291:C291"/>
    <mergeCell ref="G291:L291"/>
    <mergeCell ref="B292:C292"/>
    <mergeCell ref="G292:L292"/>
    <mergeCell ref="B287:C287"/>
    <mergeCell ref="G287:L287"/>
    <mergeCell ref="B288:C288"/>
    <mergeCell ref="G288:L288"/>
    <mergeCell ref="B289:C289"/>
    <mergeCell ref="G289:L289"/>
    <mergeCell ref="B296:C296"/>
    <mergeCell ref="G296:L296"/>
    <mergeCell ref="B297:C297"/>
    <mergeCell ref="G297:L297"/>
    <mergeCell ref="B298:C298"/>
    <mergeCell ref="G298:L298"/>
    <mergeCell ref="B293:C293"/>
    <mergeCell ref="G293:L293"/>
    <mergeCell ref="B294:C294"/>
    <mergeCell ref="G294:L294"/>
    <mergeCell ref="B295:C295"/>
    <mergeCell ref="G295:L295"/>
    <mergeCell ref="B302:C302"/>
    <mergeCell ref="G302:L302"/>
    <mergeCell ref="G306:L306"/>
    <mergeCell ref="B307:C307"/>
    <mergeCell ref="G307:L307"/>
    <mergeCell ref="B308:C308"/>
    <mergeCell ref="G308:L308"/>
    <mergeCell ref="B299:C299"/>
    <mergeCell ref="G299:L299"/>
    <mergeCell ref="B300:C300"/>
    <mergeCell ref="G300:L300"/>
    <mergeCell ref="B301:C301"/>
    <mergeCell ref="G301:L301"/>
    <mergeCell ref="B312:C312"/>
    <mergeCell ref="G312:L312"/>
    <mergeCell ref="B313:C313"/>
    <mergeCell ref="G313:L313"/>
    <mergeCell ref="B314:C314"/>
    <mergeCell ref="G314:L314"/>
    <mergeCell ref="B309:C309"/>
    <mergeCell ref="G309:L309"/>
    <mergeCell ref="B310:C310"/>
    <mergeCell ref="G310:L310"/>
    <mergeCell ref="B311:C311"/>
    <mergeCell ref="G311:L311"/>
    <mergeCell ref="B318:C318"/>
    <mergeCell ref="G318:L318"/>
    <mergeCell ref="B319:C319"/>
    <mergeCell ref="G319:L319"/>
    <mergeCell ref="B320:C320"/>
    <mergeCell ref="G320:L320"/>
    <mergeCell ref="B315:C315"/>
    <mergeCell ref="G315:L315"/>
    <mergeCell ref="B316:C316"/>
    <mergeCell ref="G316:L316"/>
    <mergeCell ref="B317:C317"/>
    <mergeCell ref="G317:L317"/>
    <mergeCell ref="G327:I327"/>
    <mergeCell ref="K327:M327"/>
    <mergeCell ref="G328:I328"/>
    <mergeCell ref="K328:M328"/>
    <mergeCell ref="G329:I329"/>
    <mergeCell ref="K329:M329"/>
    <mergeCell ref="G324:I324"/>
    <mergeCell ref="K324:M324"/>
    <mergeCell ref="G325:I325"/>
    <mergeCell ref="K325:M325"/>
    <mergeCell ref="G326:I326"/>
    <mergeCell ref="K326:M326"/>
    <mergeCell ref="G333:I333"/>
    <mergeCell ref="K333:M333"/>
    <mergeCell ref="G334:I334"/>
    <mergeCell ref="K334:M334"/>
    <mergeCell ref="G335:I335"/>
    <mergeCell ref="K335:M335"/>
    <mergeCell ref="G330:I330"/>
    <mergeCell ref="K330:M330"/>
    <mergeCell ref="G331:I331"/>
    <mergeCell ref="K331:M331"/>
    <mergeCell ref="G332:I332"/>
    <mergeCell ref="K332:M332"/>
    <mergeCell ref="G339:I339"/>
    <mergeCell ref="K339:M339"/>
    <mergeCell ref="G343:L343"/>
    <mergeCell ref="G344:L344"/>
    <mergeCell ref="G345:L345"/>
    <mergeCell ref="G336:I336"/>
    <mergeCell ref="K336:M336"/>
    <mergeCell ref="G337:I337"/>
    <mergeCell ref="K337:M337"/>
    <mergeCell ref="G338:I338"/>
    <mergeCell ref="K338:M338"/>
    <mergeCell ref="B349:C349"/>
    <mergeCell ref="G349:L349"/>
    <mergeCell ref="B350:C350"/>
    <mergeCell ref="G350:L350"/>
    <mergeCell ref="B351:C351"/>
    <mergeCell ref="G351:L351"/>
    <mergeCell ref="B346:C346"/>
    <mergeCell ref="G346:L346"/>
    <mergeCell ref="B347:C347"/>
    <mergeCell ref="G347:L347"/>
    <mergeCell ref="B348:C348"/>
    <mergeCell ref="G348:L348"/>
    <mergeCell ref="G356:H356"/>
    <mergeCell ref="I356:J356"/>
    <mergeCell ref="G357:H357"/>
    <mergeCell ref="I357:J357"/>
    <mergeCell ref="G358:H358"/>
    <mergeCell ref="I358:J358"/>
    <mergeCell ref="G372:G373"/>
    <mergeCell ref="H372:I372"/>
    <mergeCell ref="J372:K372"/>
    <mergeCell ref="H373:I373"/>
    <mergeCell ref="J373:K373"/>
    <mergeCell ref="H369:I369"/>
    <mergeCell ref="J369:K369"/>
    <mergeCell ref="G370:G371"/>
    <mergeCell ref="H370:I370"/>
    <mergeCell ref="J370:K370"/>
    <mergeCell ref="H371:I371"/>
    <mergeCell ref="J371:K371"/>
    <mergeCell ref="B389:C389"/>
    <mergeCell ref="G389:L389"/>
    <mergeCell ref="B390:C390"/>
    <mergeCell ref="G390:L390"/>
    <mergeCell ref="B385:C385"/>
    <mergeCell ref="G385:L385"/>
    <mergeCell ref="B386:C386"/>
    <mergeCell ref="G386:L386"/>
    <mergeCell ref="B387:C387"/>
    <mergeCell ref="G387:L387"/>
    <mergeCell ref="B394:C394"/>
    <mergeCell ref="G394:L394"/>
    <mergeCell ref="B395:C395"/>
    <mergeCell ref="G395:L395"/>
    <mergeCell ref="B396:C396"/>
    <mergeCell ref="G396:L396"/>
    <mergeCell ref="B391:C391"/>
    <mergeCell ref="G391:L391"/>
    <mergeCell ref="B392:C392"/>
    <mergeCell ref="G392:L392"/>
    <mergeCell ref="B393:C393"/>
    <mergeCell ref="G393:L393"/>
    <mergeCell ref="B400:C400"/>
    <mergeCell ref="G400:L400"/>
    <mergeCell ref="B401:C401"/>
    <mergeCell ref="G401:L401"/>
    <mergeCell ref="B402:C402"/>
    <mergeCell ref="G402:L402"/>
    <mergeCell ref="B397:C397"/>
    <mergeCell ref="G397:L397"/>
    <mergeCell ref="B398:C398"/>
    <mergeCell ref="G398:L398"/>
    <mergeCell ref="B399:C399"/>
    <mergeCell ref="G399:L399"/>
    <mergeCell ref="B410:C410"/>
    <mergeCell ref="G410:L410"/>
    <mergeCell ref="B411:C411"/>
    <mergeCell ref="G411:L411"/>
    <mergeCell ref="B412:C412"/>
    <mergeCell ref="G412:L412"/>
    <mergeCell ref="B403:C403"/>
    <mergeCell ref="G403:L403"/>
    <mergeCell ref="B404:C404"/>
    <mergeCell ref="G404:L404"/>
    <mergeCell ref="B405:C405"/>
    <mergeCell ref="G405:L405"/>
    <mergeCell ref="G409:L409"/>
    <mergeCell ref="B416:C416"/>
    <mergeCell ref="G416:L416"/>
    <mergeCell ref="B417:C417"/>
    <mergeCell ref="G417:L417"/>
    <mergeCell ref="B418:C418"/>
    <mergeCell ref="G418:L418"/>
    <mergeCell ref="B413:C413"/>
    <mergeCell ref="G413:L413"/>
    <mergeCell ref="B414:C414"/>
    <mergeCell ref="G414:L414"/>
    <mergeCell ref="B415:C415"/>
    <mergeCell ref="G415:L415"/>
    <mergeCell ref="B422:C422"/>
    <mergeCell ref="G422:L422"/>
    <mergeCell ref="G426:L426"/>
    <mergeCell ref="B427:C427"/>
    <mergeCell ref="G427:L427"/>
    <mergeCell ref="B428:C428"/>
    <mergeCell ref="G428:L428"/>
    <mergeCell ref="B419:C419"/>
    <mergeCell ref="G419:L419"/>
    <mergeCell ref="B420:C420"/>
    <mergeCell ref="G420:L420"/>
    <mergeCell ref="B421:C421"/>
    <mergeCell ref="G421:L421"/>
    <mergeCell ref="B432:C432"/>
    <mergeCell ref="G432:L432"/>
    <mergeCell ref="B433:C433"/>
    <mergeCell ref="G433:L433"/>
    <mergeCell ref="B434:C434"/>
    <mergeCell ref="G434:L434"/>
    <mergeCell ref="B429:C429"/>
    <mergeCell ref="G429:L429"/>
    <mergeCell ref="B430:C430"/>
    <mergeCell ref="G430:L430"/>
    <mergeCell ref="B431:C431"/>
    <mergeCell ref="G431:L431"/>
    <mergeCell ref="B438:C438"/>
    <mergeCell ref="G438:L438"/>
    <mergeCell ref="B439:C439"/>
    <mergeCell ref="G439:L439"/>
    <mergeCell ref="B440:C440"/>
    <mergeCell ref="G440:L440"/>
    <mergeCell ref="B435:C435"/>
    <mergeCell ref="G435:L435"/>
    <mergeCell ref="B436:C436"/>
    <mergeCell ref="G436:L436"/>
    <mergeCell ref="B437:C437"/>
    <mergeCell ref="G437:L437"/>
    <mergeCell ref="B448:C448"/>
    <mergeCell ref="G448:L448"/>
    <mergeCell ref="B449:C449"/>
    <mergeCell ref="G449:L449"/>
    <mergeCell ref="B450:C450"/>
    <mergeCell ref="G450:L450"/>
    <mergeCell ref="G444:L445"/>
    <mergeCell ref="M444:M445"/>
    <mergeCell ref="N444:R444"/>
    <mergeCell ref="B446:C446"/>
    <mergeCell ref="G446:L446"/>
    <mergeCell ref="B447:C447"/>
    <mergeCell ref="G447:L447"/>
    <mergeCell ref="B454:C454"/>
    <mergeCell ref="G454:L454"/>
    <mergeCell ref="B455:C455"/>
    <mergeCell ref="G455:L455"/>
    <mergeCell ref="B456:C456"/>
    <mergeCell ref="G456:L456"/>
    <mergeCell ref="B451:C451"/>
    <mergeCell ref="G451:L451"/>
    <mergeCell ref="B452:C452"/>
    <mergeCell ref="G452:L452"/>
    <mergeCell ref="B453:C453"/>
    <mergeCell ref="G453:L453"/>
    <mergeCell ref="B460:C460"/>
    <mergeCell ref="G460:L460"/>
    <mergeCell ref="G464:L465"/>
    <mergeCell ref="M464:M465"/>
    <mergeCell ref="N464:R464"/>
    <mergeCell ref="B466:C466"/>
    <mergeCell ref="G466:L466"/>
    <mergeCell ref="B457:C457"/>
    <mergeCell ref="G457:L457"/>
    <mergeCell ref="B458:C458"/>
    <mergeCell ref="G458:L458"/>
    <mergeCell ref="B459:C459"/>
    <mergeCell ref="G459:L459"/>
    <mergeCell ref="B470:C470"/>
    <mergeCell ref="G470:L470"/>
    <mergeCell ref="B471:C471"/>
    <mergeCell ref="G471:L471"/>
    <mergeCell ref="B472:C472"/>
    <mergeCell ref="G472:L472"/>
    <mergeCell ref="B467:C467"/>
    <mergeCell ref="G467:L467"/>
    <mergeCell ref="B468:C468"/>
    <mergeCell ref="G468:L468"/>
    <mergeCell ref="B469:C469"/>
    <mergeCell ref="G469:L469"/>
    <mergeCell ref="B477:C477"/>
    <mergeCell ref="G477:L477"/>
    <mergeCell ref="B478:C478"/>
    <mergeCell ref="G478:L478"/>
    <mergeCell ref="B473:C473"/>
    <mergeCell ref="G473:L473"/>
    <mergeCell ref="B474:C474"/>
    <mergeCell ref="G474:L474"/>
    <mergeCell ref="B475:C475"/>
    <mergeCell ref="G475:L475"/>
    <mergeCell ref="G476:L476"/>
    <mergeCell ref="B499:C499"/>
    <mergeCell ref="G499:I499"/>
    <mergeCell ref="B75:C75"/>
    <mergeCell ref="G75:L75"/>
    <mergeCell ref="H367:I367"/>
    <mergeCell ref="J367:K367"/>
    <mergeCell ref="G368:G369"/>
    <mergeCell ref="H368:I368"/>
    <mergeCell ref="J368:K368"/>
    <mergeCell ref="L368:L369"/>
    <mergeCell ref="G485:H485"/>
    <mergeCell ref="I485:J485"/>
    <mergeCell ref="B488:C488"/>
    <mergeCell ref="B493:C493"/>
    <mergeCell ref="B498:C498"/>
    <mergeCell ref="G498:I498"/>
    <mergeCell ref="B479:C479"/>
    <mergeCell ref="G479:L479"/>
    <mergeCell ref="B480:C480"/>
    <mergeCell ref="G480:L480"/>
    <mergeCell ref="B483:C483"/>
    <mergeCell ref="G484:H484"/>
    <mergeCell ref="I484:J484"/>
    <mergeCell ref="B476:C476"/>
    <mergeCell ref="G381:L381"/>
    <mergeCell ref="G503:H503"/>
    <mergeCell ref="G504:H504"/>
    <mergeCell ref="G505:H505"/>
    <mergeCell ref="G506:H506"/>
    <mergeCell ref="G507:H507"/>
    <mergeCell ref="I503:J503"/>
    <mergeCell ref="I504:J504"/>
    <mergeCell ref="I505:J505"/>
    <mergeCell ref="I506:J506"/>
    <mergeCell ref="I507:J507"/>
    <mergeCell ref="G388:L388"/>
  </mergeCells>
  <phoneticPr fontId="1" type="noConversion"/>
  <pageMargins left="0.25" right="0.25" top="0.75" bottom="0.75" header="0.3" footer="0.3"/>
  <pageSetup paperSize="9" scale="41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343"/>
  <sheetViews>
    <sheetView showGridLines="0" zoomScaleNormal="100" workbookViewId="0">
      <pane ySplit="6" topLeftCell="A7" activePane="bottomLeft" state="frozen"/>
      <selection pane="bottomLeft" activeCell="F2" sqref="F2:U3"/>
    </sheetView>
  </sheetViews>
  <sheetFormatPr defaultColWidth="9" defaultRowHeight="18" customHeight="1"/>
  <cols>
    <col min="1" max="1" width="1.625" style="6" customWidth="1"/>
    <col min="2" max="3" width="12.375" style="1" customWidth="1"/>
    <col min="4" max="4" width="1.625" style="2" customWidth="1"/>
    <col min="5" max="5" width="1.625" style="6" customWidth="1"/>
    <col min="6" max="6" width="5.125" style="6" customWidth="1"/>
    <col min="7" max="20" width="13.5" style="6" customWidth="1"/>
    <col min="21" max="21" width="5.125" style="6" customWidth="1"/>
    <col min="22" max="22" width="1.625" style="6" customWidth="1"/>
    <col min="23" max="16384" width="9" style="6"/>
  </cols>
  <sheetData>
    <row r="1" spans="2:22" ht="9.75" customHeight="1" thickBot="1"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"/>
      <c r="V1" s="3"/>
    </row>
    <row r="2" spans="2:22" ht="18" customHeight="1">
      <c r="E2" s="4"/>
      <c r="F2" s="356" t="s">
        <v>1766</v>
      </c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8"/>
      <c r="V2" s="3"/>
    </row>
    <row r="3" spans="2:22" ht="18" customHeight="1" thickBot="1">
      <c r="E3" s="4"/>
      <c r="F3" s="359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1"/>
      <c r="V3" s="3"/>
    </row>
    <row r="4" spans="2:22" ht="9.75" customHeight="1">
      <c r="E4" s="3"/>
      <c r="F4" s="3"/>
      <c r="U4" s="3"/>
      <c r="V4" s="3"/>
    </row>
    <row r="5" spans="2:22" ht="18" customHeight="1">
      <c r="B5" s="135"/>
      <c r="C5" s="135"/>
      <c r="F5" s="354" t="s">
        <v>1772</v>
      </c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</row>
    <row r="6" spans="2:22" ht="18" customHeight="1">
      <c r="B6" s="135"/>
      <c r="C6" s="135"/>
      <c r="F6" s="406" t="s">
        <v>1067</v>
      </c>
      <c r="G6" s="406"/>
      <c r="H6" s="406"/>
      <c r="I6" s="406"/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</row>
    <row r="7" spans="2:22" ht="9.75" customHeight="1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2:22" ht="18" customHeight="1">
      <c r="E8" s="7"/>
      <c r="V8" s="7"/>
    </row>
    <row r="9" spans="2:22" ht="18" customHeight="1">
      <c r="B9" s="355" t="str">
        <f>HYPERLINK("#LAYOUT_p!lay보PARENT","PARENT")</f>
        <v>PARENT</v>
      </c>
      <c r="C9" s="355"/>
      <c r="E9" s="7"/>
      <c r="F9" s="136" t="s">
        <v>1662</v>
      </c>
      <c r="V9" s="7"/>
    </row>
    <row r="10" spans="2:22" ht="18" customHeight="1">
      <c r="B10" s="195"/>
      <c r="C10" s="195"/>
      <c r="E10" s="7"/>
      <c r="F10" s="136"/>
      <c r="G10" s="136" t="s">
        <v>1620</v>
      </c>
      <c r="I10" s="136" t="s">
        <v>1621</v>
      </c>
      <c r="K10" s="136" t="s">
        <v>1622</v>
      </c>
      <c r="L10" s="136"/>
      <c r="M10" s="136"/>
      <c r="N10" s="136"/>
      <c r="O10" s="136"/>
      <c r="P10" s="136"/>
      <c r="Q10" s="136"/>
      <c r="R10" s="136"/>
      <c r="S10" s="136"/>
      <c r="T10" s="136"/>
      <c r="V10" s="7"/>
    </row>
    <row r="11" spans="2:22" ht="18" customHeight="1">
      <c r="B11" s="195"/>
      <c r="C11" s="195"/>
      <c r="E11" s="7"/>
      <c r="F11" s="136"/>
      <c r="G11" s="136" t="s">
        <v>1623</v>
      </c>
      <c r="I11" s="136" t="s">
        <v>1624</v>
      </c>
      <c r="K11" s="136" t="s">
        <v>1625</v>
      </c>
      <c r="L11" s="136"/>
      <c r="M11" s="136"/>
      <c r="N11" s="136"/>
      <c r="O11" s="136"/>
      <c r="P11" s="136"/>
      <c r="Q11" s="136"/>
      <c r="R11" s="136"/>
      <c r="S11" s="136"/>
      <c r="T11" s="136"/>
      <c r="V11" s="7"/>
    </row>
    <row r="12" spans="2:22" ht="18" customHeight="1">
      <c r="B12" s="195"/>
      <c r="C12" s="195"/>
      <c r="E12" s="7"/>
      <c r="F12" s="136"/>
      <c r="G12" s="136" t="s">
        <v>1626</v>
      </c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V12" s="7"/>
    </row>
    <row r="13" spans="2:22" ht="18" customHeight="1">
      <c r="B13" s="195"/>
      <c r="C13" s="195"/>
      <c r="E13" s="7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V13" s="7"/>
    </row>
    <row r="14" spans="2:22" ht="18" customHeight="1">
      <c r="B14" s="195"/>
      <c r="C14" s="195"/>
      <c r="E14" s="7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V14" s="7"/>
    </row>
    <row r="15" spans="2:22" ht="18" customHeight="1">
      <c r="B15" s="195"/>
      <c r="C15" s="195"/>
      <c r="E15" s="7"/>
      <c r="F15" s="136" t="s">
        <v>1663</v>
      </c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V15" s="7"/>
    </row>
    <row r="16" spans="2:22" ht="18" customHeight="1">
      <c r="B16" s="355" t="str">
        <f>HYPERLINK("#LAYOUT_p!lay보PYBRT1A","PYBRT1A")</f>
        <v>PYBRT1A</v>
      </c>
      <c r="C16" s="355"/>
      <c r="E16" s="7"/>
      <c r="F16" s="136"/>
      <c r="G16" s="6" t="s">
        <v>1581</v>
      </c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V16" s="7"/>
    </row>
    <row r="17" spans="2:22" ht="18" customHeight="1">
      <c r="B17" s="355" t="str">
        <f>HYPERLINK("#LAYOUT_p!lay보PYBRT1B","PYBRT1B")</f>
        <v>PYBRT1B</v>
      </c>
      <c r="C17" s="355"/>
      <c r="E17" s="7"/>
      <c r="F17" s="136"/>
      <c r="G17" s="6" t="s">
        <v>1582</v>
      </c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V17" s="7"/>
    </row>
    <row r="18" spans="2:22" ht="18" customHeight="1">
      <c r="B18" s="195"/>
      <c r="C18" s="195"/>
      <c r="E18" s="7"/>
      <c r="F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V18" s="7"/>
    </row>
    <row r="19" spans="2:22" ht="18" customHeight="1">
      <c r="B19" s="195"/>
      <c r="C19" s="195"/>
      <c r="E19" s="7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V19" s="7"/>
    </row>
    <row r="20" spans="2:22" ht="18" customHeight="1">
      <c r="B20" s="355" t="str">
        <f>HYPERLINK("#LAYOUT_p!lay보PYGENDER","PYGENDER")</f>
        <v>PYGENDER</v>
      </c>
      <c r="C20" s="355"/>
      <c r="E20" s="7"/>
      <c r="F20" s="136" t="s">
        <v>1540</v>
      </c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V20" s="7"/>
    </row>
    <row r="21" spans="2:22" ht="18" customHeight="1">
      <c r="B21" s="195"/>
      <c r="C21" s="195"/>
      <c r="E21" s="7"/>
      <c r="F21" s="136"/>
      <c r="G21" s="6" t="s">
        <v>571</v>
      </c>
      <c r="H21" s="6" t="s">
        <v>572</v>
      </c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V21" s="7"/>
    </row>
    <row r="22" spans="2:22" ht="18" customHeight="1">
      <c r="B22" s="195"/>
      <c r="C22" s="195"/>
      <c r="E22" s="7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V22" s="7"/>
    </row>
    <row r="23" spans="2:22" ht="18" customHeight="1">
      <c r="B23" s="195"/>
      <c r="C23" s="195"/>
      <c r="E23" s="7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V23" s="7"/>
    </row>
    <row r="24" spans="2:22" ht="18" customHeight="1">
      <c r="B24" s="355" t="str">
        <f>HYPERLINK("#LAYOUT_p!lay보PHOMPOP","PHOMPOP")</f>
        <v>PHOMPOP</v>
      </c>
      <c r="C24" s="355"/>
      <c r="E24" s="7"/>
      <c r="F24" s="136" t="s">
        <v>1541</v>
      </c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V24" s="7"/>
    </row>
    <row r="25" spans="2:22" ht="18" customHeight="1">
      <c r="B25" s="195"/>
      <c r="C25" s="195"/>
      <c r="E25" s="7"/>
      <c r="F25" s="136"/>
      <c r="G25" s="136" t="s">
        <v>1664</v>
      </c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V25" s="7"/>
    </row>
    <row r="26" spans="2:22" ht="18" customHeight="1">
      <c r="B26" s="195"/>
      <c r="C26" s="195"/>
      <c r="E26" s="7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V26" s="7"/>
    </row>
    <row r="27" spans="2:22" ht="18" customHeight="1">
      <c r="B27" s="195"/>
      <c r="C27" s="195"/>
      <c r="E27" s="7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V27" s="7"/>
    </row>
    <row r="28" spans="2:22" ht="18" customHeight="1">
      <c r="B28" s="195"/>
      <c r="C28" s="195"/>
      <c r="E28" s="7"/>
      <c r="F28" s="136" t="s">
        <v>1542</v>
      </c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V28" s="7"/>
    </row>
    <row r="29" spans="2:22" ht="18" customHeight="1">
      <c r="B29" s="195"/>
      <c r="C29" s="195"/>
      <c r="E29" s="7"/>
      <c r="F29" s="136"/>
      <c r="G29" s="136" t="s">
        <v>1543</v>
      </c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V29" s="7"/>
    </row>
    <row r="30" spans="2:22" ht="18" customHeight="1">
      <c r="B30" s="195"/>
      <c r="C30" s="195"/>
      <c r="E30" s="7"/>
      <c r="F30" s="136"/>
      <c r="G30" s="136" t="s">
        <v>1544</v>
      </c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V30" s="7"/>
    </row>
    <row r="31" spans="2:22" ht="18" customHeight="1">
      <c r="B31" s="195"/>
      <c r="C31" s="195"/>
      <c r="E31" s="7"/>
      <c r="G31" s="136" t="s">
        <v>1545</v>
      </c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V31" s="7"/>
    </row>
    <row r="32" spans="2:22" ht="18" customHeight="1">
      <c r="B32" s="195"/>
      <c r="C32" s="195"/>
      <c r="E32" s="7"/>
      <c r="F32" s="136"/>
      <c r="G32" s="309" t="s">
        <v>1546</v>
      </c>
      <c r="H32" s="315"/>
      <c r="I32" s="315"/>
      <c r="J32" s="315"/>
      <c r="K32" s="310"/>
      <c r="L32" s="136"/>
      <c r="M32" s="136"/>
      <c r="N32" s="136"/>
      <c r="O32" s="136"/>
      <c r="P32" s="136"/>
      <c r="Q32" s="136"/>
      <c r="R32" s="136"/>
      <c r="S32" s="136"/>
      <c r="T32" s="136"/>
      <c r="V32" s="7"/>
    </row>
    <row r="33" spans="2:22" ht="18" customHeight="1">
      <c r="B33" s="195"/>
      <c r="C33" s="195"/>
      <c r="E33" s="7"/>
      <c r="F33" s="136"/>
      <c r="G33" s="422" t="s">
        <v>1552</v>
      </c>
      <c r="H33" s="423"/>
      <c r="I33" s="423"/>
      <c r="J33" s="423"/>
      <c r="K33" s="424"/>
      <c r="L33" s="136"/>
      <c r="M33" s="136"/>
      <c r="N33" s="136"/>
      <c r="O33" s="136"/>
      <c r="P33" s="136"/>
      <c r="Q33" s="136"/>
      <c r="R33" s="136"/>
      <c r="S33" s="136"/>
      <c r="T33" s="136"/>
      <c r="V33" s="7"/>
    </row>
    <row r="34" spans="2:22" ht="18" customHeight="1">
      <c r="B34" s="195"/>
      <c r="C34" s="195"/>
      <c r="E34" s="7"/>
      <c r="F34" s="136"/>
      <c r="G34" s="422" t="s">
        <v>1547</v>
      </c>
      <c r="H34" s="423"/>
      <c r="I34" s="423"/>
      <c r="J34" s="423"/>
      <c r="K34" s="424"/>
      <c r="L34" s="136"/>
      <c r="M34" s="136"/>
      <c r="N34" s="136"/>
      <c r="O34" s="136"/>
      <c r="P34" s="136"/>
      <c r="Q34" s="136"/>
      <c r="R34" s="136"/>
      <c r="S34" s="136"/>
      <c r="T34" s="136"/>
      <c r="V34" s="7"/>
    </row>
    <row r="35" spans="2:22" ht="18" customHeight="1">
      <c r="B35" s="195"/>
      <c r="C35" s="195"/>
      <c r="E35" s="7"/>
      <c r="F35" s="136"/>
      <c r="G35" s="422" t="s">
        <v>1548</v>
      </c>
      <c r="H35" s="423"/>
      <c r="I35" s="423"/>
      <c r="J35" s="423"/>
      <c r="K35" s="424"/>
      <c r="L35" s="136"/>
      <c r="M35" s="136"/>
      <c r="N35" s="136"/>
      <c r="O35" s="136"/>
      <c r="P35" s="136"/>
      <c r="Q35" s="136"/>
      <c r="R35" s="136"/>
      <c r="S35" s="136"/>
      <c r="T35" s="136"/>
      <c r="V35" s="7"/>
    </row>
    <row r="36" spans="2:22" ht="18" customHeight="1">
      <c r="B36" s="195"/>
      <c r="C36" s="195"/>
      <c r="E36" s="7"/>
      <c r="F36" s="136"/>
      <c r="G36" s="422" t="s">
        <v>1549</v>
      </c>
      <c r="H36" s="423"/>
      <c r="I36" s="423"/>
      <c r="J36" s="423"/>
      <c r="K36" s="424"/>
      <c r="L36" s="136"/>
      <c r="M36" s="136"/>
      <c r="N36" s="136"/>
      <c r="O36" s="136"/>
      <c r="P36" s="136"/>
      <c r="Q36" s="136"/>
      <c r="R36" s="136"/>
      <c r="S36" s="136"/>
      <c r="T36" s="136"/>
      <c r="V36" s="7"/>
    </row>
    <row r="37" spans="2:22" ht="18" customHeight="1">
      <c r="B37" s="195"/>
      <c r="C37" s="195"/>
      <c r="E37" s="7"/>
      <c r="F37" s="136"/>
      <c r="G37" s="422" t="s">
        <v>1550</v>
      </c>
      <c r="H37" s="423"/>
      <c r="I37" s="423"/>
      <c r="J37" s="423"/>
      <c r="K37" s="424"/>
      <c r="L37" s="136"/>
      <c r="M37" s="136"/>
      <c r="N37" s="136"/>
      <c r="O37" s="136"/>
      <c r="P37" s="136"/>
      <c r="Q37" s="136"/>
      <c r="R37" s="136"/>
      <c r="S37" s="136"/>
      <c r="T37" s="136"/>
      <c r="V37" s="7"/>
    </row>
    <row r="38" spans="2:22" ht="18" customHeight="1">
      <c r="B38" s="195"/>
      <c r="C38" s="195"/>
      <c r="E38" s="7"/>
      <c r="F38" s="136"/>
      <c r="G38" s="425" t="s">
        <v>1551</v>
      </c>
      <c r="H38" s="426"/>
      <c r="I38" s="426"/>
      <c r="J38" s="426"/>
      <c r="K38" s="427"/>
      <c r="L38" s="136"/>
      <c r="M38" s="136"/>
      <c r="N38" s="136"/>
      <c r="O38" s="136"/>
      <c r="P38" s="136"/>
      <c r="Q38" s="136"/>
      <c r="R38" s="136"/>
      <c r="S38" s="136"/>
      <c r="T38" s="136"/>
      <c r="V38" s="7"/>
    </row>
    <row r="39" spans="2:22" ht="18" customHeight="1" thickBot="1">
      <c r="B39" s="195"/>
      <c r="C39" s="195"/>
      <c r="E39" s="7"/>
      <c r="F39" s="136"/>
      <c r="G39" s="137"/>
      <c r="H39" s="137"/>
      <c r="I39" s="137"/>
      <c r="J39" s="137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1"/>
      <c r="V39" s="7"/>
    </row>
    <row r="40" spans="2:22" ht="27" customHeight="1" thickTop="1">
      <c r="B40" s="195"/>
      <c r="C40" s="195"/>
      <c r="E40" s="7"/>
      <c r="F40" s="136"/>
      <c r="G40" s="391" t="s">
        <v>952</v>
      </c>
      <c r="H40" s="429" t="s">
        <v>1553</v>
      </c>
      <c r="I40" s="391"/>
      <c r="J40" s="138" t="s">
        <v>21</v>
      </c>
      <c r="K40" s="429" t="s">
        <v>954</v>
      </c>
      <c r="L40" s="136"/>
      <c r="M40" s="136"/>
      <c r="N40" s="136"/>
      <c r="O40" s="136"/>
      <c r="P40" s="136"/>
      <c r="Q40" s="136"/>
      <c r="R40" s="136"/>
      <c r="S40" s="136"/>
      <c r="T40" s="136"/>
      <c r="U40" s="11"/>
      <c r="V40" s="7"/>
    </row>
    <row r="41" spans="2:22" ht="27" customHeight="1">
      <c r="B41" s="195"/>
      <c r="C41" s="195"/>
      <c r="E41" s="7"/>
      <c r="F41" s="136"/>
      <c r="G41" s="428"/>
      <c r="H41" s="430"/>
      <c r="I41" s="428"/>
      <c r="J41" s="22" t="s">
        <v>955</v>
      </c>
      <c r="K41" s="430"/>
      <c r="L41" s="136"/>
      <c r="M41" s="136"/>
      <c r="N41" s="136"/>
      <c r="O41" s="136"/>
      <c r="P41" s="136"/>
      <c r="Q41" s="136"/>
      <c r="R41" s="136"/>
      <c r="S41" s="136"/>
      <c r="T41" s="136"/>
      <c r="U41" s="11"/>
      <c r="V41" s="7"/>
    </row>
    <row r="42" spans="2:22" ht="18" customHeight="1">
      <c r="B42" s="355" t="str">
        <f>HYPERLINK("#LAYOUT_p!lay보PFRELATION1","PFRELATION1 ~ PFBRTB1")</f>
        <v>PFRELATION1 ~ PFBRTB1</v>
      </c>
      <c r="C42" s="355"/>
      <c r="E42" s="7"/>
      <c r="F42" s="136"/>
      <c r="G42" s="139">
        <v>1</v>
      </c>
      <c r="H42" s="454"/>
      <c r="I42" s="434"/>
      <c r="J42" s="22"/>
      <c r="K42" s="24" t="s">
        <v>957</v>
      </c>
      <c r="L42" s="136"/>
      <c r="M42" s="136"/>
      <c r="N42" s="136"/>
      <c r="O42" s="136"/>
      <c r="P42" s="136"/>
      <c r="Q42" s="136"/>
      <c r="R42" s="136"/>
      <c r="S42" s="136"/>
      <c r="T42" s="136"/>
      <c r="U42" s="11"/>
      <c r="V42" s="7"/>
    </row>
    <row r="43" spans="2:22" ht="18" customHeight="1">
      <c r="B43" s="355" t="str">
        <f>HYPERLINK("#LAYOUT_p!lay보PFRELATION2","PFRELATION2 ~ PFBRTB2")</f>
        <v>PFRELATION2 ~ PFBRTB2</v>
      </c>
      <c r="C43" s="355"/>
      <c r="E43" s="7"/>
      <c r="F43" s="136"/>
      <c r="G43" s="139">
        <v>2</v>
      </c>
      <c r="H43" s="454"/>
      <c r="I43" s="434"/>
      <c r="J43" s="22"/>
      <c r="K43" s="24" t="s">
        <v>957</v>
      </c>
      <c r="L43" s="136"/>
      <c r="M43" s="136"/>
      <c r="N43" s="136"/>
      <c r="O43" s="136"/>
      <c r="P43" s="136"/>
      <c r="Q43" s="136"/>
      <c r="R43" s="136"/>
      <c r="S43" s="136"/>
      <c r="T43" s="136"/>
      <c r="U43" s="11"/>
      <c r="V43" s="7"/>
    </row>
    <row r="44" spans="2:22" ht="18" customHeight="1">
      <c r="B44" s="355" t="str">
        <f>HYPERLINK("#LAYOUT_p!lay보PFRELATION3","PFRELATION3 ~ PFBRTB3")</f>
        <v>PFRELATION3 ~ PFBRTB3</v>
      </c>
      <c r="C44" s="355"/>
      <c r="E44" s="7"/>
      <c r="F44" s="136"/>
      <c r="G44" s="139">
        <v>3</v>
      </c>
      <c r="H44" s="454"/>
      <c r="I44" s="434"/>
      <c r="J44" s="22"/>
      <c r="K44" s="24" t="s">
        <v>957</v>
      </c>
      <c r="L44" s="136"/>
      <c r="M44" s="136"/>
      <c r="N44" s="136"/>
      <c r="O44" s="136"/>
      <c r="P44" s="136"/>
      <c r="Q44" s="136"/>
      <c r="R44" s="136"/>
      <c r="S44" s="136"/>
      <c r="T44" s="136"/>
      <c r="U44" s="11"/>
      <c r="V44" s="7"/>
    </row>
    <row r="45" spans="2:22" ht="18" customHeight="1">
      <c r="B45" s="355" t="str">
        <f>HYPERLINK("#LAYOUT_p!lay보PFRELATION4","PFRELATION4 ~ PFBRTB4")</f>
        <v>PFRELATION4 ~ PFBRTB4</v>
      </c>
      <c r="C45" s="355"/>
      <c r="E45" s="7"/>
      <c r="F45" s="136"/>
      <c r="G45" s="139">
        <v>4</v>
      </c>
      <c r="H45" s="454"/>
      <c r="I45" s="434"/>
      <c r="J45" s="22"/>
      <c r="K45" s="24" t="s">
        <v>957</v>
      </c>
      <c r="L45" s="136"/>
      <c r="M45" s="136"/>
      <c r="N45" s="136"/>
      <c r="O45" s="136"/>
      <c r="P45" s="136"/>
      <c r="Q45" s="136"/>
      <c r="R45" s="136"/>
      <c r="S45" s="136"/>
      <c r="T45" s="136"/>
      <c r="U45" s="11"/>
      <c r="V45" s="7"/>
    </row>
    <row r="46" spans="2:22" ht="18" customHeight="1">
      <c r="B46" s="355" t="str">
        <f>HYPERLINK("#LAYOUT_p!lay보PFRELATION5","PFRELATION5 ~ PFBRTB5")</f>
        <v>PFRELATION5 ~ PFBRTB5</v>
      </c>
      <c r="C46" s="355"/>
      <c r="E46" s="7"/>
      <c r="F46" s="136"/>
      <c r="G46" s="139">
        <v>5</v>
      </c>
      <c r="H46" s="454"/>
      <c r="I46" s="434"/>
      <c r="J46" s="22"/>
      <c r="K46" s="24" t="s">
        <v>957</v>
      </c>
      <c r="L46" s="136"/>
      <c r="M46" s="136"/>
      <c r="N46" s="136"/>
      <c r="O46" s="136"/>
      <c r="P46" s="136"/>
      <c r="Q46" s="136"/>
      <c r="R46" s="136"/>
      <c r="S46" s="136"/>
      <c r="T46" s="136"/>
      <c r="U46" s="11"/>
      <c r="V46" s="7"/>
    </row>
    <row r="47" spans="2:22" ht="18" customHeight="1">
      <c r="B47" s="355" t="str">
        <f>HYPERLINK("#LAYOUT_p!lay보PFRELATION6","PFRELATION6 ~ PFBRTB6")</f>
        <v>PFRELATION6 ~ PFBRTB6</v>
      </c>
      <c r="C47" s="355"/>
      <c r="E47" s="7"/>
      <c r="F47" s="136"/>
      <c r="G47" s="139">
        <v>6</v>
      </c>
      <c r="H47" s="454"/>
      <c r="I47" s="434"/>
      <c r="J47" s="22"/>
      <c r="K47" s="24" t="s">
        <v>957</v>
      </c>
      <c r="L47" s="136"/>
      <c r="M47" s="136"/>
      <c r="N47" s="136"/>
      <c r="O47" s="136"/>
      <c r="P47" s="136"/>
      <c r="Q47" s="136"/>
      <c r="R47" s="136"/>
      <c r="S47" s="136"/>
      <c r="T47" s="136"/>
      <c r="U47" s="11"/>
      <c r="V47" s="7"/>
    </row>
    <row r="48" spans="2:22" ht="18" customHeight="1">
      <c r="B48" s="355" t="str">
        <f>HYPERLINK("#LAYOUT_p!lay보PFRELATION7","PFRELATION7 ~ PFBRTB7")</f>
        <v>PFRELATION7 ~ PFBRTB7</v>
      </c>
      <c r="C48" s="355"/>
      <c r="E48" s="7"/>
      <c r="F48" s="136"/>
      <c r="G48" s="139">
        <v>7</v>
      </c>
      <c r="H48" s="454"/>
      <c r="I48" s="434"/>
      <c r="J48" s="22"/>
      <c r="K48" s="24" t="s">
        <v>957</v>
      </c>
      <c r="L48" s="136"/>
      <c r="M48" s="136"/>
      <c r="N48" s="136"/>
      <c r="O48" s="136"/>
      <c r="P48" s="136"/>
      <c r="Q48" s="136"/>
      <c r="R48" s="136"/>
      <c r="S48" s="136"/>
      <c r="T48" s="136"/>
      <c r="U48" s="11"/>
      <c r="V48" s="7"/>
    </row>
    <row r="49" spans="2:22" ht="18" customHeight="1">
      <c r="B49" s="355" t="str">
        <f>HYPERLINK("#LAYOUT_p!lay보PFRELATION8","PFRELATION8 ~ PFBRTB8")</f>
        <v>PFRELATION8 ~ PFBRTB8</v>
      </c>
      <c r="C49" s="355"/>
      <c r="E49" s="7"/>
      <c r="F49" s="136"/>
      <c r="G49" s="139">
        <v>8</v>
      </c>
      <c r="H49" s="454"/>
      <c r="I49" s="434"/>
      <c r="J49" s="22"/>
      <c r="K49" s="24" t="s">
        <v>957</v>
      </c>
      <c r="L49" s="136"/>
      <c r="M49" s="136"/>
      <c r="N49" s="136"/>
      <c r="O49" s="136"/>
      <c r="P49" s="136"/>
      <c r="Q49" s="136"/>
      <c r="R49" s="136"/>
      <c r="S49" s="136"/>
      <c r="T49" s="136"/>
      <c r="U49" s="11"/>
      <c r="V49" s="7"/>
    </row>
    <row r="50" spans="2:22" ht="18" customHeight="1">
      <c r="B50" s="195"/>
      <c r="C50" s="195"/>
      <c r="E50" s="7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1"/>
      <c r="V50" s="7"/>
    </row>
    <row r="51" spans="2:22" ht="18" customHeight="1">
      <c r="B51" s="195"/>
      <c r="C51" s="195"/>
      <c r="E51" s="7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1"/>
      <c r="V51" s="7"/>
    </row>
    <row r="52" spans="2:22" ht="18" customHeight="1">
      <c r="B52" s="355" t="str">
        <f>HYPERLINK("#LAYOUT_p!lay보PYBRP1","PYBRP1")</f>
        <v>PYBRP1</v>
      </c>
      <c r="C52" s="355"/>
      <c r="E52" s="7"/>
      <c r="F52" s="136" t="s">
        <v>958</v>
      </c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1"/>
      <c r="V52" s="7"/>
    </row>
    <row r="53" spans="2:22" ht="18" customHeight="1">
      <c r="B53" s="355" t="str">
        <f>HYPERLINK("#LAYOUT_p!lay보PYBRP2","PYBRP2")</f>
        <v>PYBRP2</v>
      </c>
      <c r="C53" s="355"/>
      <c r="E53" s="7"/>
      <c r="F53" s="136"/>
      <c r="G53" s="136" t="s">
        <v>1627</v>
      </c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1"/>
      <c r="V53" s="7"/>
    </row>
    <row r="54" spans="2:22" ht="18" customHeight="1">
      <c r="B54" s="355" t="str">
        <f>HYPERLINK("#LAYOUT_p!lay보PYBRP3","PYBRP3")</f>
        <v>PYBRP3</v>
      </c>
      <c r="C54" s="355"/>
      <c r="E54" s="7"/>
      <c r="F54" s="136"/>
      <c r="G54" s="136" t="s">
        <v>1628</v>
      </c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1"/>
      <c r="V54" s="7"/>
    </row>
    <row r="55" spans="2:22" ht="18" customHeight="1">
      <c r="B55" s="195"/>
      <c r="C55" s="195"/>
      <c r="E55" s="7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1"/>
      <c r="V55" s="7"/>
    </row>
    <row r="56" spans="2:22" ht="18" customHeight="1">
      <c r="B56" s="195"/>
      <c r="C56" s="195"/>
      <c r="E56" s="7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1"/>
      <c r="V56" s="7"/>
    </row>
    <row r="57" spans="2:22" ht="18" customHeight="1">
      <c r="B57" s="355" t="str">
        <f>HYPERLINK("#LAYOUT_p!lay보PFAM1A00","PFAM1A00")</f>
        <v>PFAM1A00</v>
      </c>
      <c r="C57" s="355"/>
      <c r="E57" s="7"/>
      <c r="F57" s="136" t="s">
        <v>959</v>
      </c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1"/>
      <c r="V57" s="7"/>
    </row>
    <row r="58" spans="2:22" ht="18" customHeight="1">
      <c r="B58" s="355" t="str">
        <f>HYPERLINK("#LAYOUT_p!lay보PFAM1A00_T","PFAM1A00_T")</f>
        <v>PFAM1A00_T</v>
      </c>
      <c r="C58" s="355"/>
      <c r="E58" s="7"/>
      <c r="F58" s="136"/>
      <c r="G58" s="407" t="s">
        <v>960</v>
      </c>
      <c r="H58" s="407"/>
      <c r="I58" s="407"/>
      <c r="J58" s="407"/>
      <c r="K58" s="407"/>
      <c r="L58" s="136"/>
      <c r="M58" s="136"/>
      <c r="N58" s="136"/>
      <c r="O58" s="136"/>
      <c r="P58" s="136"/>
      <c r="Q58" s="136"/>
      <c r="R58" s="136"/>
      <c r="S58" s="136"/>
      <c r="T58" s="136"/>
      <c r="U58" s="11"/>
      <c r="V58" s="7"/>
    </row>
    <row r="59" spans="2:22" ht="18" customHeight="1">
      <c r="B59" s="195"/>
      <c r="C59" s="195"/>
      <c r="E59" s="7"/>
      <c r="F59" s="136"/>
      <c r="G59" s="407" t="s">
        <v>961</v>
      </c>
      <c r="H59" s="407"/>
      <c r="I59" s="407"/>
      <c r="J59" s="407"/>
      <c r="K59" s="407"/>
      <c r="L59" s="136"/>
      <c r="M59" s="136"/>
      <c r="N59" s="136"/>
      <c r="O59" s="136"/>
      <c r="P59" s="136"/>
      <c r="Q59" s="136"/>
      <c r="R59" s="136"/>
      <c r="S59" s="136"/>
      <c r="T59" s="136"/>
      <c r="U59" s="11"/>
      <c r="V59" s="7"/>
    </row>
    <row r="60" spans="2:22" ht="18" customHeight="1">
      <c r="B60" s="195"/>
      <c r="C60" s="195"/>
      <c r="E60" s="7"/>
      <c r="F60" s="136"/>
      <c r="G60" s="136" t="s">
        <v>1629</v>
      </c>
      <c r="H60" s="140"/>
      <c r="I60" s="140"/>
      <c r="J60" s="136" t="s">
        <v>1630</v>
      </c>
      <c r="K60" s="140"/>
      <c r="L60" s="136"/>
      <c r="M60" s="136"/>
      <c r="N60" s="136"/>
      <c r="O60" s="136"/>
      <c r="P60" s="136"/>
      <c r="Q60" s="136"/>
      <c r="R60" s="136"/>
      <c r="S60" s="136"/>
      <c r="T60" s="136"/>
      <c r="V60" s="7"/>
    </row>
    <row r="61" spans="2:22" ht="18" customHeight="1">
      <c r="B61" s="195"/>
      <c r="C61" s="195"/>
      <c r="E61" s="7"/>
      <c r="F61" s="136"/>
      <c r="G61" s="136" t="s">
        <v>1631</v>
      </c>
      <c r="H61" s="140"/>
      <c r="I61" s="140"/>
      <c r="J61" s="136" t="s">
        <v>1632</v>
      </c>
      <c r="K61" s="140"/>
      <c r="L61" s="136"/>
      <c r="M61" s="136"/>
      <c r="N61" s="136"/>
      <c r="O61" s="136"/>
      <c r="P61" s="136"/>
      <c r="Q61" s="136"/>
      <c r="R61" s="136"/>
      <c r="S61" s="136"/>
      <c r="T61" s="136"/>
      <c r="V61" s="7"/>
    </row>
    <row r="62" spans="2:22" ht="18" customHeight="1">
      <c r="B62" s="195"/>
      <c r="C62" s="195"/>
      <c r="E62" s="7"/>
      <c r="F62" s="136"/>
      <c r="G62" s="136" t="s">
        <v>1633</v>
      </c>
      <c r="H62" s="140"/>
      <c r="I62" s="140"/>
      <c r="J62" s="136" t="s">
        <v>1634</v>
      </c>
      <c r="K62" s="140"/>
      <c r="L62" s="136"/>
      <c r="M62" s="136"/>
      <c r="N62" s="136"/>
      <c r="O62" s="136"/>
      <c r="P62" s="136"/>
      <c r="Q62" s="136"/>
      <c r="R62" s="136"/>
      <c r="S62" s="136"/>
      <c r="T62" s="136"/>
      <c r="V62" s="7"/>
    </row>
    <row r="63" spans="2:22" ht="18" customHeight="1">
      <c r="B63" s="195"/>
      <c r="C63" s="195"/>
      <c r="E63" s="7"/>
      <c r="F63" s="136"/>
      <c r="H63" s="140"/>
      <c r="I63" s="140"/>
      <c r="J63" s="140"/>
      <c r="K63" s="140"/>
      <c r="L63" s="136"/>
      <c r="M63" s="136"/>
      <c r="N63" s="136"/>
      <c r="O63" s="136"/>
      <c r="P63" s="136"/>
      <c r="Q63" s="136"/>
      <c r="R63" s="136"/>
      <c r="S63" s="136"/>
      <c r="T63" s="136"/>
      <c r="V63" s="7"/>
    </row>
    <row r="64" spans="2:22" ht="18" customHeight="1">
      <c r="B64" s="195"/>
      <c r="C64" s="195"/>
      <c r="E64" s="7"/>
      <c r="F64" s="136"/>
      <c r="H64" s="140"/>
      <c r="I64" s="140"/>
      <c r="J64" s="140"/>
      <c r="K64" s="140"/>
      <c r="L64" s="136"/>
      <c r="M64" s="136"/>
      <c r="N64" s="136"/>
      <c r="O64" s="136"/>
      <c r="P64" s="136"/>
      <c r="Q64" s="136"/>
      <c r="R64" s="136"/>
      <c r="S64" s="136"/>
      <c r="T64" s="136"/>
      <c r="V64" s="7"/>
    </row>
    <row r="65" spans="2:22" ht="18" customHeight="1">
      <c r="B65" s="355" t="str">
        <f>HYPERLINK("#LAYOUT_p!lay보PEDU1A00","PEDU1A00")</f>
        <v>PEDU1A00</v>
      </c>
      <c r="C65" s="355"/>
      <c r="E65" s="7"/>
      <c r="F65" s="136" t="s">
        <v>962</v>
      </c>
      <c r="H65" s="140"/>
      <c r="I65" s="140"/>
      <c r="J65" s="140"/>
      <c r="K65" s="140"/>
      <c r="L65" s="136"/>
      <c r="M65" s="136"/>
      <c r="N65" s="136"/>
      <c r="O65" s="136"/>
      <c r="P65" s="136"/>
      <c r="Q65" s="136"/>
      <c r="R65" s="136"/>
      <c r="S65" s="136"/>
      <c r="T65" s="136"/>
      <c r="V65" s="7"/>
    </row>
    <row r="66" spans="2:22" ht="18" customHeight="1">
      <c r="B66" s="195"/>
      <c r="C66" s="195"/>
      <c r="E66" s="7"/>
      <c r="F66" s="136"/>
      <c r="G66" s="136" t="s">
        <v>963</v>
      </c>
      <c r="H66" s="136" t="s">
        <v>964</v>
      </c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V66" s="7"/>
    </row>
    <row r="67" spans="2:22" ht="18" customHeight="1">
      <c r="B67" s="195"/>
      <c r="C67" s="195"/>
      <c r="E67" s="7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V67" s="7"/>
    </row>
    <row r="68" spans="2:22" ht="18" customHeight="1">
      <c r="B68" s="195"/>
      <c r="C68" s="195"/>
      <c r="E68" s="7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V68" s="7"/>
    </row>
    <row r="69" spans="2:22" ht="18" customHeight="1">
      <c r="B69" s="195"/>
      <c r="C69" s="195"/>
      <c r="E69" s="7"/>
      <c r="F69" s="136" t="s">
        <v>965</v>
      </c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V69" s="7"/>
    </row>
    <row r="70" spans="2:22" ht="18" customHeight="1" thickBot="1">
      <c r="B70" s="355" t="str">
        <f>HYPERLINK("#LAYOUT_p!lay보PEDU1B01","PEDU1B01")</f>
        <v>PEDU1B01</v>
      </c>
      <c r="C70" s="355"/>
      <c r="E70" s="7"/>
      <c r="F70" s="141" t="s">
        <v>966</v>
      </c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V70" s="7"/>
    </row>
    <row r="71" spans="2:22" ht="18" customHeight="1" thickTop="1">
      <c r="B71" s="355" t="str">
        <f>HYPERLINK("#LAYOUT_p!lay보PEDU1B02","PEDU1B02")</f>
        <v>PEDU1B02</v>
      </c>
      <c r="C71" s="355"/>
      <c r="E71" s="7"/>
      <c r="F71" s="136"/>
      <c r="G71" s="414" t="s">
        <v>967</v>
      </c>
      <c r="H71" s="414"/>
      <c r="I71" s="414"/>
      <c r="J71" s="414"/>
      <c r="K71" s="414"/>
      <c r="L71" s="414"/>
      <c r="M71" s="414"/>
      <c r="N71" s="136"/>
      <c r="O71" s="136"/>
      <c r="P71" s="136"/>
      <c r="Q71" s="136"/>
      <c r="R71" s="136"/>
      <c r="S71" s="136"/>
      <c r="T71" s="136"/>
      <c r="V71" s="7"/>
    </row>
    <row r="72" spans="2:22" ht="18" customHeight="1">
      <c r="B72" s="355" t="str">
        <f>HYPERLINK("#LAYOUT_p!lay보PEDU1B02_T","PEDU1B02_T")</f>
        <v>PEDU1B02_T</v>
      </c>
      <c r="C72" s="355"/>
      <c r="E72" s="7"/>
      <c r="F72" s="136"/>
      <c r="G72" s="438" t="s">
        <v>968</v>
      </c>
      <c r="H72" s="440" t="s">
        <v>969</v>
      </c>
      <c r="I72" s="364"/>
      <c r="J72" s="364"/>
      <c r="K72" s="364"/>
      <c r="L72" s="364"/>
      <c r="M72" s="364"/>
      <c r="N72" s="136"/>
      <c r="O72" s="136"/>
      <c r="P72" s="136"/>
      <c r="Q72" s="136"/>
      <c r="R72" s="136"/>
      <c r="S72" s="136"/>
      <c r="T72" s="136"/>
      <c r="V72" s="7"/>
    </row>
    <row r="73" spans="2:22" ht="18" customHeight="1">
      <c r="B73" s="195"/>
      <c r="C73" s="195"/>
      <c r="E73" s="7"/>
      <c r="F73" s="136"/>
      <c r="G73" s="439"/>
      <c r="H73" s="441" t="s">
        <v>970</v>
      </c>
      <c r="I73" s="370"/>
      <c r="J73" s="370"/>
      <c r="K73" s="370"/>
      <c r="L73" s="370"/>
      <c r="M73" s="370"/>
      <c r="N73" s="136"/>
      <c r="O73" s="136"/>
      <c r="P73" s="136"/>
      <c r="Q73" s="136"/>
      <c r="R73" s="136"/>
      <c r="S73" s="136"/>
      <c r="T73" s="136"/>
      <c r="V73" s="7"/>
    </row>
    <row r="74" spans="2:22" ht="18" customHeight="1">
      <c r="B74" s="195"/>
      <c r="C74" s="195"/>
      <c r="E74" s="7"/>
      <c r="F74" s="136"/>
      <c r="G74" s="439"/>
      <c r="H74" s="441" t="s">
        <v>971</v>
      </c>
      <c r="I74" s="370"/>
      <c r="J74" s="370"/>
      <c r="K74" s="370"/>
      <c r="L74" s="370"/>
      <c r="M74" s="370"/>
      <c r="N74" s="136"/>
      <c r="O74" s="136"/>
      <c r="P74" s="136"/>
      <c r="Q74" s="136"/>
      <c r="R74" s="136"/>
      <c r="S74" s="136"/>
      <c r="T74" s="136"/>
      <c r="V74" s="7"/>
    </row>
    <row r="75" spans="2:22" ht="18" customHeight="1">
      <c r="B75" s="195"/>
      <c r="C75" s="195"/>
      <c r="E75" s="7"/>
      <c r="F75" s="136"/>
      <c r="G75" s="439"/>
      <c r="H75" s="441" t="s">
        <v>972</v>
      </c>
      <c r="I75" s="370"/>
      <c r="J75" s="370"/>
      <c r="K75" s="370"/>
      <c r="L75" s="370"/>
      <c r="M75" s="370"/>
      <c r="N75" s="136"/>
      <c r="O75" s="136"/>
      <c r="P75" s="136"/>
      <c r="Q75" s="136"/>
      <c r="R75" s="136"/>
      <c r="S75" s="136"/>
      <c r="T75" s="136"/>
      <c r="V75" s="7"/>
    </row>
    <row r="76" spans="2:22" ht="18" customHeight="1">
      <c r="B76" s="195"/>
      <c r="C76" s="195"/>
      <c r="E76" s="7"/>
      <c r="F76" s="136"/>
      <c r="G76" s="439"/>
      <c r="H76" s="441" t="s">
        <v>973</v>
      </c>
      <c r="I76" s="370"/>
      <c r="J76" s="370"/>
      <c r="K76" s="370"/>
      <c r="L76" s="370"/>
      <c r="M76" s="370"/>
      <c r="N76" s="136"/>
      <c r="O76" s="136"/>
      <c r="P76" s="136"/>
      <c r="Q76" s="136"/>
      <c r="R76" s="136"/>
      <c r="S76" s="136"/>
      <c r="T76" s="136"/>
      <c r="V76" s="7"/>
    </row>
    <row r="77" spans="2:22" ht="18" customHeight="1">
      <c r="B77" s="195"/>
      <c r="C77" s="195"/>
      <c r="E77" s="7"/>
      <c r="F77" s="136"/>
      <c r="G77" s="439"/>
      <c r="H77" s="441" t="s">
        <v>974</v>
      </c>
      <c r="I77" s="370"/>
      <c r="J77" s="370"/>
      <c r="K77" s="370"/>
      <c r="L77" s="370"/>
      <c r="M77" s="370"/>
      <c r="N77" s="136"/>
      <c r="O77" s="136"/>
      <c r="P77" s="136"/>
      <c r="Q77" s="136"/>
      <c r="R77" s="136"/>
      <c r="S77" s="136"/>
      <c r="T77" s="136"/>
      <c r="V77" s="7"/>
    </row>
    <row r="78" spans="2:22" ht="18" customHeight="1">
      <c r="B78" s="195"/>
      <c r="C78" s="195"/>
      <c r="E78" s="7"/>
      <c r="F78" s="136"/>
      <c r="G78" s="439"/>
      <c r="H78" s="441" t="s">
        <v>975</v>
      </c>
      <c r="I78" s="370"/>
      <c r="J78" s="370"/>
      <c r="K78" s="370"/>
      <c r="L78" s="370"/>
      <c r="M78" s="370"/>
      <c r="N78" s="136"/>
      <c r="O78" s="136"/>
      <c r="P78" s="136"/>
      <c r="Q78" s="136"/>
      <c r="R78" s="136"/>
      <c r="S78" s="136"/>
      <c r="T78" s="136"/>
      <c r="V78" s="7"/>
    </row>
    <row r="79" spans="2:22" ht="18" customHeight="1">
      <c r="B79" s="195"/>
      <c r="C79" s="195"/>
      <c r="E79" s="7"/>
      <c r="F79" s="136"/>
      <c r="G79" s="428"/>
      <c r="H79" s="446" t="s">
        <v>976</v>
      </c>
      <c r="I79" s="366"/>
      <c r="J79" s="366"/>
      <c r="K79" s="366"/>
      <c r="L79" s="366"/>
      <c r="M79" s="366"/>
      <c r="N79" s="136"/>
      <c r="O79" s="136"/>
      <c r="P79" s="136"/>
      <c r="Q79" s="136"/>
      <c r="R79" s="136"/>
      <c r="S79" s="136"/>
      <c r="T79" s="136"/>
      <c r="V79" s="7"/>
    </row>
    <row r="80" spans="2:22" ht="18" customHeight="1">
      <c r="B80" s="195"/>
      <c r="C80" s="195"/>
      <c r="E80" s="7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V80" s="7"/>
    </row>
    <row r="81" spans="2:22" ht="18" customHeight="1">
      <c r="B81" s="195"/>
      <c r="C81" s="195"/>
      <c r="E81" s="7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V81" s="7"/>
    </row>
    <row r="82" spans="2:22" ht="18" customHeight="1">
      <c r="B82" s="355" t="str">
        <f>HYPERLINK("#LAYOUT_p!lay보PEDU1C00","PEDU1C00")</f>
        <v>PEDU1C00</v>
      </c>
      <c r="C82" s="355"/>
      <c r="E82" s="7"/>
      <c r="F82" s="141" t="s">
        <v>977</v>
      </c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V82" s="7"/>
    </row>
    <row r="83" spans="2:22" ht="18" customHeight="1">
      <c r="B83" s="195"/>
      <c r="C83" s="195"/>
      <c r="E83" s="7"/>
      <c r="F83" s="136"/>
      <c r="G83" s="136" t="s">
        <v>1635</v>
      </c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V83" s="7"/>
    </row>
    <row r="84" spans="2:22" ht="18" customHeight="1">
      <c r="B84" s="195"/>
      <c r="C84" s="195"/>
      <c r="E84" s="7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V84" s="7"/>
    </row>
    <row r="85" spans="2:22" ht="18" customHeight="1">
      <c r="B85" s="195"/>
      <c r="C85" s="195"/>
      <c r="E85" s="7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V85" s="7"/>
    </row>
    <row r="86" spans="2:22" ht="18" customHeight="1" thickBot="1">
      <c r="B86" s="355" t="str">
        <f>HYPERLINK("#LAYOUT_p!lay보PEDU1B03","PEDU1B03")</f>
        <v>PEDU1B03</v>
      </c>
      <c r="C86" s="355"/>
      <c r="E86" s="7"/>
      <c r="F86" s="141" t="s">
        <v>978</v>
      </c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V86" s="7"/>
    </row>
    <row r="87" spans="2:22" ht="18" customHeight="1" thickTop="1">
      <c r="B87" s="355" t="str">
        <f>HYPERLINK("#LAYOUT_p!lay보PEDU1B04","PEDU1B04")</f>
        <v>PEDU1B04</v>
      </c>
      <c r="C87" s="355"/>
      <c r="E87" s="7"/>
      <c r="F87" s="136"/>
      <c r="G87" s="414" t="s">
        <v>967</v>
      </c>
      <c r="H87" s="414"/>
      <c r="I87" s="414"/>
      <c r="J87" s="414"/>
      <c r="K87" s="414"/>
      <c r="L87" s="414"/>
      <c r="M87" s="414"/>
      <c r="N87" s="136"/>
      <c r="O87" s="136"/>
      <c r="P87" s="136"/>
      <c r="Q87" s="136"/>
      <c r="R87" s="136"/>
      <c r="S87" s="136"/>
      <c r="T87" s="136"/>
      <c r="V87" s="7"/>
    </row>
    <row r="88" spans="2:22" ht="18" customHeight="1">
      <c r="B88" s="355" t="str">
        <f>HYPERLINK("#LAYOUT_p!lay보PEDU1B04_T","PEDU1B04_T")</f>
        <v>PEDU1B04_T</v>
      </c>
      <c r="C88" s="355"/>
      <c r="E88" s="7"/>
      <c r="F88" s="136"/>
      <c r="G88" s="438" t="s">
        <v>968</v>
      </c>
      <c r="H88" s="440" t="s">
        <v>979</v>
      </c>
      <c r="I88" s="364"/>
      <c r="J88" s="364"/>
      <c r="K88" s="364"/>
      <c r="L88" s="364"/>
      <c r="M88" s="364"/>
      <c r="N88" s="136"/>
      <c r="O88" s="136"/>
      <c r="P88" s="136"/>
      <c r="Q88" s="136"/>
      <c r="R88" s="136"/>
      <c r="S88" s="136"/>
      <c r="T88" s="136"/>
      <c r="V88" s="7"/>
    </row>
    <row r="89" spans="2:22" ht="18" customHeight="1">
      <c r="B89" s="195"/>
      <c r="C89" s="195"/>
      <c r="E89" s="7"/>
      <c r="F89" s="136"/>
      <c r="G89" s="439"/>
      <c r="H89" s="441" t="s">
        <v>980</v>
      </c>
      <c r="I89" s="370"/>
      <c r="J89" s="370"/>
      <c r="K89" s="370"/>
      <c r="L89" s="370"/>
      <c r="M89" s="370"/>
      <c r="N89" s="136"/>
      <c r="O89" s="136"/>
      <c r="P89" s="136"/>
      <c r="Q89" s="136"/>
      <c r="R89" s="136"/>
      <c r="S89" s="136"/>
      <c r="T89" s="136"/>
      <c r="V89" s="7"/>
    </row>
    <row r="90" spans="2:22" ht="18" customHeight="1">
      <c r="B90" s="195"/>
      <c r="C90" s="195"/>
      <c r="E90" s="7"/>
      <c r="F90" s="136"/>
      <c r="G90" s="439"/>
      <c r="H90" s="441" t="s">
        <v>981</v>
      </c>
      <c r="I90" s="370"/>
      <c r="J90" s="370"/>
      <c r="K90" s="370"/>
      <c r="L90" s="370"/>
      <c r="M90" s="370"/>
      <c r="N90" s="136"/>
      <c r="O90" s="136"/>
      <c r="P90" s="136"/>
      <c r="Q90" s="136"/>
      <c r="R90" s="136"/>
      <c r="S90" s="136"/>
      <c r="T90" s="136"/>
      <c r="V90" s="7"/>
    </row>
    <row r="91" spans="2:22" ht="18" customHeight="1">
      <c r="B91" s="195"/>
      <c r="C91" s="195"/>
      <c r="E91" s="7"/>
      <c r="F91" s="136"/>
      <c r="G91" s="439"/>
      <c r="H91" s="441" t="s">
        <v>982</v>
      </c>
      <c r="I91" s="370"/>
      <c r="J91" s="370"/>
      <c r="K91" s="370"/>
      <c r="L91" s="370"/>
      <c r="M91" s="370"/>
      <c r="N91" s="136"/>
      <c r="O91" s="136"/>
      <c r="P91" s="136"/>
      <c r="Q91" s="136"/>
      <c r="R91" s="136"/>
      <c r="S91" s="136"/>
      <c r="T91" s="136"/>
      <c r="V91" s="7"/>
    </row>
    <row r="92" spans="2:22" ht="18" customHeight="1">
      <c r="B92" s="195"/>
      <c r="C92" s="195"/>
      <c r="E92" s="7"/>
      <c r="F92" s="136"/>
      <c r="G92" s="439"/>
      <c r="H92" s="441" t="s">
        <v>983</v>
      </c>
      <c r="I92" s="370"/>
      <c r="J92" s="370"/>
      <c r="K92" s="370"/>
      <c r="L92" s="370"/>
      <c r="M92" s="370"/>
      <c r="N92" s="136"/>
      <c r="O92" s="136"/>
      <c r="P92" s="136"/>
      <c r="Q92" s="136"/>
      <c r="R92" s="136"/>
      <c r="S92" s="136"/>
      <c r="T92" s="136"/>
      <c r="V92" s="7"/>
    </row>
    <row r="93" spans="2:22" ht="18" customHeight="1">
      <c r="B93" s="195"/>
      <c r="C93" s="195"/>
      <c r="E93" s="7"/>
      <c r="F93" s="136"/>
      <c r="G93" s="439"/>
      <c r="H93" s="441" t="s">
        <v>984</v>
      </c>
      <c r="I93" s="370"/>
      <c r="J93" s="370"/>
      <c r="K93" s="370"/>
      <c r="L93" s="370"/>
      <c r="M93" s="370"/>
      <c r="N93" s="136"/>
      <c r="O93" s="136"/>
      <c r="P93" s="136"/>
      <c r="Q93" s="136"/>
      <c r="R93" s="136"/>
      <c r="S93" s="136"/>
      <c r="T93" s="136"/>
      <c r="V93" s="7"/>
    </row>
    <row r="94" spans="2:22" ht="18" customHeight="1">
      <c r="B94" s="195"/>
      <c r="C94" s="195"/>
      <c r="E94" s="7"/>
      <c r="F94" s="136"/>
      <c r="G94" s="439"/>
      <c r="H94" s="441" t="s">
        <v>985</v>
      </c>
      <c r="I94" s="370"/>
      <c r="J94" s="370"/>
      <c r="K94" s="370"/>
      <c r="L94" s="370"/>
      <c r="M94" s="370"/>
      <c r="N94" s="136"/>
      <c r="O94" s="136"/>
      <c r="P94" s="136"/>
      <c r="Q94" s="136"/>
      <c r="R94" s="136"/>
      <c r="S94" s="136"/>
      <c r="T94" s="136"/>
      <c r="V94" s="7"/>
    </row>
    <row r="95" spans="2:22" ht="18" customHeight="1">
      <c r="B95" s="195"/>
      <c r="C95" s="195"/>
      <c r="E95" s="7"/>
      <c r="F95" s="136"/>
      <c r="G95" s="428"/>
      <c r="H95" s="446" t="s">
        <v>976</v>
      </c>
      <c r="I95" s="366"/>
      <c r="J95" s="366"/>
      <c r="K95" s="366"/>
      <c r="L95" s="366"/>
      <c r="M95" s="366"/>
      <c r="N95" s="136"/>
      <c r="O95" s="136"/>
      <c r="P95" s="136"/>
      <c r="Q95" s="136"/>
      <c r="R95" s="136"/>
      <c r="S95" s="136"/>
      <c r="T95" s="136"/>
      <c r="V95" s="7"/>
    </row>
    <row r="96" spans="2:22" ht="18" customHeight="1">
      <c r="B96" s="195"/>
      <c r="C96" s="195"/>
      <c r="E96" s="7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V96" s="7"/>
    </row>
    <row r="97" spans="2:22" ht="18" customHeight="1">
      <c r="B97" s="195"/>
      <c r="C97" s="195"/>
      <c r="E97" s="7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V97" s="7"/>
    </row>
    <row r="98" spans="2:22" ht="18" customHeight="1">
      <c r="B98" s="195"/>
      <c r="C98" s="195"/>
      <c r="E98" s="7"/>
      <c r="F98" s="136" t="s">
        <v>986</v>
      </c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V98" s="7"/>
    </row>
    <row r="99" spans="2:22" ht="18" customHeight="1" thickBot="1">
      <c r="B99" s="195"/>
      <c r="C99" s="195"/>
      <c r="E99" s="7"/>
      <c r="F99" s="136"/>
      <c r="G99" s="136" t="s">
        <v>987</v>
      </c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V99" s="7"/>
    </row>
    <row r="100" spans="2:22" ht="30.75" customHeight="1" thickTop="1" thickBot="1">
      <c r="B100" s="195"/>
      <c r="C100" s="195"/>
      <c r="E100" s="7"/>
      <c r="F100" s="136"/>
      <c r="G100" s="390" t="s">
        <v>988</v>
      </c>
      <c r="H100" s="390"/>
      <c r="I100" s="390"/>
      <c r="J100" s="390"/>
      <c r="K100" s="390"/>
      <c r="L100" s="390"/>
      <c r="M100" s="390"/>
      <c r="N100" s="136"/>
      <c r="O100" s="136"/>
      <c r="P100" s="136"/>
      <c r="Q100" s="136"/>
      <c r="R100" s="136"/>
      <c r="S100" s="136"/>
      <c r="T100" s="136"/>
      <c r="V100" s="7"/>
    </row>
    <row r="101" spans="2:22" ht="30.75" customHeight="1" thickTop="1">
      <c r="B101" s="195" t="str">
        <f>HYPERLINK("#LAYOUT_p!lay보PFAM2A01","PFAM2A01")</f>
        <v>PFAM2A01</v>
      </c>
      <c r="C101" s="195" t="str">
        <f>HYPERLINK("#LAYOUT_p!lay보PFAM2A01_T","PFAM2A01_T")</f>
        <v>PFAM2A01_T</v>
      </c>
      <c r="E101" s="7"/>
      <c r="F101" s="136"/>
      <c r="G101" s="142" t="s">
        <v>7</v>
      </c>
      <c r="H101" s="444" t="s">
        <v>989</v>
      </c>
      <c r="I101" s="444"/>
      <c r="J101" s="444"/>
      <c r="K101" s="444"/>
      <c r="L101" s="444"/>
      <c r="M101" s="142"/>
      <c r="N101" s="136"/>
      <c r="O101" s="136"/>
      <c r="P101" s="136"/>
      <c r="Q101" s="136"/>
      <c r="R101" s="136"/>
      <c r="S101" s="136"/>
      <c r="T101" s="136"/>
      <c r="V101" s="7"/>
    </row>
    <row r="102" spans="2:22" ht="18" customHeight="1">
      <c r="B102" s="195" t="str">
        <f>HYPERLINK("#LAYOUT_p!lay보PFAM2A02","PFAM2A02")</f>
        <v>PFAM2A02</v>
      </c>
      <c r="C102" s="195" t="str">
        <f>HYPERLINK("#LAYOUT_p!lay보PFAM2A02_T","PFAM2A02_T")</f>
        <v>PFAM2A02_T</v>
      </c>
      <c r="E102" s="7"/>
      <c r="F102" s="136"/>
      <c r="G102" s="143" t="s">
        <v>8</v>
      </c>
      <c r="H102" s="445" t="s">
        <v>513</v>
      </c>
      <c r="I102" s="445"/>
      <c r="J102" s="445"/>
      <c r="K102" s="445"/>
      <c r="L102" s="445"/>
      <c r="M102" s="143"/>
      <c r="N102" s="136"/>
      <c r="O102" s="136"/>
      <c r="P102" s="136"/>
      <c r="Q102" s="136"/>
      <c r="R102" s="136"/>
      <c r="S102" s="136"/>
      <c r="T102" s="136"/>
      <c r="V102" s="7"/>
    </row>
    <row r="103" spans="2:22" ht="18" customHeight="1">
      <c r="B103" s="195" t="str">
        <f>HYPERLINK("#LAYOUT_p!lay보PFAM2A03","PFAM2A03")</f>
        <v>PFAM2A03</v>
      </c>
      <c r="C103" s="195" t="str">
        <f>HYPERLINK("#LAYOUT_p!lay보PFAM2A03_T","PFAM2A03_T")</f>
        <v>PFAM2A03_T</v>
      </c>
      <c r="E103" s="7"/>
      <c r="F103" s="136"/>
      <c r="G103" s="144" t="s">
        <v>9</v>
      </c>
      <c r="H103" s="445" t="s">
        <v>514</v>
      </c>
      <c r="I103" s="445"/>
      <c r="J103" s="445"/>
      <c r="K103" s="445"/>
      <c r="L103" s="445"/>
      <c r="M103" s="145"/>
      <c r="N103" s="136"/>
      <c r="O103" s="136"/>
      <c r="P103" s="136"/>
      <c r="Q103" s="136"/>
      <c r="R103" s="136"/>
      <c r="S103" s="136"/>
      <c r="T103" s="136"/>
      <c r="V103" s="7"/>
    </row>
    <row r="104" spans="2:22" ht="18" customHeight="1">
      <c r="B104" s="195" t="str">
        <f>HYPERLINK("#LAYOUT_p!lay보PFAM2A04","PFAM2A04")</f>
        <v>PFAM2A04</v>
      </c>
      <c r="C104" s="195" t="str">
        <f>HYPERLINK("#LAYOUT_p!lay보PFAM2A04_T","PFAM2A04_T")</f>
        <v>PFAM2A04_T</v>
      </c>
      <c r="E104" s="7"/>
      <c r="F104" s="136"/>
      <c r="G104" s="145" t="s">
        <v>10</v>
      </c>
      <c r="H104" s="445" t="s">
        <v>515</v>
      </c>
      <c r="I104" s="445"/>
      <c r="J104" s="445"/>
      <c r="K104" s="445"/>
      <c r="L104" s="445"/>
      <c r="M104" s="57"/>
      <c r="N104" s="136"/>
      <c r="O104" s="136"/>
      <c r="P104" s="136"/>
      <c r="Q104" s="136"/>
      <c r="R104" s="136"/>
      <c r="S104" s="136"/>
      <c r="T104" s="136"/>
      <c r="V104" s="7"/>
    </row>
    <row r="105" spans="2:22" ht="18" customHeight="1" thickBot="1">
      <c r="B105" s="195"/>
      <c r="C105" s="195"/>
      <c r="E105" s="7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V105" s="7"/>
    </row>
    <row r="106" spans="2:22" ht="18" customHeight="1" thickTop="1">
      <c r="B106" s="195"/>
      <c r="C106" s="195"/>
      <c r="E106" s="7"/>
      <c r="F106" s="136"/>
      <c r="G106" s="442" t="s">
        <v>990</v>
      </c>
      <c r="H106" s="442"/>
      <c r="I106" s="442"/>
      <c r="J106" s="442"/>
      <c r="K106" s="442"/>
      <c r="L106" s="442"/>
      <c r="M106" s="442"/>
      <c r="N106" s="136"/>
      <c r="O106" s="136"/>
      <c r="P106" s="136"/>
      <c r="Q106" s="136"/>
      <c r="R106" s="136"/>
      <c r="S106" s="136"/>
      <c r="T106" s="136"/>
      <c r="V106" s="7"/>
    </row>
    <row r="107" spans="2:22" ht="18" customHeight="1">
      <c r="B107" s="195"/>
      <c r="C107" s="195"/>
      <c r="E107" s="7"/>
      <c r="F107" s="136"/>
      <c r="G107" s="315" t="s">
        <v>968</v>
      </c>
      <c r="H107" s="443" t="s">
        <v>991</v>
      </c>
      <c r="I107" s="443"/>
      <c r="J107" s="443"/>
      <c r="K107" s="443"/>
      <c r="L107" s="443"/>
      <c r="M107" s="443"/>
      <c r="N107" s="136"/>
      <c r="O107" s="136"/>
      <c r="P107" s="136"/>
      <c r="Q107" s="136"/>
      <c r="R107" s="136"/>
      <c r="S107" s="136"/>
      <c r="T107" s="136"/>
      <c r="V107" s="7"/>
    </row>
    <row r="108" spans="2:22" ht="18" customHeight="1">
      <c r="B108" s="195"/>
      <c r="C108" s="195"/>
      <c r="E108" s="7"/>
      <c r="F108" s="136"/>
      <c r="G108" s="316"/>
      <c r="H108" s="436" t="s">
        <v>992</v>
      </c>
      <c r="I108" s="436"/>
      <c r="J108" s="436"/>
      <c r="K108" s="436"/>
      <c r="L108" s="436"/>
      <c r="M108" s="436"/>
      <c r="N108" s="136"/>
      <c r="O108" s="136"/>
      <c r="P108" s="136"/>
      <c r="Q108" s="136"/>
      <c r="R108" s="136"/>
      <c r="S108" s="136"/>
      <c r="T108" s="136"/>
      <c r="V108" s="7"/>
    </row>
    <row r="109" spans="2:22" ht="18" customHeight="1">
      <c r="B109" s="195"/>
      <c r="C109" s="195"/>
      <c r="E109" s="7"/>
      <c r="F109" s="136"/>
      <c r="G109" s="316"/>
      <c r="H109" s="436" t="s">
        <v>993</v>
      </c>
      <c r="I109" s="436"/>
      <c r="J109" s="436"/>
      <c r="K109" s="436"/>
      <c r="L109" s="436"/>
      <c r="M109" s="436"/>
      <c r="N109" s="136"/>
      <c r="O109" s="136"/>
      <c r="P109" s="136"/>
      <c r="Q109" s="136"/>
      <c r="R109" s="136"/>
      <c r="S109" s="136"/>
      <c r="T109" s="136"/>
      <c r="V109" s="7"/>
    </row>
    <row r="110" spans="2:22" ht="18" customHeight="1">
      <c r="B110" s="195"/>
      <c r="C110" s="195"/>
      <c r="E110" s="7"/>
      <c r="F110" s="136"/>
      <c r="G110" s="316"/>
      <c r="H110" s="436" t="s">
        <v>994</v>
      </c>
      <c r="I110" s="436"/>
      <c r="J110" s="436"/>
      <c r="K110" s="436"/>
      <c r="L110" s="436"/>
      <c r="M110" s="436"/>
      <c r="N110" s="136"/>
      <c r="O110" s="136"/>
      <c r="P110" s="136"/>
      <c r="Q110" s="136"/>
      <c r="R110" s="136"/>
      <c r="S110" s="136"/>
      <c r="T110" s="136"/>
      <c r="V110" s="7"/>
    </row>
    <row r="111" spans="2:22" ht="18" customHeight="1">
      <c r="B111" s="195"/>
      <c r="C111" s="195"/>
      <c r="E111" s="7"/>
      <c r="F111" s="136"/>
      <c r="G111" s="316"/>
      <c r="H111" s="436" t="s">
        <v>995</v>
      </c>
      <c r="I111" s="436"/>
      <c r="J111" s="436"/>
      <c r="K111" s="436"/>
      <c r="L111" s="436"/>
      <c r="M111" s="436"/>
      <c r="N111" s="136"/>
      <c r="O111" s="136"/>
      <c r="P111" s="136"/>
      <c r="Q111" s="136"/>
      <c r="R111" s="136"/>
      <c r="S111" s="136"/>
      <c r="T111" s="136"/>
      <c r="V111" s="7"/>
    </row>
    <row r="112" spans="2:22" ht="18" customHeight="1">
      <c r="B112" s="195"/>
      <c r="C112" s="195"/>
      <c r="E112" s="7"/>
      <c r="F112" s="136"/>
      <c r="G112" s="316"/>
      <c r="H112" s="436" t="s">
        <v>996</v>
      </c>
      <c r="I112" s="436"/>
      <c r="J112" s="436"/>
      <c r="K112" s="436"/>
      <c r="L112" s="436"/>
      <c r="M112" s="436"/>
      <c r="N112" s="136"/>
      <c r="O112" s="136"/>
      <c r="P112" s="136"/>
      <c r="Q112" s="136"/>
      <c r="R112" s="136"/>
      <c r="S112" s="136"/>
      <c r="T112" s="136"/>
      <c r="V112" s="7"/>
    </row>
    <row r="113" spans="2:22" ht="18" customHeight="1">
      <c r="B113" s="195"/>
      <c r="C113" s="195"/>
      <c r="E113" s="7"/>
      <c r="F113" s="136"/>
      <c r="G113" s="317"/>
      <c r="H113" s="437" t="s">
        <v>997</v>
      </c>
      <c r="I113" s="437"/>
      <c r="J113" s="437"/>
      <c r="K113" s="437"/>
      <c r="L113" s="437"/>
      <c r="M113" s="437"/>
      <c r="N113" s="136"/>
      <c r="O113" s="136"/>
      <c r="P113" s="136"/>
      <c r="Q113" s="136"/>
      <c r="R113" s="136"/>
      <c r="S113" s="136"/>
      <c r="T113" s="136"/>
      <c r="V113" s="7"/>
    </row>
    <row r="114" spans="2:22" ht="18" customHeight="1">
      <c r="B114" s="195"/>
      <c r="C114" s="195"/>
      <c r="E114" s="7"/>
      <c r="F114" s="136"/>
      <c r="G114" s="11"/>
      <c r="H114" s="153"/>
      <c r="I114" s="153"/>
      <c r="J114" s="153"/>
      <c r="K114" s="153"/>
      <c r="L114" s="153"/>
      <c r="M114" s="153"/>
      <c r="N114" s="136"/>
      <c r="O114" s="136"/>
      <c r="P114" s="136"/>
      <c r="Q114" s="136"/>
      <c r="R114" s="136"/>
      <c r="S114" s="136"/>
      <c r="T114" s="136"/>
      <c r="V114" s="7"/>
    </row>
    <row r="115" spans="2:22" ht="18" customHeight="1">
      <c r="B115" s="195"/>
      <c r="C115" s="195"/>
      <c r="E115" s="7"/>
      <c r="F115" s="136"/>
      <c r="G115" s="11"/>
      <c r="H115" s="153"/>
      <c r="I115" s="153"/>
      <c r="J115" s="153"/>
      <c r="K115" s="153"/>
      <c r="L115" s="153"/>
      <c r="M115" s="153"/>
      <c r="N115" s="136"/>
      <c r="O115" s="136"/>
      <c r="P115" s="136"/>
      <c r="Q115" s="136"/>
      <c r="R115" s="136"/>
      <c r="S115" s="136"/>
      <c r="T115" s="136"/>
      <c r="V115" s="7"/>
    </row>
    <row r="116" spans="2:22" ht="18" customHeight="1">
      <c r="B116" s="355" t="str">
        <f>HYPERLINK("#LAYOUT_p!lay보PFAM6A00","PFAM6A00")</f>
        <v>PFAM6A00</v>
      </c>
      <c r="C116" s="355"/>
      <c r="E116" s="7"/>
      <c r="F116" s="6" t="s">
        <v>1554</v>
      </c>
      <c r="G116" s="77"/>
      <c r="H116" s="153"/>
      <c r="I116" s="153"/>
      <c r="J116" s="153"/>
      <c r="K116" s="153"/>
      <c r="L116" s="153"/>
      <c r="M116" s="153"/>
      <c r="N116" s="136"/>
      <c r="O116" s="136"/>
      <c r="P116" s="136"/>
      <c r="Q116" s="136"/>
      <c r="R116" s="136"/>
      <c r="S116" s="136"/>
      <c r="T116" s="136"/>
      <c r="V116" s="7"/>
    </row>
    <row r="117" spans="2:22" ht="18" customHeight="1">
      <c r="B117" s="195"/>
      <c r="C117" s="195"/>
      <c r="E117" s="7"/>
      <c r="G117" s="6" t="s">
        <v>1665</v>
      </c>
      <c r="H117" s="153"/>
      <c r="I117" s="153"/>
      <c r="J117" s="153"/>
      <c r="K117" s="153"/>
      <c r="L117" s="153"/>
      <c r="M117" s="153"/>
      <c r="N117" s="136"/>
      <c r="O117" s="136"/>
      <c r="P117" s="136"/>
      <c r="Q117" s="136"/>
      <c r="R117" s="136"/>
      <c r="S117" s="136"/>
      <c r="T117" s="136"/>
      <c r="V117" s="7"/>
    </row>
    <row r="118" spans="2:22" ht="18" customHeight="1">
      <c r="B118" s="195"/>
      <c r="C118" s="195"/>
      <c r="E118" s="7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V118" s="7"/>
    </row>
    <row r="119" spans="2:22" ht="18" customHeight="1">
      <c r="B119" s="195"/>
      <c r="C119" s="195"/>
      <c r="E119" s="7"/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V119" s="7"/>
    </row>
    <row r="120" spans="2:22" ht="18" customHeight="1">
      <c r="B120" s="355" t="str">
        <f>HYPERLINK("#LAYOUT_p!lay보PFAM6B00","PFAM6B00")</f>
        <v>PFAM6B00</v>
      </c>
      <c r="C120" s="355"/>
      <c r="E120" s="7"/>
      <c r="F120" s="136" t="s">
        <v>1555</v>
      </c>
      <c r="G120" s="77"/>
      <c r="H120" s="77"/>
      <c r="I120" s="77"/>
      <c r="J120" s="77"/>
      <c r="M120" s="136"/>
      <c r="N120" s="136"/>
      <c r="O120" s="136"/>
      <c r="P120" s="136"/>
      <c r="Q120" s="136"/>
      <c r="R120" s="136"/>
      <c r="S120" s="136"/>
      <c r="T120" s="136"/>
      <c r="V120" s="7"/>
    </row>
    <row r="121" spans="2:22" ht="18" customHeight="1" thickBot="1">
      <c r="B121" s="195"/>
      <c r="C121" s="195"/>
      <c r="E121" s="7"/>
      <c r="G121" s="136" t="s">
        <v>1556</v>
      </c>
      <c r="H121" s="77"/>
      <c r="I121" s="77"/>
      <c r="J121" s="77"/>
      <c r="M121" s="136"/>
      <c r="N121" s="136"/>
      <c r="O121" s="136"/>
      <c r="P121" s="136"/>
      <c r="Q121" s="136"/>
      <c r="R121" s="136"/>
      <c r="S121" s="136"/>
      <c r="T121" s="136"/>
      <c r="V121" s="7"/>
    </row>
    <row r="122" spans="2:22" ht="18" customHeight="1" thickTop="1" thickBot="1">
      <c r="B122" s="195"/>
      <c r="C122" s="195"/>
      <c r="E122" s="7"/>
      <c r="G122" s="152"/>
      <c r="H122" s="401" t="s">
        <v>1560</v>
      </c>
      <c r="I122" s="402"/>
      <c r="J122" s="401" t="s">
        <v>1561</v>
      </c>
      <c r="K122" s="402"/>
      <c r="L122" s="10"/>
      <c r="M122" s="136"/>
      <c r="N122" s="136"/>
      <c r="O122" s="136"/>
      <c r="P122" s="136"/>
      <c r="Q122" s="136"/>
      <c r="R122" s="136"/>
      <c r="S122" s="136"/>
      <c r="T122" s="136"/>
      <c r="V122" s="7"/>
    </row>
    <row r="123" spans="2:22" ht="18" customHeight="1" thickTop="1">
      <c r="B123" s="195" t="str">
        <f>HYPERLINK("#LAYOUT_p!lay보PFAM5A01","PFAM5A01")</f>
        <v>PFAM5A01</v>
      </c>
      <c r="C123" s="195" t="str">
        <f>HYPERLINK("#LAYOUT_p!lay보PFAM5A03","PFAM5A03")</f>
        <v>PFAM5A03</v>
      </c>
      <c r="E123" s="7"/>
      <c r="G123" s="447" t="s">
        <v>1557</v>
      </c>
      <c r="H123" s="452" t="s">
        <v>1666</v>
      </c>
      <c r="I123" s="447"/>
      <c r="J123" s="452" t="s">
        <v>1667</v>
      </c>
      <c r="K123" s="447"/>
      <c r="L123" s="452" t="s">
        <v>1562</v>
      </c>
      <c r="M123" s="136"/>
      <c r="N123" s="136"/>
      <c r="O123" s="136"/>
      <c r="P123" s="136"/>
      <c r="Q123" s="136"/>
      <c r="R123" s="136"/>
      <c r="S123" s="136"/>
      <c r="T123" s="136"/>
      <c r="V123" s="7"/>
    </row>
    <row r="124" spans="2:22" ht="18" customHeight="1">
      <c r="B124" s="195" t="str">
        <f>HYPERLINK("#LAYOUT_p!lay보PFAM5A02","PFAM5A02")</f>
        <v>PFAM5A02</v>
      </c>
      <c r="C124" s="195" t="str">
        <f>HYPERLINK("#LAYOUT_p!lay보PFAM5A04","PFAM5A04")</f>
        <v>PFAM5A04</v>
      </c>
      <c r="E124" s="7"/>
      <c r="G124" s="439"/>
      <c r="H124" s="453" t="s">
        <v>1668</v>
      </c>
      <c r="I124" s="439"/>
      <c r="J124" s="453" t="s">
        <v>1668</v>
      </c>
      <c r="K124" s="439"/>
      <c r="L124" s="453"/>
      <c r="M124" s="136"/>
      <c r="N124" s="136"/>
      <c r="O124" s="136"/>
      <c r="P124" s="136"/>
      <c r="Q124" s="136"/>
      <c r="R124" s="136"/>
      <c r="S124" s="136"/>
      <c r="T124" s="136"/>
      <c r="V124" s="7"/>
    </row>
    <row r="125" spans="2:22" ht="18" customHeight="1">
      <c r="B125" s="195" t="str">
        <f>HYPERLINK("#LAYOUT_p!lay보PFAM5B01","PFAM5B01")</f>
        <v>PFAM5B01</v>
      </c>
      <c r="C125" s="195" t="str">
        <f>HYPERLINK("#LAYOUT_p!lay보PFAM5B03","PFAM5B03")</f>
        <v>PFAM5B03</v>
      </c>
      <c r="E125" s="7"/>
      <c r="G125" s="450" t="s">
        <v>1558</v>
      </c>
      <c r="H125" s="451" t="s">
        <v>1647</v>
      </c>
      <c r="I125" s="450"/>
      <c r="J125" s="451" t="s">
        <v>1647</v>
      </c>
      <c r="K125" s="450"/>
      <c r="L125" s="451" t="s">
        <v>1563</v>
      </c>
      <c r="M125" s="136"/>
      <c r="N125" s="136"/>
      <c r="O125" s="136"/>
      <c r="P125" s="136"/>
      <c r="Q125" s="136"/>
      <c r="R125" s="136"/>
      <c r="S125" s="136"/>
      <c r="T125" s="136"/>
      <c r="V125" s="7"/>
    </row>
    <row r="126" spans="2:22" ht="18" customHeight="1">
      <c r="B126" s="195" t="str">
        <f>HYPERLINK("#LAYOUT_p!lay보PFAM5B02","PFAM5B02")</f>
        <v>PFAM5B02</v>
      </c>
      <c r="C126" s="195" t="str">
        <f>HYPERLINK("#LAYOUT_p!lay보PFAM5B04","PFAM5B04")</f>
        <v>PFAM5B04</v>
      </c>
      <c r="E126" s="7"/>
      <c r="G126" s="448"/>
      <c r="H126" s="449" t="s">
        <v>1669</v>
      </c>
      <c r="I126" s="448"/>
      <c r="J126" s="449" t="s">
        <v>1669</v>
      </c>
      <c r="K126" s="448"/>
      <c r="L126" s="449"/>
      <c r="M126" s="136"/>
      <c r="N126" s="136"/>
      <c r="O126" s="136"/>
      <c r="P126" s="136"/>
      <c r="Q126" s="136"/>
      <c r="R126" s="136"/>
      <c r="S126" s="136"/>
      <c r="T126" s="136"/>
      <c r="V126" s="7"/>
    </row>
    <row r="127" spans="2:22" ht="18" customHeight="1">
      <c r="B127" s="195" t="str">
        <f>HYPERLINK("#LAYOUT_p!lay보PFAM5C01","PFAM5C01")</f>
        <v>PFAM5C01</v>
      </c>
      <c r="C127" s="195" t="str">
        <f>HYPERLINK("#LAYOUT_p!lay보PFAM5C03","PFAM5C03")</f>
        <v>PFAM5C03</v>
      </c>
      <c r="E127" s="7"/>
      <c r="G127" s="450" t="s">
        <v>1559</v>
      </c>
      <c r="H127" s="451" t="s">
        <v>1647</v>
      </c>
      <c r="I127" s="450"/>
      <c r="J127" s="451" t="s">
        <v>1670</v>
      </c>
      <c r="K127" s="450"/>
      <c r="L127" s="451" t="s">
        <v>1563</v>
      </c>
      <c r="M127" s="136"/>
      <c r="N127" s="136"/>
      <c r="O127" s="136"/>
      <c r="P127" s="136"/>
      <c r="Q127" s="136"/>
      <c r="R127" s="136"/>
      <c r="S127" s="136"/>
      <c r="T127" s="136"/>
      <c r="V127" s="7"/>
    </row>
    <row r="128" spans="2:22" ht="18" customHeight="1">
      <c r="B128" s="195" t="str">
        <f>HYPERLINK("#LAYOUT_p!lay보PFAM5C02","PFAM5C02")</f>
        <v>PFAM5C02</v>
      </c>
      <c r="C128" s="195" t="str">
        <f>HYPERLINK("#LAYOUT_p!lay보PFAM5C04","PFAM5C04")</f>
        <v>PFAM5C04</v>
      </c>
      <c r="E128" s="7"/>
      <c r="G128" s="448"/>
      <c r="H128" s="449" t="s">
        <v>1648</v>
      </c>
      <c r="I128" s="448"/>
      <c r="J128" s="449" t="s">
        <v>1648</v>
      </c>
      <c r="K128" s="448"/>
      <c r="L128" s="449"/>
      <c r="M128" s="136"/>
      <c r="N128" s="136"/>
      <c r="O128" s="136"/>
      <c r="P128" s="136"/>
      <c r="Q128" s="136"/>
      <c r="R128" s="136"/>
      <c r="S128" s="136"/>
      <c r="T128" s="136"/>
      <c r="V128" s="7"/>
    </row>
    <row r="129" spans="2:22" ht="18" customHeight="1">
      <c r="B129" s="195" t="str">
        <f>HYPERLINK("#LAYOUT_p!lay보PFAM5D01","PFAM5D01")</f>
        <v>PFAM5D01</v>
      </c>
      <c r="C129" s="195" t="str">
        <f>HYPERLINK("#LAYOUT_p!lay보PFAM5D03","PFAM5D03")</f>
        <v>PFAM5D03</v>
      </c>
      <c r="E129" s="7"/>
      <c r="G129" s="450" t="s">
        <v>1673</v>
      </c>
      <c r="H129" s="451" t="s">
        <v>1647</v>
      </c>
      <c r="I129" s="450"/>
      <c r="J129" s="451" t="s">
        <v>1647</v>
      </c>
      <c r="K129" s="450"/>
      <c r="L129" s="451" t="s">
        <v>1563</v>
      </c>
      <c r="M129" s="136"/>
      <c r="N129" s="136"/>
      <c r="O129" s="136"/>
      <c r="P129" s="136"/>
      <c r="Q129" s="136"/>
      <c r="R129" s="136"/>
      <c r="S129" s="136"/>
      <c r="T129" s="136"/>
      <c r="V129" s="7"/>
    </row>
    <row r="130" spans="2:22" ht="18" customHeight="1">
      <c r="B130" s="195" t="str">
        <f>HYPERLINK("#LAYOUT_p!lay보PFAM5D02","PFAM5D02")</f>
        <v>PFAM5D02</v>
      </c>
      <c r="C130" s="195" t="str">
        <f>HYPERLINK("#LAYOUT_p!lay보PFAM5D04","PFAM5D04")</f>
        <v>PFAM5D04</v>
      </c>
      <c r="E130" s="7"/>
      <c r="G130" s="448"/>
      <c r="H130" s="449" t="s">
        <v>1669</v>
      </c>
      <c r="I130" s="448"/>
      <c r="J130" s="449" t="s">
        <v>1669</v>
      </c>
      <c r="K130" s="448"/>
      <c r="L130" s="449"/>
      <c r="M130" s="136"/>
      <c r="N130" s="136"/>
      <c r="O130" s="136"/>
      <c r="P130" s="136"/>
      <c r="Q130" s="136"/>
      <c r="R130" s="136"/>
      <c r="S130" s="136"/>
      <c r="T130" s="136"/>
      <c r="V130" s="7"/>
    </row>
    <row r="131" spans="2:22" ht="18" customHeight="1">
      <c r="B131" s="195" t="str">
        <f>HYPERLINK("#LAYOUT_p!lay보PFAM5E01","PFAM5E01")</f>
        <v>PFAM5E01</v>
      </c>
      <c r="C131" s="195" t="str">
        <f>HYPERLINK("#LAYOUT_p!lay보PFAM5E03","PFAM5E03")</f>
        <v>PFAM5E03</v>
      </c>
      <c r="E131" s="7"/>
      <c r="G131" s="450" t="s">
        <v>1674</v>
      </c>
      <c r="H131" s="451" t="s">
        <v>1647</v>
      </c>
      <c r="I131" s="450"/>
      <c r="J131" s="451" t="s">
        <v>1670</v>
      </c>
      <c r="K131" s="450"/>
      <c r="L131" s="451" t="s">
        <v>1563</v>
      </c>
      <c r="M131" s="136"/>
      <c r="N131" s="136"/>
      <c r="O131" s="136"/>
      <c r="P131" s="136"/>
      <c r="Q131" s="136"/>
      <c r="R131" s="136"/>
      <c r="S131" s="136"/>
      <c r="T131" s="136"/>
      <c r="V131" s="7"/>
    </row>
    <row r="132" spans="2:22" ht="18" customHeight="1">
      <c r="B132" s="195" t="str">
        <f>HYPERLINK("#LAYOUT_p!lay보PFAM5E02","PFAM5E02")</f>
        <v>PFAM5E02</v>
      </c>
      <c r="C132" s="195" t="str">
        <f>HYPERLINK("#LAYOUT_p!lay보PFAM5E04","PFAM5E04")</f>
        <v>PFAM5E04</v>
      </c>
      <c r="E132" s="7"/>
      <c r="G132" s="448"/>
      <c r="H132" s="449" t="s">
        <v>1648</v>
      </c>
      <c r="I132" s="448"/>
      <c r="J132" s="449" t="s">
        <v>1648</v>
      </c>
      <c r="K132" s="448"/>
      <c r="L132" s="449"/>
      <c r="M132" s="136"/>
      <c r="N132" s="136"/>
      <c r="O132" s="136"/>
      <c r="P132" s="136"/>
      <c r="Q132" s="136"/>
      <c r="R132" s="136"/>
      <c r="S132" s="136"/>
      <c r="T132" s="136"/>
      <c r="V132" s="7"/>
    </row>
    <row r="133" spans="2:22" ht="18" customHeight="1">
      <c r="B133" s="195"/>
      <c r="C133" s="195"/>
      <c r="E133" s="7"/>
      <c r="G133" s="11"/>
      <c r="H133" s="11"/>
      <c r="I133" s="11"/>
      <c r="J133" s="11"/>
      <c r="K133" s="11"/>
      <c r="L133" s="11"/>
      <c r="M133" s="136"/>
      <c r="N133" s="136"/>
      <c r="O133" s="136"/>
      <c r="P133" s="136"/>
      <c r="Q133" s="136"/>
      <c r="R133" s="136"/>
      <c r="S133" s="136"/>
      <c r="T133" s="136"/>
      <c r="V133" s="7"/>
    </row>
    <row r="134" spans="2:22" ht="18" customHeight="1">
      <c r="B134" s="195"/>
      <c r="C134" s="195"/>
      <c r="E134" s="7"/>
      <c r="F134" s="136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V134" s="7"/>
    </row>
    <row r="135" spans="2:22" ht="18" customHeight="1" thickBot="1">
      <c r="B135" s="355" t="str">
        <f>HYPERLINK("#LAYOUT_p!lay보PFAM3A00","PFAM3A00")</f>
        <v>PFAM3A00</v>
      </c>
      <c r="C135" s="355"/>
      <c r="E135" s="7"/>
      <c r="F135" s="136" t="s">
        <v>1566</v>
      </c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V135" s="7"/>
    </row>
    <row r="136" spans="2:22" ht="18" customHeight="1" thickTop="1">
      <c r="B136" s="195"/>
      <c r="C136" s="195"/>
      <c r="E136" s="7"/>
      <c r="F136" s="136"/>
      <c r="G136" s="36"/>
      <c r="H136" s="37"/>
      <c r="I136" s="37"/>
      <c r="J136" s="37"/>
      <c r="K136" s="37"/>
      <c r="L136" s="37"/>
      <c r="M136" s="37"/>
      <c r="N136" s="38"/>
      <c r="O136" s="136"/>
      <c r="P136" s="136"/>
      <c r="Q136" s="136"/>
      <c r="R136" s="136"/>
      <c r="S136" s="136"/>
      <c r="T136" s="136"/>
      <c r="V136" s="7"/>
    </row>
    <row r="137" spans="2:22" ht="18" customHeight="1">
      <c r="B137" s="195"/>
      <c r="C137" s="195"/>
      <c r="E137" s="7"/>
      <c r="F137" s="136"/>
      <c r="G137" s="40"/>
      <c r="H137" s="11" t="s">
        <v>124</v>
      </c>
      <c r="I137" s="11" t="s">
        <v>125</v>
      </c>
      <c r="J137" s="11" t="s">
        <v>126</v>
      </c>
      <c r="K137" s="11" t="s">
        <v>127</v>
      </c>
      <c r="L137" s="11" t="s">
        <v>128</v>
      </c>
      <c r="M137" s="41" t="s">
        <v>129</v>
      </c>
      <c r="N137" s="42"/>
      <c r="O137" s="136"/>
      <c r="P137" s="136"/>
      <c r="Q137" s="136"/>
      <c r="R137" s="136"/>
      <c r="S137" s="136"/>
      <c r="T137" s="136"/>
      <c r="V137" s="7"/>
    </row>
    <row r="138" spans="2:22" ht="18" customHeight="1">
      <c r="B138" s="195"/>
      <c r="C138" s="195"/>
      <c r="E138" s="7"/>
      <c r="F138" s="136"/>
      <c r="G138" s="40"/>
      <c r="H138" s="11" t="s">
        <v>591</v>
      </c>
      <c r="I138" s="11" t="s">
        <v>592</v>
      </c>
      <c r="J138" s="11" t="s">
        <v>593</v>
      </c>
      <c r="K138" s="11" t="s">
        <v>594</v>
      </c>
      <c r="L138" s="11" t="s">
        <v>595</v>
      </c>
      <c r="M138" s="41" t="s">
        <v>6</v>
      </c>
      <c r="N138" s="42"/>
      <c r="O138" s="136"/>
      <c r="P138" s="136"/>
      <c r="Q138" s="136"/>
      <c r="R138" s="136"/>
      <c r="S138" s="136"/>
      <c r="T138" s="136"/>
      <c r="V138" s="7"/>
    </row>
    <row r="139" spans="2:22" ht="18" customHeight="1">
      <c r="B139" s="195"/>
      <c r="C139" s="195"/>
      <c r="E139" s="7"/>
      <c r="F139" s="136"/>
      <c r="G139" s="40"/>
      <c r="H139" s="43"/>
      <c r="I139" s="43"/>
      <c r="J139" s="43"/>
      <c r="K139" s="43"/>
      <c r="L139" s="43"/>
      <c r="M139" s="44"/>
      <c r="N139" s="42"/>
      <c r="O139" s="136"/>
      <c r="P139" s="136"/>
      <c r="Q139" s="136"/>
      <c r="R139" s="136"/>
      <c r="S139" s="136"/>
      <c r="T139" s="136"/>
      <c r="V139" s="7"/>
    </row>
    <row r="140" spans="2:22" ht="18" customHeight="1">
      <c r="B140" s="195"/>
      <c r="C140" s="195"/>
      <c r="E140" s="7"/>
      <c r="F140" s="136"/>
      <c r="G140" s="40"/>
      <c r="H140" s="45"/>
      <c r="I140" s="45"/>
      <c r="J140" s="45"/>
      <c r="K140" s="45"/>
      <c r="L140" s="45"/>
      <c r="M140" s="46"/>
      <c r="N140" s="42"/>
      <c r="O140" s="136"/>
      <c r="P140" s="136"/>
      <c r="Q140" s="136"/>
      <c r="R140" s="136"/>
      <c r="S140" s="136"/>
      <c r="T140" s="136"/>
      <c r="V140" s="7"/>
    </row>
    <row r="141" spans="2:22" ht="18" customHeight="1" thickBot="1">
      <c r="B141" s="195"/>
      <c r="C141" s="195"/>
      <c r="E141" s="7"/>
      <c r="F141" s="136"/>
      <c r="G141" s="47"/>
      <c r="H141" s="48"/>
      <c r="I141" s="48"/>
      <c r="J141" s="48"/>
      <c r="K141" s="48"/>
      <c r="L141" s="48"/>
      <c r="M141" s="48"/>
      <c r="N141" s="49"/>
      <c r="O141" s="136"/>
      <c r="P141" s="136"/>
      <c r="Q141" s="136"/>
      <c r="R141" s="136"/>
      <c r="S141" s="136"/>
      <c r="T141" s="136"/>
      <c r="V141" s="7"/>
    </row>
    <row r="142" spans="2:22" ht="18" customHeight="1" thickTop="1">
      <c r="B142" s="195"/>
      <c r="C142" s="195"/>
      <c r="E142" s="7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V142" s="7"/>
    </row>
    <row r="143" spans="2:22" ht="18" customHeight="1">
      <c r="B143" s="195"/>
      <c r="C143" s="195"/>
      <c r="E143" s="7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V143" s="7"/>
    </row>
    <row r="144" spans="2:22" ht="18" customHeight="1" thickBot="1">
      <c r="B144" s="355" t="str">
        <f>HYPERLINK("#LAYOUT_p!lay보PFAM3B00","PFAM3B00")</f>
        <v>PFAM3B00</v>
      </c>
      <c r="C144" s="355"/>
      <c r="E144" s="7"/>
      <c r="F144" s="136" t="s">
        <v>1567</v>
      </c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V144" s="7"/>
    </row>
    <row r="145" spans="2:22" ht="18" customHeight="1" thickTop="1">
      <c r="B145" s="195"/>
      <c r="C145" s="195"/>
      <c r="E145" s="7"/>
      <c r="F145" s="136"/>
      <c r="G145" s="36"/>
      <c r="H145" s="37"/>
      <c r="I145" s="37"/>
      <c r="J145" s="37"/>
      <c r="K145" s="37"/>
      <c r="L145" s="37"/>
      <c r="M145" s="37"/>
      <c r="N145" s="38"/>
      <c r="O145" s="136"/>
      <c r="P145" s="136"/>
      <c r="Q145" s="136"/>
      <c r="R145" s="136"/>
      <c r="S145" s="136"/>
      <c r="T145" s="136"/>
      <c r="V145" s="7"/>
    </row>
    <row r="146" spans="2:22" ht="18" customHeight="1">
      <c r="B146" s="195"/>
      <c r="C146" s="195"/>
      <c r="E146" s="7"/>
      <c r="F146" s="136"/>
      <c r="G146" s="40"/>
      <c r="H146" s="11" t="s">
        <v>131</v>
      </c>
      <c r="I146" s="11" t="s">
        <v>132</v>
      </c>
      <c r="J146" s="11" t="s">
        <v>126</v>
      </c>
      <c r="K146" s="11" t="s">
        <v>133</v>
      </c>
      <c r="L146" s="11" t="s">
        <v>640</v>
      </c>
      <c r="M146" s="41" t="s">
        <v>129</v>
      </c>
      <c r="N146" s="42"/>
      <c r="O146" s="136"/>
      <c r="P146" s="136"/>
      <c r="Q146" s="136"/>
      <c r="R146" s="136"/>
      <c r="S146" s="136"/>
      <c r="T146" s="136"/>
      <c r="V146" s="7"/>
    </row>
    <row r="147" spans="2:22" ht="18" customHeight="1">
      <c r="B147" s="195"/>
      <c r="C147" s="195"/>
      <c r="E147" s="7"/>
      <c r="F147" s="136"/>
      <c r="G147" s="40"/>
      <c r="H147" s="11" t="s">
        <v>591</v>
      </c>
      <c r="I147" s="11" t="s">
        <v>592</v>
      </c>
      <c r="J147" s="11" t="s">
        <v>593</v>
      </c>
      <c r="K147" s="11" t="s">
        <v>594</v>
      </c>
      <c r="L147" s="11" t="s">
        <v>595</v>
      </c>
      <c r="M147" s="41" t="s">
        <v>6</v>
      </c>
      <c r="N147" s="42"/>
      <c r="O147" s="136"/>
      <c r="P147" s="136"/>
      <c r="Q147" s="136"/>
      <c r="R147" s="136"/>
      <c r="S147" s="136"/>
      <c r="T147" s="136"/>
      <c r="V147" s="7"/>
    </row>
    <row r="148" spans="2:22" ht="18" customHeight="1">
      <c r="B148" s="195"/>
      <c r="C148" s="195"/>
      <c r="E148" s="7"/>
      <c r="F148" s="136"/>
      <c r="G148" s="40"/>
      <c r="H148" s="43"/>
      <c r="I148" s="43"/>
      <c r="J148" s="43"/>
      <c r="K148" s="43"/>
      <c r="L148" s="43"/>
      <c r="M148" s="44"/>
      <c r="N148" s="42"/>
      <c r="O148" s="136"/>
      <c r="P148" s="136"/>
      <c r="Q148" s="136"/>
      <c r="R148" s="136"/>
      <c r="S148" s="136"/>
      <c r="T148" s="136"/>
      <c r="V148" s="7"/>
    </row>
    <row r="149" spans="2:22" ht="18" customHeight="1">
      <c r="B149" s="195"/>
      <c r="C149" s="195"/>
      <c r="E149" s="7"/>
      <c r="F149" s="136"/>
      <c r="G149" s="40"/>
      <c r="H149" s="45"/>
      <c r="I149" s="45"/>
      <c r="J149" s="45"/>
      <c r="K149" s="45"/>
      <c r="L149" s="45"/>
      <c r="M149" s="46"/>
      <c r="N149" s="42"/>
      <c r="O149" s="136"/>
      <c r="P149" s="136"/>
      <c r="Q149" s="136"/>
      <c r="R149" s="136"/>
      <c r="S149" s="136"/>
      <c r="T149" s="136"/>
      <c r="V149" s="7"/>
    </row>
    <row r="150" spans="2:22" ht="18" customHeight="1" thickBot="1">
      <c r="B150" s="195"/>
      <c r="C150" s="195"/>
      <c r="E150" s="7"/>
      <c r="F150" s="136"/>
      <c r="G150" s="47"/>
      <c r="H150" s="48"/>
      <c r="I150" s="48"/>
      <c r="J150" s="48"/>
      <c r="K150" s="48"/>
      <c r="L150" s="48"/>
      <c r="M150" s="48"/>
      <c r="N150" s="49"/>
      <c r="O150" s="136"/>
      <c r="P150" s="136"/>
      <c r="Q150" s="136"/>
      <c r="R150" s="136"/>
      <c r="S150" s="136"/>
      <c r="T150" s="136"/>
      <c r="V150" s="7"/>
    </row>
    <row r="151" spans="2:22" ht="18" customHeight="1" thickTop="1">
      <c r="B151" s="195"/>
      <c r="C151" s="195"/>
      <c r="E151" s="7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V151" s="7"/>
    </row>
    <row r="152" spans="2:22" ht="18" customHeight="1">
      <c r="B152" s="195"/>
      <c r="C152" s="195"/>
      <c r="E152" s="7"/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V152" s="7"/>
    </row>
    <row r="153" spans="2:22" ht="18" customHeight="1" thickBot="1">
      <c r="B153" s="355" t="str">
        <f>HYPERLINK("#LAYOUT_p!lay보PFAM3C00","PFAM3C00")</f>
        <v>PFAM3C00</v>
      </c>
      <c r="C153" s="355"/>
      <c r="E153" s="7"/>
      <c r="F153" s="136" t="s">
        <v>1568</v>
      </c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V153" s="7"/>
    </row>
    <row r="154" spans="2:22" ht="18" customHeight="1" thickTop="1">
      <c r="B154" s="195"/>
      <c r="C154" s="195"/>
      <c r="E154" s="7"/>
      <c r="F154" s="136"/>
      <c r="G154" s="36"/>
      <c r="H154" s="37"/>
      <c r="I154" s="37"/>
      <c r="J154" s="37"/>
      <c r="K154" s="37"/>
      <c r="L154" s="37"/>
      <c r="M154" s="37"/>
      <c r="N154" s="38"/>
      <c r="O154" s="136"/>
      <c r="P154" s="136"/>
      <c r="Q154" s="136"/>
      <c r="R154" s="136"/>
      <c r="S154" s="136"/>
      <c r="T154" s="136"/>
      <c r="V154" s="7"/>
    </row>
    <row r="155" spans="2:22" ht="18" customHeight="1">
      <c r="B155" s="195"/>
      <c r="C155" s="195"/>
      <c r="E155" s="7"/>
      <c r="F155" s="136"/>
      <c r="G155" s="40"/>
      <c r="H155" s="11" t="s">
        <v>131</v>
      </c>
      <c r="I155" s="11" t="s">
        <v>132</v>
      </c>
      <c r="J155" s="11" t="s">
        <v>126</v>
      </c>
      <c r="K155" s="11" t="s">
        <v>133</v>
      </c>
      <c r="L155" s="11" t="s">
        <v>640</v>
      </c>
      <c r="M155" s="41" t="s">
        <v>129</v>
      </c>
      <c r="N155" s="42"/>
      <c r="O155" s="136"/>
      <c r="P155" s="136"/>
      <c r="Q155" s="136"/>
      <c r="R155" s="136"/>
      <c r="S155" s="136"/>
      <c r="T155" s="136"/>
      <c r="V155" s="7"/>
    </row>
    <row r="156" spans="2:22" ht="18" customHeight="1">
      <c r="B156" s="195"/>
      <c r="C156" s="195"/>
      <c r="E156" s="7"/>
      <c r="F156" s="136"/>
      <c r="G156" s="40"/>
      <c r="H156" s="11" t="s">
        <v>591</v>
      </c>
      <c r="I156" s="11" t="s">
        <v>592</v>
      </c>
      <c r="J156" s="11" t="s">
        <v>593</v>
      </c>
      <c r="K156" s="11" t="s">
        <v>594</v>
      </c>
      <c r="L156" s="11" t="s">
        <v>595</v>
      </c>
      <c r="M156" s="41" t="s">
        <v>6</v>
      </c>
      <c r="N156" s="42"/>
      <c r="O156" s="136"/>
      <c r="P156" s="136"/>
      <c r="Q156" s="136"/>
      <c r="R156" s="136"/>
      <c r="S156" s="136"/>
      <c r="T156" s="136"/>
      <c r="V156" s="7"/>
    </row>
    <row r="157" spans="2:22" ht="18" customHeight="1">
      <c r="B157" s="195"/>
      <c r="C157" s="195"/>
      <c r="E157" s="7"/>
      <c r="F157" s="136"/>
      <c r="G157" s="40"/>
      <c r="H157" s="43"/>
      <c r="I157" s="43"/>
      <c r="J157" s="43"/>
      <c r="K157" s="43"/>
      <c r="L157" s="43"/>
      <c r="M157" s="44"/>
      <c r="N157" s="42"/>
      <c r="O157" s="136"/>
      <c r="P157" s="136"/>
      <c r="Q157" s="136"/>
      <c r="R157" s="136"/>
      <c r="S157" s="136"/>
      <c r="T157" s="136"/>
      <c r="V157" s="7"/>
    </row>
    <row r="158" spans="2:22" ht="18" customHeight="1">
      <c r="B158" s="195"/>
      <c r="C158" s="195"/>
      <c r="E158" s="7"/>
      <c r="F158" s="136"/>
      <c r="G158" s="40"/>
      <c r="H158" s="45"/>
      <c r="I158" s="45"/>
      <c r="J158" s="45"/>
      <c r="K158" s="45"/>
      <c r="L158" s="45"/>
      <c r="M158" s="46"/>
      <c r="N158" s="42"/>
      <c r="O158" s="136"/>
      <c r="P158" s="136"/>
      <c r="Q158" s="136"/>
      <c r="R158" s="136"/>
      <c r="S158" s="136"/>
      <c r="T158" s="136"/>
      <c r="V158" s="7"/>
    </row>
    <row r="159" spans="2:22" ht="18" customHeight="1" thickBot="1">
      <c r="B159" s="195"/>
      <c r="C159" s="195"/>
      <c r="E159" s="7"/>
      <c r="F159" s="136"/>
      <c r="G159" s="47"/>
      <c r="H159" s="48"/>
      <c r="I159" s="48"/>
      <c r="J159" s="48"/>
      <c r="K159" s="48"/>
      <c r="L159" s="48"/>
      <c r="M159" s="48"/>
      <c r="N159" s="49"/>
      <c r="O159" s="136"/>
      <c r="P159" s="136"/>
      <c r="Q159" s="136"/>
      <c r="R159" s="136"/>
      <c r="S159" s="136"/>
      <c r="T159" s="136"/>
      <c r="V159" s="7"/>
    </row>
    <row r="160" spans="2:22" ht="18" customHeight="1" thickTop="1">
      <c r="B160" s="195"/>
      <c r="C160" s="195"/>
      <c r="E160" s="7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V160" s="7"/>
    </row>
    <row r="161" spans="2:22" ht="18" customHeight="1">
      <c r="B161" s="195"/>
      <c r="C161" s="195"/>
      <c r="E161" s="7"/>
      <c r="F161" s="136"/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V161" s="7"/>
    </row>
    <row r="162" spans="2:22" ht="18" customHeight="1">
      <c r="B162" s="355" t="str">
        <f>HYPERLINK("#LAYOUT_p!lay보PFAM3D00","PFAM3D00")</f>
        <v>PFAM3D00</v>
      </c>
      <c r="C162" s="355"/>
      <c r="E162" s="7"/>
      <c r="F162" s="136" t="s">
        <v>1004</v>
      </c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V162" s="7"/>
    </row>
    <row r="163" spans="2:22" ht="18" customHeight="1">
      <c r="B163" s="195"/>
      <c r="C163" s="195"/>
      <c r="E163" s="7"/>
      <c r="F163" s="136"/>
      <c r="G163" s="370" t="s">
        <v>884</v>
      </c>
      <c r="H163" s="370"/>
      <c r="I163" s="370" t="s">
        <v>885</v>
      </c>
      <c r="J163" s="370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V163" s="7"/>
    </row>
    <row r="164" spans="2:22" ht="18" customHeight="1">
      <c r="B164" s="195"/>
      <c r="C164" s="195"/>
      <c r="E164" s="7"/>
      <c r="F164" s="136"/>
      <c r="G164" s="370" t="s">
        <v>886</v>
      </c>
      <c r="H164" s="370"/>
      <c r="I164" s="370" t="s">
        <v>887</v>
      </c>
      <c r="J164" s="370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V164" s="7"/>
    </row>
    <row r="165" spans="2:22" ht="18" customHeight="1">
      <c r="B165" s="195"/>
      <c r="C165" s="195"/>
      <c r="E165" s="7"/>
      <c r="F165" s="136"/>
      <c r="G165" s="370" t="s">
        <v>888</v>
      </c>
      <c r="H165" s="370"/>
      <c r="I165" s="28"/>
      <c r="J165" s="28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V165" s="7"/>
    </row>
    <row r="166" spans="2:22" ht="18" customHeight="1">
      <c r="B166" s="195"/>
      <c r="C166" s="195"/>
      <c r="E166" s="7"/>
      <c r="F166" s="136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V166" s="7"/>
    </row>
    <row r="167" spans="2:22" ht="18" customHeight="1">
      <c r="B167" s="195"/>
      <c r="C167" s="195"/>
      <c r="E167" s="7"/>
      <c r="F167" s="136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V167" s="7"/>
    </row>
    <row r="168" spans="2:22" ht="18" customHeight="1">
      <c r="B168" s="195"/>
      <c r="C168" s="195"/>
      <c r="E168" s="7"/>
      <c r="F168" s="136" t="s">
        <v>1005</v>
      </c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V168" s="7"/>
    </row>
    <row r="169" spans="2:22" ht="18" customHeight="1">
      <c r="B169" s="195"/>
      <c r="C169" s="195"/>
      <c r="E169" s="7"/>
      <c r="F169" s="136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V169" s="7"/>
    </row>
    <row r="170" spans="2:22" ht="18" customHeight="1">
      <c r="B170" s="195"/>
      <c r="C170" s="195"/>
      <c r="E170" s="7"/>
      <c r="F170" s="136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V170" s="7"/>
    </row>
    <row r="171" spans="2:22" ht="18" customHeight="1">
      <c r="B171" s="355" t="str">
        <f>HYPERLINK("#LAYOUT_p!lay보PMDA1A00","PMDA1A00")</f>
        <v>PMDA1A00</v>
      </c>
      <c r="C171" s="355"/>
      <c r="E171" s="7"/>
      <c r="F171" s="136" t="s">
        <v>1006</v>
      </c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V171" s="7"/>
    </row>
    <row r="172" spans="2:22" ht="18" customHeight="1">
      <c r="B172" s="195"/>
      <c r="C172" s="195"/>
      <c r="E172" s="7"/>
      <c r="F172" s="136"/>
      <c r="G172" s="6" t="s">
        <v>1585</v>
      </c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  <c r="V172" s="7"/>
    </row>
    <row r="173" spans="2:22" ht="18" customHeight="1">
      <c r="B173" s="195"/>
      <c r="C173" s="195"/>
      <c r="E173" s="7"/>
      <c r="F173" s="136"/>
      <c r="G173" s="6" t="s">
        <v>1586</v>
      </c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  <c r="V173" s="7"/>
    </row>
    <row r="174" spans="2:22" ht="18" customHeight="1">
      <c r="B174" s="195"/>
      <c r="C174" s="195"/>
      <c r="E174" s="7"/>
      <c r="F174" s="136"/>
      <c r="G174" s="6" t="s">
        <v>1671</v>
      </c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V174" s="7"/>
    </row>
    <row r="175" spans="2:22" ht="18" customHeight="1">
      <c r="B175" s="195"/>
      <c r="C175" s="195"/>
      <c r="E175" s="7"/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V175" s="7"/>
    </row>
    <row r="176" spans="2:22" ht="18" customHeight="1">
      <c r="B176" s="195"/>
      <c r="C176" s="195"/>
      <c r="E176" s="7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V176" s="7"/>
    </row>
    <row r="177" spans="2:22" ht="18" customHeight="1" thickBot="1">
      <c r="B177" s="195"/>
      <c r="C177" s="195"/>
      <c r="E177" s="7"/>
      <c r="F177" s="136" t="s">
        <v>1007</v>
      </c>
      <c r="G177" s="136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V177" s="7"/>
    </row>
    <row r="178" spans="2:22" ht="31.5" thickTop="1" thickBot="1">
      <c r="B178" s="195"/>
      <c r="C178" s="195"/>
      <c r="E178" s="7"/>
      <c r="F178" s="136"/>
      <c r="G178" s="368" t="s">
        <v>574</v>
      </c>
      <c r="H178" s="368"/>
      <c r="I178" s="368"/>
      <c r="J178" s="368"/>
      <c r="K178" s="368"/>
      <c r="L178" s="369"/>
      <c r="M178" s="9" t="s">
        <v>86</v>
      </c>
      <c r="N178" s="9" t="s">
        <v>87</v>
      </c>
      <c r="O178" s="9" t="s">
        <v>88</v>
      </c>
      <c r="P178" s="9" t="s">
        <v>89</v>
      </c>
      <c r="Q178" s="19" t="s">
        <v>90</v>
      </c>
      <c r="R178" s="136"/>
      <c r="S178" s="136"/>
      <c r="T178" s="136"/>
      <c r="V178" s="7"/>
    </row>
    <row r="179" spans="2:22" ht="18" customHeight="1" thickTop="1">
      <c r="B179" s="355" t="str">
        <f>HYPERLINK("#LAYOUT_p!lay보PMDA1B01","PMDA1B01")</f>
        <v>PMDA1B01</v>
      </c>
      <c r="C179" s="355"/>
      <c r="E179" s="7"/>
      <c r="F179" s="136"/>
      <c r="G179" s="372" t="s">
        <v>609</v>
      </c>
      <c r="H179" s="372"/>
      <c r="I179" s="372"/>
      <c r="J179" s="372"/>
      <c r="K179" s="372"/>
      <c r="L179" s="373"/>
      <c r="M179" s="20" t="s">
        <v>591</v>
      </c>
      <c r="N179" s="20" t="s">
        <v>592</v>
      </c>
      <c r="O179" s="20" t="s">
        <v>593</v>
      </c>
      <c r="P179" s="20" t="s">
        <v>594</v>
      </c>
      <c r="Q179" s="21"/>
      <c r="R179" s="136"/>
      <c r="S179" s="136"/>
      <c r="T179" s="136"/>
      <c r="V179" s="7"/>
    </row>
    <row r="180" spans="2:22" ht="18" customHeight="1">
      <c r="B180" s="355" t="str">
        <f>HYPERLINK("#LAYOUT_p!lay보PMDA1B02","PMDA1B02")</f>
        <v>PMDA1B02</v>
      </c>
      <c r="C180" s="355"/>
      <c r="E180" s="7"/>
      <c r="F180" s="136"/>
      <c r="G180" s="362" t="s">
        <v>610</v>
      </c>
      <c r="H180" s="362"/>
      <c r="I180" s="362"/>
      <c r="J180" s="362"/>
      <c r="K180" s="362"/>
      <c r="L180" s="363"/>
      <c r="M180" s="22" t="s">
        <v>591</v>
      </c>
      <c r="N180" s="22" t="s">
        <v>592</v>
      </c>
      <c r="O180" s="22" t="s">
        <v>593</v>
      </c>
      <c r="P180" s="22" t="s">
        <v>594</v>
      </c>
      <c r="Q180" s="23"/>
      <c r="R180" s="136"/>
      <c r="S180" s="136"/>
      <c r="T180" s="136"/>
      <c r="V180" s="7"/>
    </row>
    <row r="181" spans="2:22" ht="18" customHeight="1">
      <c r="B181" s="355" t="str">
        <f>HYPERLINK("#LAYOUT_p!lay보PMDA1B03","PMDA1B03")</f>
        <v>PMDA1B03</v>
      </c>
      <c r="C181" s="355"/>
      <c r="E181" s="7"/>
      <c r="F181" s="136"/>
      <c r="G181" s="362" t="s">
        <v>611</v>
      </c>
      <c r="H181" s="362"/>
      <c r="I181" s="362"/>
      <c r="J181" s="362"/>
      <c r="K181" s="362"/>
      <c r="L181" s="363"/>
      <c r="M181" s="22" t="s">
        <v>591</v>
      </c>
      <c r="N181" s="22" t="s">
        <v>592</v>
      </c>
      <c r="O181" s="22" t="s">
        <v>593</v>
      </c>
      <c r="P181" s="22" t="s">
        <v>594</v>
      </c>
      <c r="Q181" s="23"/>
      <c r="R181" s="136"/>
      <c r="S181" s="136"/>
      <c r="T181" s="136"/>
      <c r="V181" s="7"/>
    </row>
    <row r="182" spans="2:22" ht="18" customHeight="1">
      <c r="B182" s="355" t="str">
        <f>HYPERLINK("#LAYOUT_p!lay보PMDA1B04","PMDA1B04")</f>
        <v>PMDA1B04</v>
      </c>
      <c r="C182" s="355"/>
      <c r="E182" s="7"/>
      <c r="F182" s="136"/>
      <c r="G182" s="362" t="s">
        <v>612</v>
      </c>
      <c r="H182" s="362"/>
      <c r="I182" s="362"/>
      <c r="J182" s="362"/>
      <c r="K182" s="362"/>
      <c r="L182" s="363"/>
      <c r="M182" s="22" t="s">
        <v>591</v>
      </c>
      <c r="N182" s="22" t="s">
        <v>592</v>
      </c>
      <c r="O182" s="22" t="s">
        <v>593</v>
      </c>
      <c r="P182" s="22" t="s">
        <v>594</v>
      </c>
      <c r="Q182" s="23"/>
      <c r="R182" s="136"/>
      <c r="S182" s="136"/>
      <c r="T182" s="136"/>
      <c r="V182" s="7"/>
    </row>
    <row r="183" spans="2:22" ht="18" customHeight="1">
      <c r="B183" s="355" t="str">
        <f>HYPERLINK("#LAYOUT_p!lay보PMDA1B05","PMDA1B05")</f>
        <v>PMDA1B05</v>
      </c>
      <c r="C183" s="355"/>
      <c r="E183" s="7"/>
      <c r="F183" s="136"/>
      <c r="G183" s="362" t="s">
        <v>613</v>
      </c>
      <c r="H183" s="362"/>
      <c r="I183" s="362"/>
      <c r="J183" s="362"/>
      <c r="K183" s="362"/>
      <c r="L183" s="363"/>
      <c r="M183" s="22" t="s">
        <v>591</v>
      </c>
      <c r="N183" s="22" t="s">
        <v>592</v>
      </c>
      <c r="O183" s="22" t="s">
        <v>593</v>
      </c>
      <c r="P183" s="22" t="s">
        <v>594</v>
      </c>
      <c r="Q183" s="23"/>
      <c r="R183" s="136"/>
      <c r="S183" s="136"/>
      <c r="T183" s="136"/>
      <c r="V183" s="7"/>
    </row>
    <row r="184" spans="2:22" ht="18" customHeight="1">
      <c r="B184" s="355" t="str">
        <f>HYPERLINK("#LAYOUT_p!lay보PMDA1B06","PMDA1B06")</f>
        <v>PMDA1B06</v>
      </c>
      <c r="C184" s="355"/>
      <c r="E184" s="7"/>
      <c r="F184" s="136"/>
      <c r="G184" s="362" t="s">
        <v>614</v>
      </c>
      <c r="H184" s="362"/>
      <c r="I184" s="362"/>
      <c r="J184" s="362"/>
      <c r="K184" s="362"/>
      <c r="L184" s="363"/>
      <c r="M184" s="22" t="s">
        <v>591</v>
      </c>
      <c r="N184" s="22" t="s">
        <v>592</v>
      </c>
      <c r="O184" s="22" t="s">
        <v>593</v>
      </c>
      <c r="P184" s="22" t="s">
        <v>594</v>
      </c>
      <c r="Q184" s="23"/>
      <c r="R184" s="136"/>
      <c r="S184" s="136"/>
      <c r="T184" s="136"/>
      <c r="V184" s="7"/>
    </row>
    <row r="185" spans="2:22" ht="18" customHeight="1">
      <c r="B185" s="355" t="str">
        <f>HYPERLINK("#LAYOUT_p!lay보PMDA1B07","PMDA1B07")</f>
        <v>PMDA1B07</v>
      </c>
      <c r="C185" s="355"/>
      <c r="E185" s="7"/>
      <c r="F185" s="136"/>
      <c r="G185" s="362" t="s">
        <v>615</v>
      </c>
      <c r="H185" s="362"/>
      <c r="I185" s="362"/>
      <c r="J185" s="362"/>
      <c r="K185" s="362"/>
      <c r="L185" s="363"/>
      <c r="M185" s="22" t="s">
        <v>591</v>
      </c>
      <c r="N185" s="22" t="s">
        <v>592</v>
      </c>
      <c r="O185" s="22" t="s">
        <v>593</v>
      </c>
      <c r="P185" s="22" t="s">
        <v>594</v>
      </c>
      <c r="Q185" s="23"/>
      <c r="R185" s="136"/>
      <c r="S185" s="136"/>
      <c r="T185" s="136"/>
      <c r="V185" s="7"/>
    </row>
    <row r="186" spans="2:22" ht="18" customHeight="1">
      <c r="B186" s="355" t="str">
        <f>HYPERLINK("#LAYOUT_p!lay보PMDA1B08","PMDA1B08")</f>
        <v>PMDA1B08</v>
      </c>
      <c r="C186" s="355"/>
      <c r="E186" s="7"/>
      <c r="F186" s="136"/>
      <c r="G186" s="362" t="s">
        <v>616</v>
      </c>
      <c r="H186" s="362"/>
      <c r="I186" s="362"/>
      <c r="J186" s="362"/>
      <c r="K186" s="362"/>
      <c r="L186" s="363"/>
      <c r="M186" s="22" t="s">
        <v>591</v>
      </c>
      <c r="N186" s="22" t="s">
        <v>592</v>
      </c>
      <c r="O186" s="22" t="s">
        <v>593</v>
      </c>
      <c r="P186" s="22" t="s">
        <v>594</v>
      </c>
      <c r="Q186" s="23"/>
      <c r="R186" s="136"/>
      <c r="S186" s="136"/>
      <c r="T186" s="136"/>
      <c r="V186" s="7"/>
    </row>
    <row r="187" spans="2:22" ht="18" customHeight="1">
      <c r="B187" s="355" t="str">
        <f>HYPERLINK("#LAYOUT_p!lay보PMDA1B09","PMDA1B09")</f>
        <v>PMDA1B09</v>
      </c>
      <c r="C187" s="355"/>
      <c r="E187" s="7"/>
      <c r="F187" s="136"/>
      <c r="G187" s="362" t="s">
        <v>617</v>
      </c>
      <c r="H187" s="362"/>
      <c r="I187" s="362"/>
      <c r="J187" s="362"/>
      <c r="K187" s="362"/>
      <c r="L187" s="363"/>
      <c r="M187" s="22" t="s">
        <v>591</v>
      </c>
      <c r="N187" s="22" t="s">
        <v>592</v>
      </c>
      <c r="O187" s="22" t="s">
        <v>593</v>
      </c>
      <c r="P187" s="22" t="s">
        <v>594</v>
      </c>
      <c r="Q187" s="23"/>
      <c r="R187" s="136"/>
      <c r="S187" s="136"/>
      <c r="T187" s="136"/>
      <c r="V187" s="7"/>
    </row>
    <row r="188" spans="2:22" ht="18" customHeight="1">
      <c r="B188" s="355" t="str">
        <f>HYPERLINK("#LAYOUT_p!lay보PMDA1B10","PMDA1B10")</f>
        <v>PMDA1B10</v>
      </c>
      <c r="C188" s="355"/>
      <c r="E188" s="7"/>
      <c r="F188" s="136"/>
      <c r="G188" s="362" t="s">
        <v>618</v>
      </c>
      <c r="H188" s="362"/>
      <c r="I188" s="362"/>
      <c r="J188" s="362"/>
      <c r="K188" s="362"/>
      <c r="L188" s="363"/>
      <c r="M188" s="22" t="s">
        <v>591</v>
      </c>
      <c r="N188" s="22" t="s">
        <v>592</v>
      </c>
      <c r="O188" s="22" t="s">
        <v>593</v>
      </c>
      <c r="P188" s="22" t="s">
        <v>594</v>
      </c>
      <c r="Q188" s="23"/>
      <c r="R188" s="136"/>
      <c r="S188" s="136"/>
      <c r="T188" s="136"/>
      <c r="V188" s="7"/>
    </row>
    <row r="189" spans="2:22" ht="18" customHeight="1">
      <c r="B189" s="355" t="str">
        <f>HYPERLINK("#LAYOUT_p!lay보PMDA1B11","PMDA1B11")</f>
        <v>PMDA1B11</v>
      </c>
      <c r="C189" s="355"/>
      <c r="E189" s="7"/>
      <c r="F189" s="136"/>
      <c r="G189" s="362" t="s">
        <v>619</v>
      </c>
      <c r="H189" s="362"/>
      <c r="I189" s="362"/>
      <c r="J189" s="362"/>
      <c r="K189" s="362"/>
      <c r="L189" s="363"/>
      <c r="M189" s="22" t="s">
        <v>591</v>
      </c>
      <c r="N189" s="22" t="s">
        <v>592</v>
      </c>
      <c r="O189" s="22" t="s">
        <v>593</v>
      </c>
      <c r="P189" s="22" t="s">
        <v>594</v>
      </c>
      <c r="Q189" s="23"/>
      <c r="R189" s="136"/>
      <c r="S189" s="136"/>
      <c r="T189" s="136"/>
      <c r="V189" s="7"/>
    </row>
    <row r="190" spans="2:22" ht="18" customHeight="1">
      <c r="B190" s="355" t="str">
        <f>HYPERLINK("#LAYOUT_p!lay보PMDA1B12","PMDA1B12")</f>
        <v>PMDA1B12</v>
      </c>
      <c r="C190" s="355"/>
      <c r="E190" s="7"/>
      <c r="G190" s="362" t="s">
        <v>1517</v>
      </c>
      <c r="H190" s="362"/>
      <c r="I190" s="362"/>
      <c r="J190" s="362"/>
      <c r="K190" s="362"/>
      <c r="L190" s="363"/>
      <c r="M190" s="22" t="s">
        <v>591</v>
      </c>
      <c r="N190" s="22" t="s">
        <v>592</v>
      </c>
      <c r="O190" s="22" t="s">
        <v>593</v>
      </c>
      <c r="P190" s="22" t="s">
        <v>594</v>
      </c>
      <c r="Q190" s="23"/>
      <c r="R190" s="136"/>
      <c r="S190" s="136"/>
      <c r="T190" s="136"/>
      <c r="V190" s="7"/>
    </row>
    <row r="191" spans="2:22" ht="18" customHeight="1">
      <c r="B191" s="195" t="str">
        <f>HYPERLINK("#LAYOUT_p!lay보PMDA1B13","PMDA1B13")</f>
        <v>PMDA1B13</v>
      </c>
      <c r="C191" s="195" t="str">
        <f>HYPERLINK("#LAYOUT_p!lay보PMDA1B13_T","PMDA1B13_T")</f>
        <v>PMDA1B13_T</v>
      </c>
      <c r="E191" s="7"/>
      <c r="F191" s="136"/>
      <c r="G191" s="362" t="s">
        <v>1589</v>
      </c>
      <c r="H191" s="362"/>
      <c r="I191" s="362"/>
      <c r="J191" s="362"/>
      <c r="K191" s="362"/>
      <c r="L191" s="363"/>
      <c r="M191" s="22" t="s">
        <v>591</v>
      </c>
      <c r="N191" s="22" t="s">
        <v>592</v>
      </c>
      <c r="O191" s="22" t="s">
        <v>593</v>
      </c>
      <c r="P191" s="22" t="s">
        <v>594</v>
      </c>
      <c r="Q191" s="24" t="s">
        <v>620</v>
      </c>
      <c r="R191" s="136"/>
      <c r="S191" s="136"/>
      <c r="T191" s="136"/>
      <c r="V191" s="7"/>
    </row>
    <row r="192" spans="2:22" ht="18" customHeight="1">
      <c r="B192" s="195"/>
      <c r="C192" s="195"/>
      <c r="E192" s="7"/>
      <c r="F192" s="136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V192" s="7"/>
    </row>
    <row r="193" spans="2:22" ht="18" customHeight="1">
      <c r="B193" s="195"/>
      <c r="C193" s="195"/>
      <c r="E193" s="7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V193" s="7"/>
    </row>
    <row r="194" spans="2:22" ht="18" customHeight="1" thickBot="1">
      <c r="B194" s="195"/>
      <c r="C194" s="195"/>
      <c r="E194" s="7"/>
      <c r="F194" s="136" t="s">
        <v>1008</v>
      </c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V194" s="7"/>
    </row>
    <row r="195" spans="2:22" ht="31.5" thickTop="1" thickBot="1">
      <c r="B195" s="195"/>
      <c r="C195" s="195"/>
      <c r="E195" s="7"/>
      <c r="F195" s="136"/>
      <c r="G195" s="368" t="s">
        <v>574</v>
      </c>
      <c r="H195" s="368"/>
      <c r="I195" s="368"/>
      <c r="J195" s="368"/>
      <c r="K195" s="368"/>
      <c r="L195" s="369"/>
      <c r="M195" s="9" t="s">
        <v>622</v>
      </c>
      <c r="N195" s="9" t="s">
        <v>623</v>
      </c>
      <c r="O195" s="9" t="s">
        <v>107</v>
      </c>
      <c r="P195" s="10" t="s">
        <v>108</v>
      </c>
      <c r="Q195" s="136"/>
      <c r="R195" s="136"/>
      <c r="S195" s="136"/>
      <c r="T195" s="136"/>
      <c r="V195" s="7"/>
    </row>
    <row r="196" spans="2:22" ht="18" customHeight="1" thickTop="1">
      <c r="B196" s="355" t="str">
        <f>HYPERLINK("#LAYOUT_p!lay보PMDA1C01","PMDA1C01")</f>
        <v>PMDA1C01</v>
      </c>
      <c r="C196" s="355"/>
      <c r="E196" s="7"/>
      <c r="F196" s="136"/>
      <c r="G196" s="372" t="s">
        <v>1009</v>
      </c>
      <c r="H196" s="372"/>
      <c r="I196" s="372"/>
      <c r="J196" s="372"/>
      <c r="K196" s="372"/>
      <c r="L196" s="373"/>
      <c r="M196" s="20" t="s">
        <v>591</v>
      </c>
      <c r="N196" s="20" t="s">
        <v>592</v>
      </c>
      <c r="O196" s="20" t="s">
        <v>593</v>
      </c>
      <c r="P196" s="25" t="s">
        <v>594</v>
      </c>
      <c r="Q196" s="136"/>
      <c r="R196" s="136"/>
      <c r="S196" s="136"/>
      <c r="T196" s="136"/>
      <c r="V196" s="7"/>
    </row>
    <row r="197" spans="2:22" ht="18" customHeight="1">
      <c r="B197" s="355" t="str">
        <f>HYPERLINK("#LAYOUT_p!lay보PMDA1C02","PMDA1C02")</f>
        <v>PMDA1C02</v>
      </c>
      <c r="C197" s="355"/>
      <c r="E197" s="7"/>
      <c r="F197" s="136"/>
      <c r="G197" s="362" t="s">
        <v>625</v>
      </c>
      <c r="H197" s="362"/>
      <c r="I197" s="362"/>
      <c r="J197" s="362"/>
      <c r="K197" s="362"/>
      <c r="L197" s="363"/>
      <c r="M197" s="22" t="s">
        <v>591</v>
      </c>
      <c r="N197" s="22" t="s">
        <v>592</v>
      </c>
      <c r="O197" s="22" t="s">
        <v>593</v>
      </c>
      <c r="P197" s="24" t="s">
        <v>594</v>
      </c>
      <c r="Q197" s="136"/>
      <c r="R197" s="136"/>
      <c r="S197" s="136"/>
      <c r="T197" s="136"/>
      <c r="V197" s="7"/>
    </row>
    <row r="198" spans="2:22" ht="18" customHeight="1">
      <c r="B198" s="355" t="str">
        <f>HYPERLINK("#LAYOUT_p!lay보PMDA1C03","PMDA1C03")</f>
        <v>PMDA1C03</v>
      </c>
      <c r="C198" s="355"/>
      <c r="E198" s="7"/>
      <c r="F198" s="136"/>
      <c r="G198" s="362" t="s">
        <v>626</v>
      </c>
      <c r="H198" s="362"/>
      <c r="I198" s="362"/>
      <c r="J198" s="362"/>
      <c r="K198" s="362"/>
      <c r="L198" s="363"/>
      <c r="M198" s="22" t="s">
        <v>591</v>
      </c>
      <c r="N198" s="22" t="s">
        <v>592</v>
      </c>
      <c r="O198" s="22" t="s">
        <v>593</v>
      </c>
      <c r="P198" s="24" t="s">
        <v>594</v>
      </c>
      <c r="Q198" s="136"/>
      <c r="R198" s="136"/>
      <c r="S198" s="136"/>
      <c r="T198" s="136"/>
      <c r="V198" s="7"/>
    </row>
    <row r="199" spans="2:22" ht="18" customHeight="1">
      <c r="B199" s="355" t="str">
        <f>HYPERLINK("#LAYOUT_p!lay보PMDA1C04","PMDA1C04")</f>
        <v>PMDA1C04</v>
      </c>
      <c r="C199" s="355"/>
      <c r="E199" s="7"/>
      <c r="F199" s="136"/>
      <c r="G199" s="362" t="s">
        <v>627</v>
      </c>
      <c r="H199" s="362"/>
      <c r="I199" s="362"/>
      <c r="J199" s="362"/>
      <c r="K199" s="362"/>
      <c r="L199" s="363"/>
      <c r="M199" s="22" t="s">
        <v>591</v>
      </c>
      <c r="N199" s="22" t="s">
        <v>592</v>
      </c>
      <c r="O199" s="22" t="s">
        <v>593</v>
      </c>
      <c r="P199" s="24" t="s">
        <v>594</v>
      </c>
      <c r="Q199" s="136"/>
      <c r="R199" s="136"/>
      <c r="S199" s="136"/>
      <c r="T199" s="136"/>
      <c r="V199" s="7"/>
    </row>
    <row r="200" spans="2:22" ht="18" customHeight="1">
      <c r="B200" s="355" t="str">
        <f>HYPERLINK("#LAYOUT_p!lay보PMDA1C05","PMDA1C05")</f>
        <v>PMDA1C05</v>
      </c>
      <c r="C200" s="355"/>
      <c r="E200" s="7"/>
      <c r="F200" s="136"/>
      <c r="G200" s="362" t="s">
        <v>628</v>
      </c>
      <c r="H200" s="362"/>
      <c r="I200" s="362"/>
      <c r="J200" s="362"/>
      <c r="K200" s="362"/>
      <c r="L200" s="363"/>
      <c r="M200" s="22" t="s">
        <v>591</v>
      </c>
      <c r="N200" s="22" t="s">
        <v>592</v>
      </c>
      <c r="O200" s="22" t="s">
        <v>593</v>
      </c>
      <c r="P200" s="24" t="s">
        <v>594</v>
      </c>
      <c r="Q200" s="136"/>
      <c r="R200" s="136"/>
      <c r="S200" s="136"/>
      <c r="T200" s="136"/>
      <c r="V200" s="7"/>
    </row>
    <row r="201" spans="2:22" ht="18" customHeight="1">
      <c r="B201" s="355" t="str">
        <f>HYPERLINK("#LAYOUT_p!lay보PMDA1C06","PMDA1C06")</f>
        <v>PMDA1C06</v>
      </c>
      <c r="C201" s="355"/>
      <c r="E201" s="7"/>
      <c r="F201" s="136"/>
      <c r="G201" s="362" t="s">
        <v>629</v>
      </c>
      <c r="H201" s="362"/>
      <c r="I201" s="362"/>
      <c r="J201" s="362"/>
      <c r="K201" s="362"/>
      <c r="L201" s="363"/>
      <c r="M201" s="26" t="s">
        <v>591</v>
      </c>
      <c r="N201" s="26" t="s">
        <v>592</v>
      </c>
      <c r="O201" s="26" t="s">
        <v>593</v>
      </c>
      <c r="P201" s="27" t="s">
        <v>594</v>
      </c>
      <c r="Q201" s="136"/>
      <c r="R201" s="136"/>
      <c r="S201" s="136"/>
      <c r="T201" s="136"/>
      <c r="V201" s="7"/>
    </row>
    <row r="202" spans="2:22" ht="18" customHeight="1">
      <c r="B202" s="355" t="str">
        <f>HYPERLINK("#LAYOUT_p!lay보PMDA1C07","PMDA1C07")</f>
        <v>PMDA1C07</v>
      </c>
      <c r="C202" s="355"/>
      <c r="E202" s="7"/>
      <c r="F202" s="136"/>
      <c r="G202" s="362" t="s">
        <v>630</v>
      </c>
      <c r="H202" s="362"/>
      <c r="I202" s="362"/>
      <c r="J202" s="362"/>
      <c r="K202" s="362"/>
      <c r="L202" s="363"/>
      <c r="M202" s="26" t="s">
        <v>591</v>
      </c>
      <c r="N202" s="26" t="s">
        <v>592</v>
      </c>
      <c r="O202" s="26" t="s">
        <v>593</v>
      </c>
      <c r="P202" s="27" t="s">
        <v>594</v>
      </c>
      <c r="Q202" s="136"/>
      <c r="R202" s="136"/>
      <c r="S202" s="136"/>
      <c r="T202" s="136"/>
      <c r="V202" s="7"/>
    </row>
    <row r="203" spans="2:22" ht="18" customHeight="1">
      <c r="B203" s="355" t="str">
        <f>HYPERLINK("#LAYOUT_p!lay보PMDA1C08","PMDA1C08")</f>
        <v>PMDA1C08</v>
      </c>
      <c r="C203" s="355"/>
      <c r="E203" s="7"/>
      <c r="F203" s="136"/>
      <c r="G203" s="362" t="s">
        <v>631</v>
      </c>
      <c r="H203" s="362"/>
      <c r="I203" s="362"/>
      <c r="J203" s="362"/>
      <c r="K203" s="362"/>
      <c r="L203" s="363"/>
      <c r="M203" s="22" t="s">
        <v>591</v>
      </c>
      <c r="N203" s="22" t="s">
        <v>592</v>
      </c>
      <c r="O203" s="22" t="s">
        <v>593</v>
      </c>
      <c r="P203" s="24" t="s">
        <v>594</v>
      </c>
      <c r="Q203" s="136"/>
      <c r="R203" s="136"/>
      <c r="S203" s="136"/>
      <c r="T203" s="136"/>
      <c r="V203" s="7"/>
    </row>
    <row r="204" spans="2:22" ht="18" customHeight="1">
      <c r="B204" s="355" t="str">
        <f>HYPERLINK("#LAYOUT_p!lay보PMDA1C09","PMDA1C09")</f>
        <v>PMDA1C09</v>
      </c>
      <c r="C204" s="355"/>
      <c r="E204" s="7"/>
      <c r="F204" s="136"/>
      <c r="G204" s="362" t="s">
        <v>632</v>
      </c>
      <c r="H204" s="362"/>
      <c r="I204" s="362"/>
      <c r="J204" s="362"/>
      <c r="K204" s="362"/>
      <c r="L204" s="363"/>
      <c r="M204" s="22" t="s">
        <v>591</v>
      </c>
      <c r="N204" s="22" t="s">
        <v>592</v>
      </c>
      <c r="O204" s="22" t="s">
        <v>593</v>
      </c>
      <c r="P204" s="24" t="s">
        <v>594</v>
      </c>
      <c r="Q204" s="136"/>
      <c r="R204" s="136"/>
      <c r="S204" s="136"/>
      <c r="T204" s="136"/>
      <c r="V204" s="7"/>
    </row>
    <row r="205" spans="2:22" ht="18" customHeight="1">
      <c r="B205" s="355" t="str">
        <f>HYPERLINK("#LAYOUT_p!lay보PMDA1C10","PMDA1C10")</f>
        <v>PMDA1C10</v>
      </c>
      <c r="C205" s="355"/>
      <c r="E205" s="7"/>
      <c r="F205" s="136"/>
      <c r="G205" s="362" t="s">
        <v>633</v>
      </c>
      <c r="H205" s="362"/>
      <c r="I205" s="362"/>
      <c r="J205" s="362"/>
      <c r="K205" s="362"/>
      <c r="L205" s="363"/>
      <c r="M205" s="22" t="s">
        <v>591</v>
      </c>
      <c r="N205" s="22" t="s">
        <v>592</v>
      </c>
      <c r="O205" s="22" t="s">
        <v>593</v>
      </c>
      <c r="P205" s="24" t="s">
        <v>594</v>
      </c>
      <c r="Q205" s="136"/>
      <c r="R205" s="136"/>
      <c r="S205" s="136"/>
      <c r="T205" s="136"/>
      <c r="V205" s="7"/>
    </row>
    <row r="206" spans="2:22" ht="18" customHeight="1">
      <c r="B206" s="355" t="str">
        <f>HYPERLINK("#LAYOUT_p!lay보PMDA1C11","PMDA1C11")</f>
        <v>PMDA1C11</v>
      </c>
      <c r="C206" s="355"/>
      <c r="E206" s="7"/>
      <c r="F206" s="136"/>
      <c r="G206" s="362" t="s">
        <v>634</v>
      </c>
      <c r="H206" s="362"/>
      <c r="I206" s="362"/>
      <c r="J206" s="362"/>
      <c r="K206" s="362"/>
      <c r="L206" s="363"/>
      <c r="M206" s="26" t="s">
        <v>591</v>
      </c>
      <c r="N206" s="26" t="s">
        <v>592</v>
      </c>
      <c r="O206" s="26" t="s">
        <v>593</v>
      </c>
      <c r="P206" s="27" t="s">
        <v>594</v>
      </c>
      <c r="Q206" s="136"/>
      <c r="R206" s="136"/>
      <c r="S206" s="136"/>
      <c r="T206" s="136"/>
      <c r="V206" s="7"/>
    </row>
    <row r="207" spans="2:22" ht="18" customHeight="1">
      <c r="B207" s="355" t="str">
        <f>HYPERLINK("#LAYOUT_p!lay보PMDA1C12","PMDA1C12")</f>
        <v>PMDA1C12</v>
      </c>
      <c r="C207" s="355"/>
      <c r="E207" s="7"/>
      <c r="F207" s="136"/>
      <c r="G207" s="362" t="s">
        <v>635</v>
      </c>
      <c r="H207" s="362"/>
      <c r="I207" s="362"/>
      <c r="J207" s="362"/>
      <c r="K207" s="362"/>
      <c r="L207" s="363"/>
      <c r="M207" s="22" t="s">
        <v>591</v>
      </c>
      <c r="N207" s="22" t="s">
        <v>592</v>
      </c>
      <c r="O207" s="22" t="s">
        <v>593</v>
      </c>
      <c r="P207" s="24" t="s">
        <v>594</v>
      </c>
      <c r="Q207" s="136"/>
      <c r="R207" s="136"/>
      <c r="S207" s="136"/>
      <c r="T207" s="136"/>
      <c r="V207" s="7"/>
    </row>
    <row r="208" spans="2:22" ht="18" customHeight="1">
      <c r="B208" s="355" t="str">
        <f>HYPERLINK("#LAYOUT_p!lay보PMDA1C13","PMDA1C13")</f>
        <v>PMDA1C13</v>
      </c>
      <c r="C208" s="355"/>
      <c r="E208" s="7"/>
      <c r="F208" s="136"/>
      <c r="G208" s="362" t="s">
        <v>636</v>
      </c>
      <c r="H208" s="362"/>
      <c r="I208" s="362"/>
      <c r="J208" s="362"/>
      <c r="K208" s="362"/>
      <c r="L208" s="363"/>
      <c r="M208" s="26" t="s">
        <v>591</v>
      </c>
      <c r="N208" s="26" t="s">
        <v>592</v>
      </c>
      <c r="O208" s="26" t="s">
        <v>593</v>
      </c>
      <c r="P208" s="27" t="s">
        <v>594</v>
      </c>
      <c r="Q208" s="136"/>
      <c r="R208" s="136"/>
      <c r="S208" s="136"/>
      <c r="T208" s="136"/>
      <c r="V208" s="7"/>
    </row>
    <row r="209" spans="2:22" ht="18" customHeight="1">
      <c r="B209" s="355" t="str">
        <f>HYPERLINK("#LAYOUT_p!lay보PMDA1C14","PMDA1C14")</f>
        <v>PMDA1C14</v>
      </c>
      <c r="C209" s="355"/>
      <c r="E209" s="7"/>
      <c r="F209" s="136"/>
      <c r="G209" s="362" t="s">
        <v>637</v>
      </c>
      <c r="H209" s="362"/>
      <c r="I209" s="362"/>
      <c r="J209" s="362"/>
      <c r="K209" s="362"/>
      <c r="L209" s="363"/>
      <c r="M209" s="22" t="s">
        <v>591</v>
      </c>
      <c r="N209" s="22" t="s">
        <v>592</v>
      </c>
      <c r="O209" s="22" t="s">
        <v>593</v>
      </c>
      <c r="P209" s="24" t="s">
        <v>594</v>
      </c>
      <c r="Q209" s="136"/>
      <c r="R209" s="136"/>
      <c r="S209" s="136"/>
      <c r="T209" s="136"/>
      <c r="V209" s="7"/>
    </row>
    <row r="210" spans="2:22" ht="18" customHeight="1">
      <c r="B210" s="355" t="str">
        <f>HYPERLINK("#LAYOUT_p!lay보PMDA1C15","PMDA1C15")</f>
        <v>PMDA1C15</v>
      </c>
      <c r="C210" s="355"/>
      <c r="E210" s="7"/>
      <c r="F210" s="136"/>
      <c r="G210" s="362" t="s">
        <v>638</v>
      </c>
      <c r="H210" s="362"/>
      <c r="I210" s="362"/>
      <c r="J210" s="362"/>
      <c r="K210" s="362"/>
      <c r="L210" s="363"/>
      <c r="M210" s="22" t="s">
        <v>591</v>
      </c>
      <c r="N210" s="22" t="s">
        <v>592</v>
      </c>
      <c r="O210" s="22" t="s">
        <v>593</v>
      </c>
      <c r="P210" s="24" t="s">
        <v>594</v>
      </c>
      <c r="Q210" s="136"/>
      <c r="R210" s="136"/>
      <c r="S210" s="136"/>
      <c r="T210" s="136"/>
      <c r="V210" s="7"/>
    </row>
    <row r="211" spans="2:22" ht="18" customHeight="1">
      <c r="B211" s="195"/>
      <c r="C211" s="195"/>
      <c r="E211" s="7"/>
      <c r="F211" s="136"/>
      <c r="G211" s="136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V211" s="7"/>
    </row>
    <row r="212" spans="2:22" ht="18" customHeight="1">
      <c r="B212" s="195"/>
      <c r="C212" s="195"/>
      <c r="E212" s="7"/>
      <c r="F212" s="136"/>
      <c r="G212" s="136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V212" s="7"/>
    </row>
    <row r="213" spans="2:22" ht="18" customHeight="1" thickBot="1">
      <c r="B213" s="195"/>
      <c r="C213" s="195"/>
      <c r="E213" s="7"/>
      <c r="F213" s="136" t="s">
        <v>1010</v>
      </c>
      <c r="G213" s="136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V213" s="7"/>
    </row>
    <row r="214" spans="2:22" ht="31.5" thickTop="1" thickBot="1">
      <c r="B214" s="195"/>
      <c r="C214" s="195"/>
      <c r="E214" s="7"/>
      <c r="F214" s="136"/>
      <c r="G214" s="397" t="s">
        <v>643</v>
      </c>
      <c r="H214" s="397"/>
      <c r="I214" s="397"/>
      <c r="J214" s="397"/>
      <c r="K214" s="397"/>
      <c r="L214" s="398"/>
      <c r="M214" s="9" t="s">
        <v>622</v>
      </c>
      <c r="N214" s="9" t="s">
        <v>623</v>
      </c>
      <c r="O214" s="9" t="s">
        <v>107</v>
      </c>
      <c r="P214" s="10" t="s">
        <v>108</v>
      </c>
      <c r="Q214" s="136"/>
      <c r="R214" s="136"/>
      <c r="S214" s="136"/>
      <c r="T214" s="136"/>
      <c r="V214" s="7"/>
    </row>
    <row r="215" spans="2:22" ht="18" customHeight="1" thickTop="1">
      <c r="B215" s="355" t="str">
        <f>HYPERLINK("#LAYOUT_p!lay보PPSY1A01","PPSY1A01")</f>
        <v>PPSY1A01</v>
      </c>
      <c r="C215" s="355"/>
      <c r="E215" s="7"/>
      <c r="F215" s="136"/>
      <c r="G215" s="366" t="s">
        <v>668</v>
      </c>
      <c r="H215" s="366"/>
      <c r="I215" s="366"/>
      <c r="J215" s="366"/>
      <c r="K215" s="366"/>
      <c r="L215" s="367"/>
      <c r="M215" s="20" t="s">
        <v>591</v>
      </c>
      <c r="N215" s="20" t="s">
        <v>592</v>
      </c>
      <c r="O215" s="20" t="s">
        <v>593</v>
      </c>
      <c r="P215" s="25" t="s">
        <v>594</v>
      </c>
      <c r="Q215" s="136"/>
      <c r="R215" s="136"/>
      <c r="S215" s="136"/>
      <c r="T215" s="136"/>
      <c r="V215" s="7"/>
    </row>
    <row r="216" spans="2:22" ht="18" customHeight="1">
      <c r="B216" s="355" t="str">
        <f>HYPERLINK("#LAYOUT_p!lay보PPSY1A02","PPSY1A02")</f>
        <v>PPSY1A02</v>
      </c>
      <c r="C216" s="355"/>
      <c r="E216" s="7"/>
      <c r="F216" s="136"/>
      <c r="G216" s="362" t="s">
        <v>669</v>
      </c>
      <c r="H216" s="362"/>
      <c r="I216" s="362"/>
      <c r="J216" s="362"/>
      <c r="K216" s="362"/>
      <c r="L216" s="363"/>
      <c r="M216" s="22" t="s">
        <v>591</v>
      </c>
      <c r="N216" s="22" t="s">
        <v>592</v>
      </c>
      <c r="O216" s="22" t="s">
        <v>593</v>
      </c>
      <c r="P216" s="24" t="s">
        <v>594</v>
      </c>
      <c r="Q216" s="136"/>
      <c r="R216" s="136"/>
      <c r="S216" s="136"/>
      <c r="T216" s="136"/>
      <c r="V216" s="7"/>
    </row>
    <row r="217" spans="2:22" ht="18" customHeight="1">
      <c r="B217" s="355" t="str">
        <f>HYPERLINK("#LAYOUT_p!lay보PPSY1A03","PPSY1A03")</f>
        <v>PPSY1A03</v>
      </c>
      <c r="C217" s="355"/>
      <c r="E217" s="7"/>
      <c r="F217" s="136"/>
      <c r="G217" s="362" t="s">
        <v>670</v>
      </c>
      <c r="H217" s="362"/>
      <c r="I217" s="362"/>
      <c r="J217" s="362"/>
      <c r="K217" s="362"/>
      <c r="L217" s="363"/>
      <c r="M217" s="22" t="s">
        <v>591</v>
      </c>
      <c r="N217" s="22" t="s">
        <v>592</v>
      </c>
      <c r="O217" s="22" t="s">
        <v>593</v>
      </c>
      <c r="P217" s="24" t="s">
        <v>594</v>
      </c>
      <c r="Q217" s="136"/>
      <c r="R217" s="136"/>
      <c r="S217" s="136"/>
      <c r="T217" s="136"/>
      <c r="V217" s="7"/>
    </row>
    <row r="218" spans="2:22" ht="18" customHeight="1">
      <c r="B218" s="355" t="str">
        <f>HYPERLINK("#LAYOUT_p!lay보PPSY1A04","PPSY1A04")</f>
        <v>PPSY1A04</v>
      </c>
      <c r="C218" s="355"/>
      <c r="E218" s="7"/>
      <c r="F218" s="136"/>
      <c r="G218" s="362" t="s">
        <v>671</v>
      </c>
      <c r="H218" s="362"/>
      <c r="I218" s="362"/>
      <c r="J218" s="362"/>
      <c r="K218" s="362"/>
      <c r="L218" s="363"/>
      <c r="M218" s="22" t="s">
        <v>591</v>
      </c>
      <c r="N218" s="22" t="s">
        <v>592</v>
      </c>
      <c r="O218" s="22" t="s">
        <v>593</v>
      </c>
      <c r="P218" s="24" t="s">
        <v>594</v>
      </c>
      <c r="Q218" s="136"/>
      <c r="R218" s="136"/>
      <c r="S218" s="136"/>
      <c r="T218" s="136"/>
      <c r="V218" s="7"/>
    </row>
    <row r="219" spans="2:22" ht="18" customHeight="1">
      <c r="B219" s="355" t="str">
        <f>HYPERLINK("#LAYOUT_p!lay보PPSY1A05","PPSY1A05")</f>
        <v>PPSY1A05</v>
      </c>
      <c r="C219" s="355"/>
      <c r="E219" s="7"/>
      <c r="F219" s="136"/>
      <c r="G219" s="362" t="s">
        <v>672</v>
      </c>
      <c r="H219" s="362"/>
      <c r="I219" s="362"/>
      <c r="J219" s="362"/>
      <c r="K219" s="362"/>
      <c r="L219" s="363"/>
      <c r="M219" s="22" t="s">
        <v>591</v>
      </c>
      <c r="N219" s="22" t="s">
        <v>592</v>
      </c>
      <c r="O219" s="22" t="s">
        <v>593</v>
      </c>
      <c r="P219" s="24" t="s">
        <v>594</v>
      </c>
      <c r="Q219" s="136"/>
      <c r="R219" s="136"/>
      <c r="S219" s="136"/>
      <c r="T219" s="136"/>
      <c r="V219" s="7"/>
    </row>
    <row r="220" spans="2:22" ht="18" customHeight="1">
      <c r="B220" s="195"/>
      <c r="C220" s="195"/>
      <c r="E220" s="7"/>
      <c r="F220" s="136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V220" s="7"/>
    </row>
    <row r="221" spans="2:22" ht="18" customHeight="1">
      <c r="B221" s="195"/>
      <c r="C221" s="195"/>
      <c r="E221" s="7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V221" s="7"/>
    </row>
    <row r="222" spans="2:22" ht="18" customHeight="1" thickBot="1">
      <c r="B222" s="195"/>
      <c r="C222" s="195"/>
      <c r="E222" s="7"/>
      <c r="F222" s="136" t="s">
        <v>1011</v>
      </c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V222" s="7"/>
    </row>
    <row r="223" spans="2:22" ht="31.5" thickTop="1" thickBot="1">
      <c r="B223" s="195"/>
      <c r="C223" s="195"/>
      <c r="E223" s="7"/>
      <c r="F223" s="136"/>
      <c r="G223" s="397" t="s">
        <v>574</v>
      </c>
      <c r="H223" s="397"/>
      <c r="I223" s="397"/>
      <c r="J223" s="397"/>
      <c r="K223" s="397"/>
      <c r="L223" s="398"/>
      <c r="M223" s="9" t="s">
        <v>674</v>
      </c>
      <c r="N223" s="9" t="s">
        <v>675</v>
      </c>
      <c r="O223" s="9" t="s">
        <v>676</v>
      </c>
      <c r="P223" s="10" t="s">
        <v>677</v>
      </c>
      <c r="Q223" s="136"/>
      <c r="R223" s="136"/>
      <c r="S223" s="136"/>
      <c r="T223" s="136"/>
      <c r="V223" s="7"/>
    </row>
    <row r="224" spans="2:22" ht="18" customHeight="1" thickTop="1">
      <c r="B224" s="355" t="str">
        <f>HYPERLINK("#LAYOUT_p!lay보PPSY2A01","PPSY2A01")</f>
        <v>PPSY2A01</v>
      </c>
      <c r="C224" s="355"/>
      <c r="E224" s="7"/>
      <c r="F224" s="136"/>
      <c r="G224" s="366" t="s">
        <v>678</v>
      </c>
      <c r="H224" s="366"/>
      <c r="I224" s="366"/>
      <c r="J224" s="366"/>
      <c r="K224" s="366"/>
      <c r="L224" s="367"/>
      <c r="M224" s="20" t="s">
        <v>591</v>
      </c>
      <c r="N224" s="20" t="s">
        <v>592</v>
      </c>
      <c r="O224" s="20" t="s">
        <v>593</v>
      </c>
      <c r="P224" s="25" t="s">
        <v>594</v>
      </c>
      <c r="Q224" s="136"/>
      <c r="R224" s="136"/>
      <c r="S224" s="136"/>
      <c r="T224" s="136"/>
      <c r="V224" s="7"/>
    </row>
    <row r="225" spans="2:22" ht="18" customHeight="1">
      <c r="B225" s="355" t="str">
        <f>HYPERLINK("#LAYOUT_p!lay보PPSY2A02","PPSY2A02")</f>
        <v>PPSY2A02</v>
      </c>
      <c r="C225" s="355"/>
      <c r="E225" s="7"/>
      <c r="F225" s="136"/>
      <c r="G225" s="366" t="s">
        <v>679</v>
      </c>
      <c r="H225" s="366"/>
      <c r="I225" s="366"/>
      <c r="J225" s="366"/>
      <c r="K225" s="366"/>
      <c r="L225" s="367"/>
      <c r="M225" s="31" t="s">
        <v>591</v>
      </c>
      <c r="N225" s="31" t="s">
        <v>592</v>
      </c>
      <c r="O225" s="31" t="s">
        <v>593</v>
      </c>
      <c r="P225" s="32" t="s">
        <v>594</v>
      </c>
      <c r="Q225" s="136"/>
      <c r="R225" s="136"/>
      <c r="S225" s="136"/>
      <c r="T225" s="136"/>
      <c r="V225" s="7"/>
    </row>
    <row r="226" spans="2:22" ht="18" customHeight="1">
      <c r="B226" s="195"/>
      <c r="C226" s="195"/>
      <c r="E226" s="7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V226" s="7"/>
    </row>
    <row r="227" spans="2:22" ht="18" customHeight="1">
      <c r="B227" s="195"/>
      <c r="C227" s="195"/>
      <c r="E227" s="7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V227" s="7"/>
    </row>
    <row r="228" spans="2:22" ht="18" customHeight="1" thickBot="1">
      <c r="B228" s="195"/>
      <c r="C228" s="195"/>
      <c r="E228" s="7"/>
      <c r="F228" s="136" t="s">
        <v>1012</v>
      </c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V228" s="7"/>
    </row>
    <row r="229" spans="2:22" ht="31.5" thickTop="1" thickBot="1">
      <c r="B229" s="195"/>
      <c r="C229" s="195"/>
      <c r="E229" s="7"/>
      <c r="F229" s="136"/>
      <c r="G229" s="397" t="s">
        <v>643</v>
      </c>
      <c r="H229" s="397"/>
      <c r="I229" s="397"/>
      <c r="J229" s="397"/>
      <c r="K229" s="397"/>
      <c r="L229" s="398"/>
      <c r="M229" s="9" t="s">
        <v>622</v>
      </c>
      <c r="N229" s="9" t="s">
        <v>623</v>
      </c>
      <c r="O229" s="9" t="s">
        <v>107</v>
      </c>
      <c r="P229" s="10" t="s">
        <v>108</v>
      </c>
      <c r="Q229" s="136"/>
      <c r="R229" s="136"/>
      <c r="S229" s="136"/>
      <c r="T229" s="136"/>
      <c r="V229" s="7"/>
    </row>
    <row r="230" spans="2:22" ht="31.5" customHeight="1" thickTop="1">
      <c r="B230" s="355" t="str">
        <f>HYPERLINK("#LAYOUT_p!lay보PPSY2A03","PPSY2A03")</f>
        <v>PPSY2A03</v>
      </c>
      <c r="C230" s="355"/>
      <c r="E230" s="7"/>
      <c r="F230" s="136"/>
      <c r="G230" s="366" t="s">
        <v>681</v>
      </c>
      <c r="H230" s="366"/>
      <c r="I230" s="366"/>
      <c r="J230" s="366"/>
      <c r="K230" s="366"/>
      <c r="L230" s="367"/>
      <c r="M230" s="20" t="s">
        <v>591</v>
      </c>
      <c r="N230" s="20" t="s">
        <v>592</v>
      </c>
      <c r="O230" s="20" t="s">
        <v>593</v>
      </c>
      <c r="P230" s="25" t="s">
        <v>594</v>
      </c>
      <c r="Q230" s="136"/>
      <c r="R230" s="136"/>
      <c r="S230" s="136"/>
      <c r="T230" s="136"/>
      <c r="V230" s="7"/>
    </row>
    <row r="231" spans="2:22" ht="31.5" customHeight="1">
      <c r="B231" s="355" t="str">
        <f>HYPERLINK("#LAYOUT_p!lay보PPSY2A04","PPSY2A04")</f>
        <v>PPSY2A04</v>
      </c>
      <c r="C231" s="355"/>
      <c r="E231" s="7"/>
      <c r="F231" s="136"/>
      <c r="G231" s="366" t="s">
        <v>682</v>
      </c>
      <c r="H231" s="366"/>
      <c r="I231" s="366"/>
      <c r="J231" s="366"/>
      <c r="K231" s="366"/>
      <c r="L231" s="367"/>
      <c r="M231" s="31" t="s">
        <v>591</v>
      </c>
      <c r="N231" s="31" t="s">
        <v>592</v>
      </c>
      <c r="O231" s="31" t="s">
        <v>593</v>
      </c>
      <c r="P231" s="32" t="s">
        <v>594</v>
      </c>
      <c r="Q231" s="136"/>
      <c r="R231" s="136"/>
      <c r="S231" s="136"/>
      <c r="T231" s="136"/>
      <c r="V231" s="7"/>
    </row>
    <row r="232" spans="2:22" ht="18" customHeight="1">
      <c r="B232" s="195"/>
      <c r="C232" s="195"/>
      <c r="E232" s="7"/>
      <c r="F232" s="136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V232" s="7"/>
    </row>
    <row r="233" spans="2:22" ht="18" customHeight="1">
      <c r="B233" s="195"/>
      <c r="C233" s="195"/>
      <c r="E233" s="7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V233" s="7"/>
    </row>
    <row r="234" spans="2:22" ht="18" customHeight="1" thickBot="1">
      <c r="B234" s="195"/>
      <c r="C234" s="195"/>
      <c r="E234" s="7"/>
      <c r="F234" s="136" t="s">
        <v>1013</v>
      </c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V234" s="7"/>
    </row>
    <row r="235" spans="2:22" ht="31.5" thickTop="1" thickBot="1">
      <c r="B235" s="195"/>
      <c r="C235" s="195"/>
      <c r="E235" s="7"/>
      <c r="F235" s="136"/>
      <c r="G235" s="397" t="s">
        <v>643</v>
      </c>
      <c r="H235" s="397"/>
      <c r="I235" s="397"/>
      <c r="J235" s="397"/>
      <c r="K235" s="397"/>
      <c r="L235" s="398"/>
      <c r="M235" s="9" t="s">
        <v>622</v>
      </c>
      <c r="N235" s="9" t="s">
        <v>623</v>
      </c>
      <c r="O235" s="9" t="s">
        <v>107</v>
      </c>
      <c r="P235" s="10" t="s">
        <v>108</v>
      </c>
      <c r="Q235" s="136"/>
      <c r="R235" s="136"/>
      <c r="S235" s="136"/>
      <c r="T235" s="136"/>
      <c r="V235" s="7"/>
    </row>
    <row r="236" spans="2:22" ht="18" customHeight="1" thickTop="1">
      <c r="B236" s="355" t="str">
        <f>HYPERLINK("#LAYOUT_p!lay보PPSY3A01","PPSY3A01")</f>
        <v>PPSY3A01</v>
      </c>
      <c r="C236" s="355"/>
      <c r="E236" s="7"/>
      <c r="F236" s="136"/>
      <c r="G236" s="366" t="s">
        <v>684</v>
      </c>
      <c r="H236" s="366"/>
      <c r="I236" s="366"/>
      <c r="J236" s="366"/>
      <c r="K236" s="366"/>
      <c r="L236" s="367"/>
      <c r="M236" s="20" t="s">
        <v>591</v>
      </c>
      <c r="N236" s="20" t="s">
        <v>592</v>
      </c>
      <c r="O236" s="20" t="s">
        <v>593</v>
      </c>
      <c r="P236" s="25" t="s">
        <v>594</v>
      </c>
      <c r="Q236" s="136"/>
      <c r="R236" s="136"/>
      <c r="S236" s="136"/>
      <c r="T236" s="136"/>
      <c r="V236" s="7"/>
    </row>
    <row r="237" spans="2:22" ht="18" customHeight="1">
      <c r="B237" s="355" t="str">
        <f>HYPERLINK("#LAYOUT_p!lay보PPSY3A02","PPSY3A02")</f>
        <v>PPSY3A02</v>
      </c>
      <c r="C237" s="355"/>
      <c r="E237" s="7"/>
      <c r="F237" s="136"/>
      <c r="G237" s="366" t="s">
        <v>685</v>
      </c>
      <c r="H237" s="366"/>
      <c r="I237" s="366"/>
      <c r="J237" s="366"/>
      <c r="K237" s="366"/>
      <c r="L237" s="367"/>
      <c r="M237" s="22" t="s">
        <v>591</v>
      </c>
      <c r="N237" s="22" t="s">
        <v>592</v>
      </c>
      <c r="O237" s="22" t="s">
        <v>593</v>
      </c>
      <c r="P237" s="24" t="s">
        <v>594</v>
      </c>
      <c r="Q237" s="136"/>
      <c r="R237" s="136"/>
      <c r="S237" s="136"/>
      <c r="T237" s="136"/>
      <c r="V237" s="7"/>
    </row>
    <row r="238" spans="2:22" ht="18" customHeight="1">
      <c r="B238" s="355" t="str">
        <f>HYPERLINK("#LAYOUT_p!lay보PPSY3A03","PPSY3A03")</f>
        <v>PPSY3A03</v>
      </c>
      <c r="C238" s="355"/>
      <c r="E238" s="7"/>
      <c r="F238" s="136"/>
      <c r="G238" s="366" t="s">
        <v>686</v>
      </c>
      <c r="H238" s="366"/>
      <c r="I238" s="366"/>
      <c r="J238" s="366"/>
      <c r="K238" s="366"/>
      <c r="L238" s="367"/>
      <c r="M238" s="22" t="s">
        <v>591</v>
      </c>
      <c r="N238" s="22" t="s">
        <v>592</v>
      </c>
      <c r="O238" s="22" t="s">
        <v>593</v>
      </c>
      <c r="P238" s="24" t="s">
        <v>594</v>
      </c>
      <c r="Q238" s="136"/>
      <c r="R238" s="136"/>
      <c r="S238" s="136"/>
      <c r="T238" s="136"/>
      <c r="V238" s="7"/>
    </row>
    <row r="239" spans="2:22" ht="18" customHeight="1">
      <c r="B239" s="355" t="str">
        <f>HYPERLINK("#LAYOUT_p!lay보PPSY3A04","PPSY3A04")</f>
        <v>PPSY3A04</v>
      </c>
      <c r="C239" s="355"/>
      <c r="E239" s="7"/>
      <c r="F239" s="136"/>
      <c r="G239" s="366" t="s">
        <v>687</v>
      </c>
      <c r="H239" s="366"/>
      <c r="I239" s="366"/>
      <c r="J239" s="366"/>
      <c r="K239" s="366"/>
      <c r="L239" s="367"/>
      <c r="M239" s="22" t="s">
        <v>591</v>
      </c>
      <c r="N239" s="22" t="s">
        <v>592</v>
      </c>
      <c r="O239" s="22" t="s">
        <v>593</v>
      </c>
      <c r="P239" s="24" t="s">
        <v>594</v>
      </c>
      <c r="Q239" s="136"/>
      <c r="R239" s="136"/>
      <c r="S239" s="136"/>
      <c r="T239" s="136"/>
      <c r="V239" s="7"/>
    </row>
    <row r="240" spans="2:22" ht="18" customHeight="1">
      <c r="B240" s="355" t="str">
        <f>HYPERLINK("#LAYOUT_p!lay보PPSY3A05","PPSY3A05")</f>
        <v>PPSY3A05</v>
      </c>
      <c r="C240" s="355"/>
      <c r="E240" s="7"/>
      <c r="F240" s="136"/>
      <c r="G240" s="366" t="s">
        <v>688</v>
      </c>
      <c r="H240" s="366"/>
      <c r="I240" s="366"/>
      <c r="J240" s="366"/>
      <c r="K240" s="366"/>
      <c r="L240" s="367"/>
      <c r="M240" s="22" t="s">
        <v>591</v>
      </c>
      <c r="N240" s="22" t="s">
        <v>592</v>
      </c>
      <c r="O240" s="22" t="s">
        <v>593</v>
      </c>
      <c r="P240" s="24" t="s">
        <v>594</v>
      </c>
      <c r="Q240" s="136"/>
      <c r="R240" s="136"/>
      <c r="S240" s="136"/>
      <c r="T240" s="136"/>
      <c r="V240" s="7"/>
    </row>
    <row r="241" spans="2:22" ht="18" customHeight="1">
      <c r="B241" s="355" t="str">
        <f>HYPERLINK("#LAYOUT_p!lay보PPSY3A06","PPSY3A06")</f>
        <v>PPSY3A06</v>
      </c>
      <c r="C241" s="355"/>
      <c r="E241" s="7"/>
      <c r="F241" s="136"/>
      <c r="G241" s="366" t="s">
        <v>689</v>
      </c>
      <c r="H241" s="366"/>
      <c r="I241" s="366"/>
      <c r="J241" s="366"/>
      <c r="K241" s="366"/>
      <c r="L241" s="367"/>
      <c r="M241" s="22" t="s">
        <v>591</v>
      </c>
      <c r="N241" s="22" t="s">
        <v>592</v>
      </c>
      <c r="O241" s="22" t="s">
        <v>593</v>
      </c>
      <c r="P241" s="24" t="s">
        <v>594</v>
      </c>
      <c r="Q241" s="136"/>
      <c r="R241" s="136"/>
      <c r="S241" s="136"/>
      <c r="T241" s="136"/>
      <c r="V241" s="7"/>
    </row>
    <row r="242" spans="2:22" ht="18" customHeight="1">
      <c r="B242" s="355" t="str">
        <f>HYPERLINK("#LAYOUT_p!lay보PPSY3A07","PPSY3A07")</f>
        <v>PPSY3A07</v>
      </c>
      <c r="C242" s="355"/>
      <c r="E242" s="7"/>
      <c r="F242" s="136"/>
      <c r="G242" s="366" t="s">
        <v>690</v>
      </c>
      <c r="H242" s="366"/>
      <c r="I242" s="366"/>
      <c r="J242" s="366"/>
      <c r="K242" s="366"/>
      <c r="L242" s="367"/>
      <c r="M242" s="22" t="s">
        <v>591</v>
      </c>
      <c r="N242" s="22" t="s">
        <v>592</v>
      </c>
      <c r="O242" s="22" t="s">
        <v>593</v>
      </c>
      <c r="P242" s="24" t="s">
        <v>594</v>
      </c>
      <c r="Q242" s="136"/>
      <c r="R242" s="136"/>
      <c r="S242" s="136"/>
      <c r="T242" s="136"/>
      <c r="V242" s="7"/>
    </row>
    <row r="243" spans="2:22" ht="18" customHeight="1">
      <c r="B243" s="355" t="str">
        <f>HYPERLINK("#LAYOUT_p!lay보PPSY3A08","PPSY3A08")</f>
        <v>PPSY3A08</v>
      </c>
      <c r="C243" s="355"/>
      <c r="E243" s="7"/>
      <c r="F243" s="136"/>
      <c r="G243" s="366" t="s">
        <v>691</v>
      </c>
      <c r="H243" s="366"/>
      <c r="I243" s="366"/>
      <c r="J243" s="366"/>
      <c r="K243" s="366"/>
      <c r="L243" s="367"/>
      <c r="M243" s="22" t="s">
        <v>591</v>
      </c>
      <c r="N243" s="22" t="s">
        <v>592</v>
      </c>
      <c r="O243" s="22" t="s">
        <v>593</v>
      </c>
      <c r="P243" s="24" t="s">
        <v>594</v>
      </c>
      <c r="Q243" s="136"/>
      <c r="R243" s="136"/>
      <c r="S243" s="136"/>
      <c r="T243" s="136"/>
      <c r="V243" s="7"/>
    </row>
    <row r="244" spans="2:22" ht="18" customHeight="1">
      <c r="B244" s="355" t="str">
        <f>HYPERLINK("#LAYOUT_p!lay보PPSY3A09","PPSY3A09")</f>
        <v>PPSY3A09</v>
      </c>
      <c r="C244" s="355"/>
      <c r="E244" s="7"/>
      <c r="F244" s="136"/>
      <c r="G244" s="366" t="s">
        <v>692</v>
      </c>
      <c r="H244" s="366"/>
      <c r="I244" s="366"/>
      <c r="J244" s="366"/>
      <c r="K244" s="366"/>
      <c r="L244" s="367"/>
      <c r="M244" s="22" t="s">
        <v>591</v>
      </c>
      <c r="N244" s="22" t="s">
        <v>592</v>
      </c>
      <c r="O244" s="22" t="s">
        <v>593</v>
      </c>
      <c r="P244" s="24" t="s">
        <v>594</v>
      </c>
      <c r="Q244" s="136"/>
      <c r="R244" s="136"/>
      <c r="S244" s="136"/>
      <c r="T244" s="136"/>
      <c r="V244" s="7"/>
    </row>
    <row r="245" spans="2:22" ht="18" customHeight="1">
      <c r="B245" s="355" t="str">
        <f>HYPERLINK("#LAYOUT_p!lay보PPSY3A10","PPSY3A10")</f>
        <v>PPSY3A10</v>
      </c>
      <c r="C245" s="355"/>
      <c r="E245" s="7"/>
      <c r="F245" s="136"/>
      <c r="G245" s="366" t="s">
        <v>693</v>
      </c>
      <c r="H245" s="366"/>
      <c r="I245" s="366"/>
      <c r="J245" s="366"/>
      <c r="K245" s="366"/>
      <c r="L245" s="367"/>
      <c r="M245" s="22" t="s">
        <v>591</v>
      </c>
      <c r="N245" s="22" t="s">
        <v>592</v>
      </c>
      <c r="O245" s="22" t="s">
        <v>593</v>
      </c>
      <c r="P245" s="24" t="s">
        <v>594</v>
      </c>
      <c r="Q245" s="136"/>
      <c r="R245" s="136"/>
      <c r="S245" s="136"/>
      <c r="T245" s="136"/>
      <c r="V245" s="7"/>
    </row>
    <row r="246" spans="2:22" ht="18" customHeight="1">
      <c r="B246" s="195"/>
      <c r="C246" s="195"/>
      <c r="E246" s="7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V246" s="7"/>
    </row>
    <row r="247" spans="2:22" ht="18" customHeight="1">
      <c r="B247" s="195"/>
      <c r="C247" s="195"/>
      <c r="E247" s="7"/>
      <c r="F247" s="136"/>
      <c r="G247" s="136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V247" s="7"/>
    </row>
    <row r="248" spans="2:22" ht="18" customHeight="1" thickBot="1">
      <c r="B248" s="195"/>
      <c r="C248" s="195"/>
      <c r="E248" s="7"/>
      <c r="F248" s="136" t="s">
        <v>1014</v>
      </c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V248" s="7"/>
    </row>
    <row r="249" spans="2:22" ht="18" customHeight="1" thickTop="1" thickBot="1">
      <c r="B249" s="195"/>
      <c r="C249" s="195"/>
      <c r="E249" s="7"/>
      <c r="F249" s="136"/>
      <c r="G249" s="368" t="s">
        <v>899</v>
      </c>
      <c r="H249" s="368"/>
      <c r="I249" s="409"/>
      <c r="J249" s="52" t="s">
        <v>900</v>
      </c>
      <c r="K249" s="418" t="s">
        <v>899</v>
      </c>
      <c r="L249" s="368"/>
      <c r="M249" s="409"/>
      <c r="N249" s="53" t="s">
        <v>900</v>
      </c>
      <c r="O249" s="136"/>
      <c r="P249" s="136"/>
      <c r="Q249" s="136"/>
      <c r="R249" s="136"/>
      <c r="S249" s="136"/>
      <c r="T249" s="136"/>
      <c r="V249" s="7"/>
    </row>
    <row r="250" spans="2:22" ht="18" customHeight="1" thickTop="1">
      <c r="B250" s="195" t="str">
        <f>HYPERLINK("#LAYOUT_p!lay보PPSY4A01","PPSY4A01")</f>
        <v>PPSY4A01</v>
      </c>
      <c r="C250" s="195" t="str">
        <f>HYPERLINK("#LAYOUT_p!lay보PPSY4A02","PPSY4A02")</f>
        <v>PPSY4A02</v>
      </c>
      <c r="E250" s="7"/>
      <c r="F250" s="136"/>
      <c r="G250" s="420" t="s">
        <v>384</v>
      </c>
      <c r="H250" s="420"/>
      <c r="I250" s="421"/>
      <c r="J250" s="54"/>
      <c r="K250" s="419" t="s">
        <v>387</v>
      </c>
      <c r="L250" s="420"/>
      <c r="M250" s="421"/>
      <c r="N250" s="55"/>
      <c r="O250" s="136"/>
      <c r="P250" s="136"/>
      <c r="Q250" s="136"/>
      <c r="R250" s="136"/>
      <c r="S250" s="136"/>
      <c r="T250" s="136"/>
      <c r="V250" s="7"/>
    </row>
    <row r="251" spans="2:22" ht="18" customHeight="1">
      <c r="B251" s="195" t="str">
        <f>HYPERLINK("#LAYOUT_p!lay보PPSY4A03","PPSY4A03")</f>
        <v>PPSY4A03</v>
      </c>
      <c r="C251" s="195" t="str">
        <f>HYPERLINK("#LAYOUT_p!lay보PPSY4A04","PPSY4A04")</f>
        <v>PPSY4A04</v>
      </c>
      <c r="E251" s="7"/>
      <c r="F251" s="136"/>
      <c r="G251" s="411" t="s">
        <v>388</v>
      </c>
      <c r="H251" s="411"/>
      <c r="I251" s="412"/>
      <c r="J251" s="56"/>
      <c r="K251" s="410" t="s">
        <v>389</v>
      </c>
      <c r="L251" s="411"/>
      <c r="M251" s="412"/>
      <c r="N251" s="57"/>
      <c r="O251" s="136"/>
      <c r="P251" s="136"/>
      <c r="Q251" s="136"/>
      <c r="R251" s="136"/>
      <c r="S251" s="136"/>
      <c r="T251" s="136"/>
      <c r="V251" s="7"/>
    </row>
    <row r="252" spans="2:22" ht="18" customHeight="1">
      <c r="B252" s="195" t="str">
        <f>HYPERLINK("#LAYOUT_p!lay보PPSY4A05","PPSY4A05")</f>
        <v>PPSY4A05</v>
      </c>
      <c r="C252" s="195" t="str">
        <f>HYPERLINK("#LAYOUT_p!lay보PPSY4A06","PPSY4A06")</f>
        <v>PPSY4A06</v>
      </c>
      <c r="E252" s="7"/>
      <c r="F252" s="136"/>
      <c r="G252" s="411" t="s">
        <v>390</v>
      </c>
      <c r="H252" s="411"/>
      <c r="I252" s="412"/>
      <c r="J252" s="56"/>
      <c r="K252" s="410" t="s">
        <v>391</v>
      </c>
      <c r="L252" s="411"/>
      <c r="M252" s="412"/>
      <c r="N252" s="57"/>
      <c r="O252" s="136"/>
      <c r="P252" s="136"/>
      <c r="Q252" s="136"/>
      <c r="R252" s="136"/>
      <c r="S252" s="136"/>
      <c r="T252" s="136"/>
      <c r="V252" s="7"/>
    </row>
    <row r="253" spans="2:22" ht="18" customHeight="1">
      <c r="B253" s="195" t="str">
        <f>HYPERLINK("#LAYOUT_p!lay보PPSY4A07","PPSY4A07")</f>
        <v>PPSY4A07</v>
      </c>
      <c r="C253" s="195" t="str">
        <f>HYPERLINK("#LAYOUT_p!lay보PPSY4A08","PPSY4A08")</f>
        <v>PPSY4A08</v>
      </c>
      <c r="E253" s="7"/>
      <c r="F253" s="136"/>
      <c r="G253" s="411" t="s">
        <v>392</v>
      </c>
      <c r="H253" s="411"/>
      <c r="I253" s="412"/>
      <c r="J253" s="56"/>
      <c r="K253" s="410" t="s">
        <v>393</v>
      </c>
      <c r="L253" s="411"/>
      <c r="M253" s="412"/>
      <c r="N253" s="57"/>
      <c r="O253" s="136"/>
      <c r="P253" s="136"/>
      <c r="Q253" s="136"/>
      <c r="R253" s="136"/>
      <c r="S253" s="136"/>
      <c r="T253" s="136"/>
      <c r="V253" s="7"/>
    </row>
    <row r="254" spans="2:22" ht="18" customHeight="1">
      <c r="B254" s="195" t="str">
        <f>HYPERLINK("#LAYOUT_p!lay보PPSY4A09","PPSY4A09")</f>
        <v>PPSY4A09</v>
      </c>
      <c r="C254" s="195" t="str">
        <f>HYPERLINK("#LAYOUT_p!lay보PPSY4A10","PPSY4A10")</f>
        <v>PPSY4A10</v>
      </c>
      <c r="E254" s="7"/>
      <c r="F254" s="136"/>
      <c r="G254" s="411" t="s">
        <v>394</v>
      </c>
      <c r="H254" s="411"/>
      <c r="I254" s="412"/>
      <c r="J254" s="56"/>
      <c r="K254" s="410" t="s">
        <v>395</v>
      </c>
      <c r="L254" s="411"/>
      <c r="M254" s="412"/>
      <c r="N254" s="57"/>
      <c r="O254" s="136"/>
      <c r="P254" s="136"/>
      <c r="Q254" s="136"/>
      <c r="R254" s="136"/>
      <c r="S254" s="136"/>
      <c r="T254" s="136"/>
      <c r="V254" s="7"/>
    </row>
    <row r="255" spans="2:22" ht="18" customHeight="1">
      <c r="B255" s="195" t="str">
        <f>HYPERLINK("#LAYOUT_p!lay보PPSY4A11","PPSY4A11")</f>
        <v>PPSY4A11</v>
      </c>
      <c r="C255" s="195" t="str">
        <f>HYPERLINK("#LAYOUT_p!lay보PPSY4A12","PPSY4A12")</f>
        <v>PPSY4A12</v>
      </c>
      <c r="E255" s="7"/>
      <c r="F255" s="136"/>
      <c r="G255" s="411" t="s">
        <v>396</v>
      </c>
      <c r="H255" s="411"/>
      <c r="I255" s="412"/>
      <c r="J255" s="56"/>
      <c r="K255" s="410" t="s">
        <v>397</v>
      </c>
      <c r="L255" s="411"/>
      <c r="M255" s="412"/>
      <c r="N255" s="57"/>
      <c r="O255" s="136"/>
      <c r="P255" s="136"/>
      <c r="Q255" s="136"/>
      <c r="R255" s="136"/>
      <c r="S255" s="136"/>
      <c r="T255" s="136"/>
      <c r="V255" s="7"/>
    </row>
    <row r="256" spans="2:22" ht="18" customHeight="1">
      <c r="B256" s="195" t="str">
        <f>HYPERLINK("#LAYOUT_p!lay보PPSY4A13","PPSY4A13")</f>
        <v>PPSY4A13</v>
      </c>
      <c r="C256" s="195" t="str">
        <f>HYPERLINK("#LAYOUT_p!lay보PPSY4A14","PPSY4A14")</f>
        <v>PPSY4A14</v>
      </c>
      <c r="E256" s="7"/>
      <c r="F256" s="136"/>
      <c r="G256" s="411" t="s">
        <v>398</v>
      </c>
      <c r="H256" s="411"/>
      <c r="I256" s="412"/>
      <c r="J256" s="56"/>
      <c r="K256" s="410" t="s">
        <v>399</v>
      </c>
      <c r="L256" s="411"/>
      <c r="M256" s="412"/>
      <c r="N256" s="57"/>
      <c r="O256" s="136"/>
      <c r="P256" s="136"/>
      <c r="Q256" s="136"/>
      <c r="R256" s="136"/>
      <c r="S256" s="136"/>
      <c r="T256" s="136"/>
      <c r="V256" s="7"/>
    </row>
    <row r="257" spans="2:22" ht="18" customHeight="1">
      <c r="B257" s="195" t="str">
        <f>HYPERLINK("#LAYOUT_p!lay보PPSY4A15","PPSY4A15")</f>
        <v>PPSY4A15</v>
      </c>
      <c r="C257" s="195" t="str">
        <f>HYPERLINK("#LAYOUT_p!lay보PPSY4A16","PPSY4A16")</f>
        <v>PPSY4A16</v>
      </c>
      <c r="E257" s="7"/>
      <c r="F257" s="136"/>
      <c r="G257" s="411" t="s">
        <v>400</v>
      </c>
      <c r="H257" s="411"/>
      <c r="I257" s="412"/>
      <c r="J257" s="56"/>
      <c r="K257" s="410" t="s">
        <v>401</v>
      </c>
      <c r="L257" s="411"/>
      <c r="M257" s="412"/>
      <c r="N257" s="57"/>
      <c r="O257" s="136"/>
      <c r="P257" s="136"/>
      <c r="Q257" s="136"/>
      <c r="R257" s="136"/>
      <c r="S257" s="136"/>
      <c r="T257" s="136"/>
      <c r="V257" s="7"/>
    </row>
    <row r="258" spans="2:22" ht="18" customHeight="1">
      <c r="B258" s="195" t="str">
        <f>HYPERLINK("#LAYOUT_p!lay보PPSY4A17","PPSY4A17")</f>
        <v>PPSY4A17</v>
      </c>
      <c r="C258" s="195" t="str">
        <f>HYPERLINK("#LAYOUT_p!lay보PPSY4A18","PPSY4A18")</f>
        <v>PPSY4A18</v>
      </c>
      <c r="E258" s="7"/>
      <c r="F258" s="136"/>
      <c r="G258" s="411" t="s">
        <v>402</v>
      </c>
      <c r="H258" s="411"/>
      <c r="I258" s="412"/>
      <c r="J258" s="56"/>
      <c r="K258" s="410" t="s">
        <v>403</v>
      </c>
      <c r="L258" s="411"/>
      <c r="M258" s="412"/>
      <c r="N258" s="57"/>
      <c r="O258" s="136"/>
      <c r="P258" s="136"/>
      <c r="Q258" s="136"/>
      <c r="R258" s="136"/>
      <c r="S258" s="136"/>
      <c r="T258" s="136"/>
      <c r="V258" s="7"/>
    </row>
    <row r="259" spans="2:22" ht="18" customHeight="1">
      <c r="B259" s="195" t="str">
        <f>HYPERLINK("#LAYOUT_p!lay보PPSY4A19","PPSY4A19")</f>
        <v>PPSY4A19</v>
      </c>
      <c r="C259" s="195" t="str">
        <f>HYPERLINK("#LAYOUT_p!lay보PPSY4A20","PPSY4A20")</f>
        <v>PPSY4A20</v>
      </c>
      <c r="E259" s="7"/>
      <c r="F259" s="136"/>
      <c r="G259" s="411" t="s">
        <v>404</v>
      </c>
      <c r="H259" s="411"/>
      <c r="I259" s="412"/>
      <c r="J259" s="56"/>
      <c r="K259" s="410" t="s">
        <v>405</v>
      </c>
      <c r="L259" s="411"/>
      <c r="M259" s="412"/>
      <c r="N259" s="57"/>
      <c r="O259" s="136"/>
      <c r="P259" s="136"/>
      <c r="Q259" s="136"/>
      <c r="R259" s="136"/>
      <c r="S259" s="136"/>
      <c r="T259" s="136"/>
      <c r="V259" s="7"/>
    </row>
    <row r="260" spans="2:22" ht="18" customHeight="1">
      <c r="B260" s="195" t="str">
        <f>HYPERLINK("#LAYOUT_p!lay보PPSY4A21","PPSY4A21")</f>
        <v>PPSY4A21</v>
      </c>
      <c r="C260" s="195" t="str">
        <f>HYPERLINK("#LAYOUT_p!lay보PPSY4A22","PPSY4A22")</f>
        <v>PPSY4A22</v>
      </c>
      <c r="E260" s="7"/>
      <c r="F260" s="136"/>
      <c r="G260" s="411" t="s">
        <v>406</v>
      </c>
      <c r="H260" s="411"/>
      <c r="I260" s="412"/>
      <c r="J260" s="56"/>
      <c r="K260" s="410" t="s">
        <v>407</v>
      </c>
      <c r="L260" s="411"/>
      <c r="M260" s="412"/>
      <c r="N260" s="57"/>
      <c r="O260" s="136"/>
      <c r="P260" s="136"/>
      <c r="Q260" s="136"/>
      <c r="R260" s="136"/>
      <c r="S260" s="136"/>
      <c r="T260" s="136"/>
      <c r="V260" s="7"/>
    </row>
    <row r="261" spans="2:22" ht="18" customHeight="1">
      <c r="B261" s="195" t="str">
        <f>HYPERLINK("#LAYOUT_p!lay보PPSY4A23","PPSY4A23")</f>
        <v>PPSY4A23</v>
      </c>
      <c r="C261" s="195" t="str">
        <f>HYPERLINK("#LAYOUT_p!lay보PPSY4A24","PPSY4A24")</f>
        <v>PPSY4A24</v>
      </c>
      <c r="E261" s="7"/>
      <c r="F261" s="136"/>
      <c r="G261" s="411" t="s">
        <v>408</v>
      </c>
      <c r="H261" s="411"/>
      <c r="I261" s="412"/>
      <c r="J261" s="56"/>
      <c r="K261" s="410" t="s">
        <v>409</v>
      </c>
      <c r="L261" s="411"/>
      <c r="M261" s="412"/>
      <c r="N261" s="57"/>
      <c r="O261" s="136"/>
      <c r="P261" s="136"/>
      <c r="Q261" s="136"/>
      <c r="R261" s="136"/>
      <c r="S261" s="136"/>
      <c r="T261" s="136"/>
      <c r="V261" s="7"/>
    </row>
    <row r="262" spans="2:22" ht="18" customHeight="1">
      <c r="B262" s="195" t="str">
        <f>HYPERLINK("#LAYOUT_p!lay보PPSY4A25","PPSY4A25")</f>
        <v>PPSY4A25</v>
      </c>
      <c r="C262" s="195" t="str">
        <f>HYPERLINK("#LAYOUT_p!lay보PPSY4A26","PPSY4A26")</f>
        <v>PPSY4A26</v>
      </c>
      <c r="E262" s="7"/>
      <c r="F262" s="136"/>
      <c r="G262" s="411" t="s">
        <v>410</v>
      </c>
      <c r="H262" s="411"/>
      <c r="I262" s="412"/>
      <c r="J262" s="56"/>
      <c r="K262" s="410" t="s">
        <v>411</v>
      </c>
      <c r="L262" s="411"/>
      <c r="M262" s="412"/>
      <c r="N262" s="57"/>
      <c r="O262" s="136"/>
      <c r="P262" s="136"/>
      <c r="Q262" s="136"/>
      <c r="R262" s="136"/>
      <c r="S262" s="136"/>
      <c r="T262" s="136"/>
      <c r="V262" s="7"/>
    </row>
    <row r="263" spans="2:22" ht="18" customHeight="1">
      <c r="B263" s="195" t="str">
        <f>HYPERLINK("#LAYOUT_p!lay보PPSY4A27","PPSY4A27")</f>
        <v>PPSY4A27</v>
      </c>
      <c r="C263" s="195" t="str">
        <f>HYPERLINK("#LAYOUT_p!lay보PPSY4A28","PPSY4A28")</f>
        <v>PPSY4A28</v>
      </c>
      <c r="E263" s="7"/>
      <c r="F263" s="136"/>
      <c r="G263" s="411" t="s">
        <v>412</v>
      </c>
      <c r="H263" s="411"/>
      <c r="I263" s="412"/>
      <c r="J263" s="56"/>
      <c r="K263" s="410" t="s">
        <v>413</v>
      </c>
      <c r="L263" s="411"/>
      <c r="M263" s="412"/>
      <c r="N263" s="57"/>
      <c r="O263" s="136"/>
      <c r="P263" s="136"/>
      <c r="Q263" s="136"/>
      <c r="R263" s="136"/>
      <c r="S263" s="136"/>
      <c r="T263" s="136"/>
      <c r="V263" s="7"/>
    </row>
    <row r="264" spans="2:22" ht="18" customHeight="1">
      <c r="B264" s="195" t="str">
        <f>HYPERLINK("#LAYOUT_p!lay보PPSY4A29","PPSY4A29")</f>
        <v>PPSY4A29</v>
      </c>
      <c r="C264" s="195" t="str">
        <f>HYPERLINK("#LAYOUT_p!lay보PPSY4A30","PPSY4A30")</f>
        <v>PPSY4A30</v>
      </c>
      <c r="E264" s="7"/>
      <c r="F264" s="136"/>
      <c r="G264" s="411" t="s">
        <v>414</v>
      </c>
      <c r="H264" s="411"/>
      <c r="I264" s="412"/>
      <c r="J264" s="56"/>
      <c r="K264" s="410" t="s">
        <v>415</v>
      </c>
      <c r="L264" s="411"/>
      <c r="M264" s="412"/>
      <c r="N264" s="57"/>
      <c r="O264" s="136"/>
      <c r="P264" s="136"/>
      <c r="Q264" s="136"/>
      <c r="R264" s="136"/>
      <c r="S264" s="136"/>
      <c r="T264" s="136"/>
      <c r="V264" s="7"/>
    </row>
    <row r="265" spans="2:22" ht="18" customHeight="1">
      <c r="B265" s="195"/>
      <c r="C265" s="195"/>
      <c r="E265" s="7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V265" s="7"/>
    </row>
    <row r="266" spans="2:22" ht="18" customHeight="1">
      <c r="B266" s="195"/>
      <c r="C266" s="195"/>
      <c r="E266" s="7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V266" s="7"/>
    </row>
    <row r="267" spans="2:22" ht="18" customHeight="1" thickBot="1">
      <c r="B267" s="195"/>
      <c r="C267" s="195"/>
      <c r="E267" s="7"/>
      <c r="F267" s="136" t="s">
        <v>1015</v>
      </c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V267" s="7"/>
    </row>
    <row r="268" spans="2:22" ht="31.5" thickTop="1" thickBot="1">
      <c r="B268" s="195"/>
      <c r="C268" s="195"/>
      <c r="E268" s="7"/>
      <c r="F268" s="136"/>
      <c r="G268" s="397" t="s">
        <v>643</v>
      </c>
      <c r="H268" s="397"/>
      <c r="I268" s="397"/>
      <c r="J268" s="397"/>
      <c r="K268" s="397"/>
      <c r="L268" s="398"/>
      <c r="M268" s="9" t="s">
        <v>622</v>
      </c>
      <c r="N268" s="9" t="s">
        <v>623</v>
      </c>
      <c r="O268" s="9" t="s">
        <v>107</v>
      </c>
      <c r="P268" s="10" t="s">
        <v>108</v>
      </c>
      <c r="Q268" s="136"/>
      <c r="R268" s="136"/>
      <c r="S268" s="136"/>
      <c r="T268" s="136"/>
      <c r="V268" s="7"/>
    </row>
    <row r="269" spans="2:22" ht="18" customHeight="1" thickTop="1">
      <c r="B269" s="355" t="str">
        <f>HYPERLINK("#LAYOUT_p!lay보PPSY5A01","PPSY5A01")</f>
        <v>PPSY5A01</v>
      </c>
      <c r="C269" s="355"/>
      <c r="E269" s="7"/>
      <c r="F269" s="136"/>
      <c r="G269" s="366" t="s">
        <v>747</v>
      </c>
      <c r="H269" s="366"/>
      <c r="I269" s="366"/>
      <c r="J269" s="366"/>
      <c r="K269" s="366"/>
      <c r="L269" s="367"/>
      <c r="M269" s="20" t="s">
        <v>591</v>
      </c>
      <c r="N269" s="20" t="s">
        <v>592</v>
      </c>
      <c r="O269" s="20" t="s">
        <v>593</v>
      </c>
      <c r="P269" s="25" t="s">
        <v>594</v>
      </c>
      <c r="Q269" s="136"/>
      <c r="R269" s="136"/>
      <c r="S269" s="136"/>
      <c r="T269" s="136"/>
      <c r="V269" s="7"/>
    </row>
    <row r="270" spans="2:22" ht="31.5" customHeight="1">
      <c r="B270" s="355" t="str">
        <f>HYPERLINK("#LAYOUT_p!lay보PPSY5A02","PPSY5A02")</f>
        <v>PPSY5A02</v>
      </c>
      <c r="C270" s="355"/>
      <c r="E270" s="7"/>
      <c r="F270" s="136"/>
      <c r="G270" s="366" t="s">
        <v>748</v>
      </c>
      <c r="H270" s="366"/>
      <c r="I270" s="366"/>
      <c r="J270" s="366"/>
      <c r="K270" s="366"/>
      <c r="L270" s="367"/>
      <c r="M270" s="22" t="s">
        <v>591</v>
      </c>
      <c r="N270" s="22" t="s">
        <v>592</v>
      </c>
      <c r="O270" s="22" t="s">
        <v>593</v>
      </c>
      <c r="P270" s="24" t="s">
        <v>594</v>
      </c>
      <c r="Q270" s="136"/>
      <c r="R270" s="136"/>
      <c r="S270" s="136"/>
      <c r="T270" s="136"/>
      <c r="V270" s="7"/>
    </row>
    <row r="271" spans="2:22" ht="18" customHeight="1">
      <c r="B271" s="355" t="str">
        <f>HYPERLINK("#LAYOUT_p!lay보PPSY5A03","PPSY5A03")</f>
        <v>PPSY5A03</v>
      </c>
      <c r="C271" s="355"/>
      <c r="E271" s="7"/>
      <c r="F271" s="136"/>
      <c r="G271" s="366" t="s">
        <v>749</v>
      </c>
      <c r="H271" s="366"/>
      <c r="I271" s="366"/>
      <c r="J271" s="366"/>
      <c r="K271" s="366"/>
      <c r="L271" s="367"/>
      <c r="M271" s="22" t="s">
        <v>591</v>
      </c>
      <c r="N271" s="22" t="s">
        <v>592</v>
      </c>
      <c r="O271" s="22" t="s">
        <v>593</v>
      </c>
      <c r="P271" s="24" t="s">
        <v>594</v>
      </c>
      <c r="Q271" s="136"/>
      <c r="R271" s="136"/>
      <c r="S271" s="136"/>
      <c r="T271" s="136"/>
      <c r="V271" s="7"/>
    </row>
    <row r="272" spans="2:22" ht="18" customHeight="1">
      <c r="B272" s="355" t="str">
        <f>HYPERLINK("#LAYOUT_p!lay보PPSY5A04","PPSY5A04")</f>
        <v>PPSY5A04</v>
      </c>
      <c r="C272" s="355"/>
      <c r="E272" s="7"/>
      <c r="F272" s="136"/>
      <c r="G272" s="366" t="s">
        <v>750</v>
      </c>
      <c r="H272" s="366"/>
      <c r="I272" s="366"/>
      <c r="J272" s="366"/>
      <c r="K272" s="366"/>
      <c r="L272" s="367"/>
      <c r="M272" s="22" t="s">
        <v>591</v>
      </c>
      <c r="N272" s="22" t="s">
        <v>592</v>
      </c>
      <c r="O272" s="22" t="s">
        <v>593</v>
      </c>
      <c r="P272" s="24" t="s">
        <v>594</v>
      </c>
      <c r="Q272" s="136"/>
      <c r="R272" s="136"/>
      <c r="S272" s="136"/>
      <c r="T272" s="136"/>
      <c r="V272" s="7"/>
    </row>
    <row r="273" spans="2:22" ht="18" customHeight="1">
      <c r="B273" s="355" t="str">
        <f>HYPERLINK("#LAYOUT_p!lay보PPSY5A05","PPSY5A05")</f>
        <v>PPSY5A05</v>
      </c>
      <c r="C273" s="355"/>
      <c r="E273" s="7"/>
      <c r="F273" s="136"/>
      <c r="G273" s="366" t="s">
        <v>751</v>
      </c>
      <c r="H273" s="366"/>
      <c r="I273" s="366"/>
      <c r="J273" s="366"/>
      <c r="K273" s="366"/>
      <c r="L273" s="367"/>
      <c r="M273" s="22" t="s">
        <v>591</v>
      </c>
      <c r="N273" s="22" t="s">
        <v>592</v>
      </c>
      <c r="O273" s="22" t="s">
        <v>593</v>
      </c>
      <c r="P273" s="24" t="s">
        <v>594</v>
      </c>
      <c r="Q273" s="136"/>
      <c r="R273" s="136"/>
      <c r="S273" s="136"/>
      <c r="T273" s="136"/>
      <c r="V273" s="7"/>
    </row>
    <row r="274" spans="2:22" ht="18" customHeight="1">
      <c r="B274" s="355" t="str">
        <f>HYPERLINK("#LAYOUT_p!lay보PPSY5A06","PPSY5A06")</f>
        <v>PPSY5A06</v>
      </c>
      <c r="C274" s="355"/>
      <c r="E274" s="7"/>
      <c r="F274" s="136"/>
      <c r="G274" s="366" t="s">
        <v>752</v>
      </c>
      <c r="H274" s="366"/>
      <c r="I274" s="366"/>
      <c r="J274" s="366"/>
      <c r="K274" s="366"/>
      <c r="L274" s="367"/>
      <c r="M274" s="22" t="s">
        <v>591</v>
      </c>
      <c r="N274" s="22" t="s">
        <v>592</v>
      </c>
      <c r="O274" s="22" t="s">
        <v>593</v>
      </c>
      <c r="P274" s="24" t="s">
        <v>594</v>
      </c>
      <c r="Q274" s="136"/>
      <c r="R274" s="136"/>
      <c r="S274" s="136"/>
      <c r="T274" s="136"/>
      <c r="V274" s="7"/>
    </row>
    <row r="275" spans="2:22" ht="18" customHeight="1">
      <c r="B275" s="355" t="str">
        <f>HYPERLINK("#LAYOUT_p!lay보PPSY5A07","PPSY5A07")</f>
        <v>PPSY5A07</v>
      </c>
      <c r="C275" s="355"/>
      <c r="E275" s="7"/>
      <c r="F275" s="136"/>
      <c r="G275" s="366" t="s">
        <v>753</v>
      </c>
      <c r="H275" s="366"/>
      <c r="I275" s="366"/>
      <c r="J275" s="366"/>
      <c r="K275" s="366"/>
      <c r="L275" s="367"/>
      <c r="M275" s="22" t="s">
        <v>591</v>
      </c>
      <c r="N275" s="22" t="s">
        <v>592</v>
      </c>
      <c r="O275" s="22" t="s">
        <v>593</v>
      </c>
      <c r="P275" s="24" t="s">
        <v>594</v>
      </c>
      <c r="Q275" s="136"/>
      <c r="R275" s="136"/>
      <c r="S275" s="136"/>
      <c r="T275" s="136"/>
      <c r="V275" s="7"/>
    </row>
    <row r="276" spans="2:22" ht="18" customHeight="1">
      <c r="B276" s="355" t="str">
        <f>HYPERLINK("#LAYOUT_p!lay보PPSY5A08","PPSY5A08")</f>
        <v>PPSY5A08</v>
      </c>
      <c r="C276" s="355"/>
      <c r="E276" s="7"/>
      <c r="F276" s="136"/>
      <c r="G276" s="366" t="s">
        <v>754</v>
      </c>
      <c r="H276" s="366"/>
      <c r="I276" s="366"/>
      <c r="J276" s="366"/>
      <c r="K276" s="366"/>
      <c r="L276" s="367"/>
      <c r="M276" s="22" t="s">
        <v>591</v>
      </c>
      <c r="N276" s="22" t="s">
        <v>592</v>
      </c>
      <c r="O276" s="22" t="s">
        <v>593</v>
      </c>
      <c r="P276" s="24" t="s">
        <v>594</v>
      </c>
      <c r="Q276" s="136"/>
      <c r="R276" s="136"/>
      <c r="S276" s="136"/>
      <c r="T276" s="136"/>
      <c r="V276" s="7"/>
    </row>
    <row r="277" spans="2:22" ht="18" customHeight="1">
      <c r="B277" s="195"/>
      <c r="C277" s="195"/>
      <c r="E277" s="7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V277" s="7"/>
    </row>
    <row r="278" spans="2:22" ht="18" customHeight="1">
      <c r="B278" s="195"/>
      <c r="C278" s="195"/>
      <c r="E278" s="7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V278" s="7"/>
    </row>
    <row r="279" spans="2:22" ht="18" customHeight="1">
      <c r="B279" s="355" t="str">
        <f>HYPERLINK("#LAYOUT_p!lay보PPHY1A00","PPHY1A00")</f>
        <v>PPHY1A00</v>
      </c>
      <c r="C279" s="355"/>
      <c r="E279" s="7"/>
      <c r="F279" s="136" t="s">
        <v>1016</v>
      </c>
      <c r="G279" s="136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V279" s="7"/>
    </row>
    <row r="280" spans="2:22" ht="18" customHeight="1">
      <c r="B280" s="195"/>
      <c r="C280" s="195"/>
      <c r="E280" s="7"/>
      <c r="F280" s="136"/>
      <c r="G280" s="396" t="s">
        <v>814</v>
      </c>
      <c r="H280" s="396"/>
      <c r="I280" s="396" t="s">
        <v>815</v>
      </c>
      <c r="J280" s="39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V280" s="7"/>
    </row>
    <row r="281" spans="2:22" ht="18" customHeight="1">
      <c r="B281" s="195"/>
      <c r="C281" s="195"/>
      <c r="E281" s="7"/>
      <c r="F281" s="136"/>
      <c r="G281" s="396" t="s">
        <v>816</v>
      </c>
      <c r="H281" s="396"/>
      <c r="I281" s="396" t="s">
        <v>817</v>
      </c>
      <c r="J281" s="39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V281" s="7"/>
    </row>
    <row r="282" spans="2:22" ht="18" customHeight="1">
      <c r="B282" s="195"/>
      <c r="C282" s="195"/>
      <c r="E282" s="7"/>
      <c r="F282" s="136"/>
      <c r="G282" s="136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V282" s="7"/>
    </row>
    <row r="283" spans="2:22" ht="18" customHeight="1">
      <c r="B283" s="195"/>
      <c r="C283" s="195"/>
      <c r="E283" s="7"/>
      <c r="F283" s="136"/>
      <c r="G283" s="136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V283" s="7"/>
    </row>
    <row r="284" spans="2:22" ht="18" customHeight="1">
      <c r="B284" s="355" t="str">
        <f>HYPERLINK("#LAYOUT_p!lay보PPHY1B00","PPHY1B00")</f>
        <v>PPHY1B00</v>
      </c>
      <c r="C284" s="355"/>
      <c r="E284" s="7"/>
      <c r="F284" s="136" t="s">
        <v>1017</v>
      </c>
      <c r="G284" s="136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V284" s="7"/>
    </row>
    <row r="285" spans="2:22" ht="18" customHeight="1">
      <c r="B285" s="195"/>
      <c r="C285" s="195"/>
      <c r="E285" s="7"/>
      <c r="F285" s="136"/>
      <c r="G285" s="6" t="s">
        <v>819</v>
      </c>
      <c r="H285" s="6" t="s">
        <v>820</v>
      </c>
      <c r="I285" s="6" t="s">
        <v>821</v>
      </c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V285" s="7"/>
    </row>
    <row r="286" spans="2:22" ht="18" customHeight="1">
      <c r="B286" s="195"/>
      <c r="C286" s="195"/>
      <c r="E286" s="7"/>
      <c r="F286" s="136"/>
      <c r="G286" s="6" t="s">
        <v>822</v>
      </c>
      <c r="H286" s="6" t="s">
        <v>823</v>
      </c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V286" s="7"/>
    </row>
    <row r="287" spans="2:22" ht="18" customHeight="1">
      <c r="B287" s="195"/>
      <c r="C287" s="195"/>
      <c r="E287" s="7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V287" s="7"/>
    </row>
    <row r="288" spans="2:22" ht="18" customHeight="1">
      <c r="B288" s="195"/>
      <c r="C288" s="195"/>
      <c r="E288" s="7"/>
      <c r="F288" s="136"/>
      <c r="G288" s="136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V288" s="7"/>
    </row>
    <row r="289" spans="2:22" ht="18" customHeight="1">
      <c r="B289" s="355" t="str">
        <f>HYPERLINK("#LAYOUT_p!lay보PPHY1C00","PPHY1C00")</f>
        <v>PPHY1C00</v>
      </c>
      <c r="C289" s="355"/>
      <c r="E289" s="7"/>
      <c r="F289" s="136" t="s">
        <v>1018</v>
      </c>
      <c r="G289" s="136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V289" s="7"/>
    </row>
    <row r="290" spans="2:22" ht="18" customHeight="1">
      <c r="B290" s="195"/>
      <c r="C290" s="195"/>
      <c r="E290" s="7"/>
      <c r="F290" s="136"/>
      <c r="G290" s="6" t="s">
        <v>1596</v>
      </c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V290" s="7"/>
    </row>
    <row r="291" spans="2:22" ht="18" customHeight="1">
      <c r="B291" s="195"/>
      <c r="C291" s="195"/>
      <c r="E291" s="7"/>
      <c r="F291" s="136"/>
      <c r="G291" s="136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V291" s="7"/>
    </row>
    <row r="292" spans="2:22" ht="18" customHeight="1">
      <c r="B292" s="195"/>
      <c r="C292" s="195"/>
      <c r="E292" s="7"/>
      <c r="F292" s="136"/>
      <c r="G292" s="136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V292" s="7"/>
    </row>
    <row r="293" spans="2:22" ht="18" customHeight="1">
      <c r="B293" s="195"/>
      <c r="C293" s="195"/>
      <c r="E293" s="7"/>
      <c r="F293" s="136" t="s">
        <v>1019</v>
      </c>
      <c r="G293" s="136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V293" s="7"/>
    </row>
    <row r="294" spans="2:22" ht="18" customHeight="1">
      <c r="B294" s="355" t="str">
        <f>HYPERLINK("#LAYOUT_p!lay보PPHY2A00","PPHY2A00")</f>
        <v>PPHY2A00</v>
      </c>
      <c r="C294" s="355"/>
      <c r="E294" s="7"/>
      <c r="F294" s="136"/>
      <c r="G294" s="407" t="s">
        <v>1597</v>
      </c>
      <c r="H294" s="407"/>
      <c r="I294" s="407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V294" s="7"/>
    </row>
    <row r="295" spans="2:22" ht="18" customHeight="1">
      <c r="B295" s="355" t="str">
        <f>HYPERLINK("#LAYOUT_p!lay보PPHY2B00","PPHY2B00")</f>
        <v>PPHY2B00</v>
      </c>
      <c r="C295" s="355"/>
      <c r="E295" s="7"/>
      <c r="F295" s="136"/>
      <c r="G295" s="407" t="s">
        <v>1598</v>
      </c>
      <c r="H295" s="407"/>
      <c r="I295" s="407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V295" s="7"/>
    </row>
    <row r="296" spans="2:22" ht="18" customHeight="1">
      <c r="B296" s="195"/>
      <c r="C296" s="195"/>
      <c r="E296" s="7"/>
      <c r="F296" s="136"/>
      <c r="G296" s="146"/>
      <c r="H296" s="146"/>
      <c r="I296" s="14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V296" s="7"/>
    </row>
    <row r="297" spans="2:22" ht="18" customHeight="1">
      <c r="B297" s="195"/>
      <c r="C297" s="195"/>
      <c r="E297" s="7"/>
      <c r="F297" s="136"/>
      <c r="G297" s="146"/>
      <c r="H297" s="146"/>
      <c r="I297" s="14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V297" s="7"/>
    </row>
    <row r="298" spans="2:22" ht="18" customHeight="1">
      <c r="B298" s="355" t="str">
        <f>HYPERLINK("#LAYOUT_p!lay보PBRP1","PBRP1")</f>
        <v>PBRP1</v>
      </c>
      <c r="C298" s="355"/>
      <c r="E298" s="7"/>
      <c r="F298" s="136" t="s">
        <v>1020</v>
      </c>
      <c r="G298" s="146"/>
      <c r="H298" s="146"/>
      <c r="I298" s="14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V298" s="7"/>
    </row>
    <row r="299" spans="2:22" ht="18" customHeight="1">
      <c r="B299" s="355" t="str">
        <f>HYPERLINK("#LAYOUT_p!lay보PBRP2","PBRP2")</f>
        <v>PBRP2</v>
      </c>
      <c r="C299" s="355"/>
      <c r="E299" s="7"/>
      <c r="F299" s="136"/>
      <c r="G299" s="136" t="s">
        <v>1627</v>
      </c>
      <c r="H299" s="146"/>
      <c r="I299" s="14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V299" s="7"/>
    </row>
    <row r="300" spans="2:22" ht="18" customHeight="1">
      <c r="B300" s="355" t="str">
        <f>HYPERLINK("#LAYOUT_p!lay보PBRP3","PBRP3")</f>
        <v>PBRP3</v>
      </c>
      <c r="C300" s="355"/>
      <c r="E300" s="7"/>
      <c r="F300" s="136"/>
      <c r="G300" s="136" t="s">
        <v>1628</v>
      </c>
      <c r="H300" s="146"/>
      <c r="I300" s="14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V300" s="7"/>
    </row>
    <row r="301" spans="2:22" ht="18" customHeight="1">
      <c r="B301" s="195"/>
      <c r="C301" s="195"/>
      <c r="E301" s="7"/>
      <c r="F301" s="136"/>
      <c r="G301" s="146"/>
      <c r="H301" s="146"/>
      <c r="I301" s="14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V301" s="7"/>
    </row>
    <row r="302" spans="2:22" ht="18" customHeight="1">
      <c r="B302" s="195"/>
      <c r="C302" s="195"/>
      <c r="E302" s="7"/>
      <c r="F302" s="136"/>
      <c r="G302" s="146"/>
      <c r="H302" s="146"/>
      <c r="I302" s="14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V302" s="7"/>
    </row>
    <row r="303" spans="2:22" ht="18" customHeight="1" thickBot="1">
      <c r="B303" s="195"/>
      <c r="C303" s="195"/>
      <c r="E303" s="7"/>
      <c r="F303" s="136" t="s">
        <v>1021</v>
      </c>
      <c r="G303" s="146"/>
      <c r="H303" s="146"/>
      <c r="I303" s="14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V303" s="7"/>
    </row>
    <row r="304" spans="2:22" ht="31.5" thickTop="1" thickBot="1">
      <c r="B304" s="195"/>
      <c r="C304" s="195"/>
      <c r="E304" s="7"/>
      <c r="F304" s="136"/>
      <c r="G304" s="390" t="s">
        <v>1022</v>
      </c>
      <c r="H304" s="390"/>
      <c r="I304" s="391"/>
      <c r="J304" s="147" t="s">
        <v>534</v>
      </c>
      <c r="K304" s="147" t="s">
        <v>535</v>
      </c>
      <c r="L304" s="147" t="s">
        <v>536</v>
      </c>
      <c r="M304" s="147" t="s">
        <v>375</v>
      </c>
      <c r="N304" s="147" t="s">
        <v>1023</v>
      </c>
      <c r="O304" s="147" t="s">
        <v>1024</v>
      </c>
      <c r="P304" s="147" t="s">
        <v>1025</v>
      </c>
      <c r="Q304" s="147" t="s">
        <v>129</v>
      </c>
      <c r="R304" s="148" t="s">
        <v>90</v>
      </c>
      <c r="S304" s="136"/>
      <c r="T304" s="136"/>
      <c r="V304" s="7"/>
    </row>
    <row r="305" spans="2:22" ht="18" customHeight="1" thickTop="1">
      <c r="B305" s="355" t="str">
        <f>HYPERLINK("#LAYOUT_p!lay보PSCHOOL1","PSCHOOL1")</f>
        <v>PSCHOOL1</v>
      </c>
      <c r="C305" s="355"/>
      <c r="E305" s="7"/>
      <c r="F305" s="136"/>
      <c r="G305" s="55" t="s">
        <v>7</v>
      </c>
      <c r="H305" s="420" t="s">
        <v>154</v>
      </c>
      <c r="I305" s="433"/>
      <c r="J305" s="20" t="s">
        <v>591</v>
      </c>
      <c r="K305" s="20" t="s">
        <v>592</v>
      </c>
      <c r="L305" s="20" t="s">
        <v>593</v>
      </c>
      <c r="M305" s="20" t="s">
        <v>594</v>
      </c>
      <c r="N305" s="20" t="s">
        <v>595</v>
      </c>
      <c r="O305" s="20" t="s">
        <v>596</v>
      </c>
      <c r="P305" s="20" t="s">
        <v>597</v>
      </c>
      <c r="Q305" s="20" t="s">
        <v>662</v>
      </c>
      <c r="R305" s="25" t="s">
        <v>1026</v>
      </c>
      <c r="S305" s="136"/>
      <c r="T305" s="136"/>
      <c r="V305" s="7"/>
    </row>
    <row r="306" spans="2:22" ht="18" customHeight="1">
      <c r="B306" s="355" t="str">
        <f>HYPERLINK("#LAYOUT_p!lay보PSCHOOL2","PSCHOOL2")</f>
        <v>PSCHOOL2</v>
      </c>
      <c r="C306" s="355"/>
      <c r="E306" s="7"/>
      <c r="F306" s="136"/>
      <c r="G306" s="57" t="s">
        <v>8</v>
      </c>
      <c r="H306" s="411" t="s">
        <v>159</v>
      </c>
      <c r="I306" s="434"/>
      <c r="J306" s="22" t="s">
        <v>591</v>
      </c>
      <c r="K306" s="22" t="s">
        <v>592</v>
      </c>
      <c r="L306" s="22" t="s">
        <v>593</v>
      </c>
      <c r="M306" s="22" t="s">
        <v>594</v>
      </c>
      <c r="N306" s="22" t="s">
        <v>595</v>
      </c>
      <c r="O306" s="22" t="s">
        <v>596</v>
      </c>
      <c r="P306" s="22" t="s">
        <v>597</v>
      </c>
      <c r="Q306" s="22" t="s">
        <v>662</v>
      </c>
      <c r="R306" s="24" t="s">
        <v>1026</v>
      </c>
      <c r="S306" s="136"/>
      <c r="T306" s="136"/>
      <c r="V306" s="7"/>
    </row>
    <row r="307" spans="2:22" ht="18" customHeight="1">
      <c r="B307" s="355" t="str">
        <f>HYPERLINK("#LAYOUT_p!lay보PSCHOOL3","PSCHOOL3")</f>
        <v>PSCHOOL3</v>
      </c>
      <c r="C307" s="355"/>
      <c r="E307" s="7"/>
      <c r="F307" s="136"/>
      <c r="G307" s="143" t="s">
        <v>9</v>
      </c>
      <c r="H307" s="431" t="s">
        <v>1027</v>
      </c>
      <c r="I307" s="432"/>
      <c r="J307" s="149" t="s">
        <v>591</v>
      </c>
      <c r="K307" s="149" t="s">
        <v>592</v>
      </c>
      <c r="L307" s="149" t="s">
        <v>593</v>
      </c>
      <c r="M307" s="149" t="s">
        <v>594</v>
      </c>
      <c r="N307" s="149" t="s">
        <v>595</v>
      </c>
      <c r="O307" s="149" t="s">
        <v>596</v>
      </c>
      <c r="P307" s="149" t="s">
        <v>597</v>
      </c>
      <c r="Q307" s="149" t="s">
        <v>662</v>
      </c>
      <c r="R307" s="150" t="s">
        <v>1026</v>
      </c>
      <c r="S307" s="136"/>
      <c r="T307" s="136"/>
      <c r="V307" s="7"/>
    </row>
    <row r="308" spans="2:22" ht="18" customHeight="1">
      <c r="B308" s="195"/>
      <c r="C308" s="195"/>
      <c r="E308" s="7"/>
      <c r="F308" s="136"/>
      <c r="G308" s="146"/>
      <c r="H308" s="146"/>
      <c r="I308" s="14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V308" s="7"/>
    </row>
    <row r="309" spans="2:22" ht="18" customHeight="1">
      <c r="B309" s="195"/>
      <c r="C309" s="195"/>
      <c r="E309" s="7"/>
      <c r="F309" s="136"/>
      <c r="G309" s="146"/>
      <c r="H309" s="146"/>
      <c r="I309" s="14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V309" s="7"/>
    </row>
    <row r="310" spans="2:22" ht="30.75" customHeight="1">
      <c r="B310" s="195"/>
      <c r="C310" s="195"/>
      <c r="E310" s="7"/>
      <c r="F310" s="407" t="s">
        <v>1028</v>
      </c>
      <c r="G310" s="407"/>
      <c r="H310" s="407"/>
      <c r="I310" s="407"/>
      <c r="J310" s="407"/>
      <c r="K310" s="407"/>
      <c r="L310" s="407"/>
      <c r="M310" s="407"/>
      <c r="N310" s="407"/>
      <c r="O310" s="407"/>
      <c r="P310" s="407"/>
      <c r="Q310" s="407"/>
      <c r="R310" s="407"/>
      <c r="S310" s="407"/>
      <c r="T310" s="407"/>
      <c r="U310" s="407"/>
      <c r="V310" s="7"/>
    </row>
    <row r="311" spans="2:22" ht="18" customHeight="1" thickBot="1">
      <c r="B311" s="195"/>
      <c r="C311" s="195"/>
      <c r="E311" s="7"/>
      <c r="F311" s="136"/>
      <c r="G311" s="136" t="s">
        <v>1029</v>
      </c>
      <c r="H311" s="146"/>
      <c r="I311" s="14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V311" s="7"/>
    </row>
    <row r="312" spans="2:22" ht="18" customHeight="1" thickTop="1" thickBot="1">
      <c r="B312" s="195"/>
      <c r="C312" s="195"/>
      <c r="E312" s="7"/>
      <c r="F312" s="136"/>
      <c r="G312" s="390" t="s">
        <v>1022</v>
      </c>
      <c r="H312" s="390"/>
      <c r="I312" s="391"/>
      <c r="J312" s="9" t="s">
        <v>487</v>
      </c>
      <c r="K312" s="9" t="s">
        <v>488</v>
      </c>
      <c r="L312" s="10" t="s">
        <v>1030</v>
      </c>
      <c r="M312" s="136"/>
      <c r="N312" s="136"/>
      <c r="O312" s="136"/>
      <c r="P312" s="136"/>
      <c r="Q312" s="136"/>
      <c r="R312" s="136"/>
      <c r="S312" s="136"/>
      <c r="T312" s="136"/>
      <c r="V312" s="7"/>
    </row>
    <row r="313" spans="2:22" ht="18" customHeight="1" thickTop="1">
      <c r="B313" s="355" t="str">
        <f>HYPERLINK("#LAYOUT_p!lay보PWORKW1","PWORKW1")</f>
        <v>PWORKW1</v>
      </c>
      <c r="C313" s="355"/>
      <c r="E313" s="7"/>
      <c r="F313" s="136"/>
      <c r="G313" s="55" t="s">
        <v>7</v>
      </c>
      <c r="H313" s="420" t="s">
        <v>154</v>
      </c>
      <c r="I313" s="433"/>
      <c r="J313" s="20" t="s">
        <v>591</v>
      </c>
      <c r="K313" s="20" t="s">
        <v>592</v>
      </c>
      <c r="L313" s="25" t="s">
        <v>593</v>
      </c>
      <c r="M313" s="136"/>
      <c r="N313" s="136"/>
      <c r="O313" s="136"/>
      <c r="P313" s="136"/>
      <c r="Q313" s="136"/>
      <c r="R313" s="136"/>
      <c r="S313" s="136"/>
      <c r="T313" s="136"/>
      <c r="V313" s="7"/>
    </row>
    <row r="314" spans="2:22" ht="18" customHeight="1">
      <c r="B314" s="355" t="str">
        <f>HYPERLINK("#LAYOUT_p!lay보PWORKW2","PWORKW2")</f>
        <v>PWORKW2</v>
      </c>
      <c r="C314" s="355"/>
      <c r="E314" s="7"/>
      <c r="F314" s="136"/>
      <c r="G314" s="57" t="s">
        <v>8</v>
      </c>
      <c r="H314" s="411" t="s">
        <v>159</v>
      </c>
      <c r="I314" s="434"/>
      <c r="J314" s="22" t="s">
        <v>591</v>
      </c>
      <c r="K314" s="22" t="s">
        <v>592</v>
      </c>
      <c r="L314" s="24" t="s">
        <v>593</v>
      </c>
      <c r="M314" s="136"/>
      <c r="N314" s="136"/>
      <c r="O314" s="136"/>
      <c r="P314" s="136"/>
      <c r="Q314" s="136"/>
      <c r="R314" s="136"/>
      <c r="S314" s="136"/>
      <c r="T314" s="136"/>
      <c r="V314" s="7"/>
    </row>
    <row r="315" spans="2:22" ht="18" customHeight="1">
      <c r="B315" s="355" t="str">
        <f>HYPERLINK("#LAYOUT_p!lay보PWORKW3","PWORKW3")</f>
        <v>PWORKW3</v>
      </c>
      <c r="C315" s="355"/>
      <c r="E315" s="7"/>
      <c r="F315" s="136"/>
      <c r="G315" s="143" t="s">
        <v>9</v>
      </c>
      <c r="H315" s="431" t="s">
        <v>1027</v>
      </c>
      <c r="I315" s="432"/>
      <c r="J315" s="149" t="s">
        <v>591</v>
      </c>
      <c r="K315" s="149" t="s">
        <v>592</v>
      </c>
      <c r="L315" s="150" t="s">
        <v>593</v>
      </c>
      <c r="M315" s="136"/>
      <c r="N315" s="136"/>
      <c r="O315" s="136"/>
      <c r="P315" s="136"/>
      <c r="Q315" s="136"/>
      <c r="R315" s="136"/>
      <c r="S315" s="136"/>
      <c r="T315" s="136"/>
      <c r="V315" s="7"/>
    </row>
    <row r="316" spans="2:22" ht="18" customHeight="1">
      <c r="B316" s="195"/>
      <c r="C316" s="195"/>
      <c r="E316" s="7"/>
      <c r="F316" s="136"/>
      <c r="G316" s="146"/>
      <c r="H316" s="146"/>
      <c r="I316" s="14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V316" s="7"/>
    </row>
    <row r="317" spans="2:22" ht="18" customHeight="1">
      <c r="B317" s="195"/>
      <c r="C317" s="195"/>
      <c r="E317" s="7"/>
      <c r="F317" s="136"/>
      <c r="G317" s="146"/>
      <c r="H317" s="146"/>
      <c r="I317" s="14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V317" s="7"/>
    </row>
    <row r="318" spans="2:22" ht="18" customHeight="1" thickBot="1">
      <c r="B318" s="195"/>
      <c r="C318" s="195"/>
      <c r="E318" s="7"/>
      <c r="F318" s="136" t="s">
        <v>1031</v>
      </c>
      <c r="G318" s="146"/>
      <c r="H318" s="146"/>
      <c r="I318" s="14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V318" s="7"/>
    </row>
    <row r="319" spans="2:22" ht="31.5" thickTop="1" thickBot="1">
      <c r="B319" s="195"/>
      <c r="C319" s="195"/>
      <c r="E319" s="7"/>
      <c r="F319" s="136"/>
      <c r="G319" s="390" t="s">
        <v>1022</v>
      </c>
      <c r="H319" s="390"/>
      <c r="I319" s="391"/>
      <c r="J319" s="147" t="s">
        <v>540</v>
      </c>
      <c r="K319" s="147" t="s">
        <v>1032</v>
      </c>
      <c r="L319" s="147" t="s">
        <v>542</v>
      </c>
      <c r="M319" s="147" t="s">
        <v>543</v>
      </c>
      <c r="N319" s="147" t="s">
        <v>544</v>
      </c>
      <c r="O319" s="147" t="s">
        <v>1033</v>
      </c>
      <c r="P319" s="147" t="s">
        <v>546</v>
      </c>
      <c r="Q319" s="147" t="s">
        <v>547</v>
      </c>
      <c r="R319" s="147" t="s">
        <v>1034</v>
      </c>
      <c r="S319" s="147" t="s">
        <v>1035</v>
      </c>
      <c r="T319" s="148" t="s">
        <v>1637</v>
      </c>
      <c r="V319" s="7"/>
    </row>
    <row r="320" spans="2:22" ht="18" customHeight="1" thickTop="1">
      <c r="B320" s="195" t="str">
        <f>HYPERLINK("#LAYOUT_p!lay보PJOB1","PJOB1")</f>
        <v>PJOB1</v>
      </c>
      <c r="C320" s="195" t="str">
        <f>HYPERLINK("#LAYOUT_p!lay보PJOB1_T","PJOB1_T")</f>
        <v>PJOB1_T</v>
      </c>
      <c r="E320" s="7"/>
      <c r="F320" s="136"/>
      <c r="G320" s="55" t="s">
        <v>7</v>
      </c>
      <c r="H320" s="420" t="s">
        <v>154</v>
      </c>
      <c r="I320" s="433"/>
      <c r="J320" s="20" t="s">
        <v>591</v>
      </c>
      <c r="K320" s="20" t="s">
        <v>592</v>
      </c>
      <c r="L320" s="20" t="s">
        <v>593</v>
      </c>
      <c r="M320" s="20" t="s">
        <v>594</v>
      </c>
      <c r="N320" s="20" t="s">
        <v>595</v>
      </c>
      <c r="O320" s="20" t="s">
        <v>596</v>
      </c>
      <c r="P320" s="20" t="s">
        <v>597</v>
      </c>
      <c r="Q320" s="20" t="s">
        <v>662</v>
      </c>
      <c r="R320" s="20" t="s">
        <v>1036</v>
      </c>
      <c r="S320" s="20" t="s">
        <v>1026</v>
      </c>
      <c r="T320" s="25" t="s">
        <v>1037</v>
      </c>
      <c r="V320" s="7"/>
    </row>
    <row r="321" spans="2:22" ht="18" customHeight="1">
      <c r="B321" s="195" t="str">
        <f>HYPERLINK("#LAYOUT_p!lay보PJOB2","PJOB2")</f>
        <v>PJOB2</v>
      </c>
      <c r="C321" s="195" t="str">
        <f>HYPERLINK("#LAYOUT_p!lay보PJOB2_T","PJOB2_T")</f>
        <v>PJOB2_T</v>
      </c>
      <c r="E321" s="7"/>
      <c r="F321" s="136"/>
      <c r="G321" s="57" t="s">
        <v>8</v>
      </c>
      <c r="H321" s="411" t="s">
        <v>159</v>
      </c>
      <c r="I321" s="434"/>
      <c r="J321" s="22" t="s">
        <v>591</v>
      </c>
      <c r="K321" s="22" t="s">
        <v>592</v>
      </c>
      <c r="L321" s="22" t="s">
        <v>593</v>
      </c>
      <c r="M321" s="22" t="s">
        <v>594</v>
      </c>
      <c r="N321" s="22" t="s">
        <v>595</v>
      </c>
      <c r="O321" s="22" t="s">
        <v>596</v>
      </c>
      <c r="P321" s="22" t="s">
        <v>597</v>
      </c>
      <c r="Q321" s="22" t="s">
        <v>662</v>
      </c>
      <c r="R321" s="22" t="s">
        <v>1036</v>
      </c>
      <c r="S321" s="22" t="s">
        <v>1026</v>
      </c>
      <c r="T321" s="24" t="s">
        <v>1037</v>
      </c>
      <c r="V321" s="7"/>
    </row>
    <row r="322" spans="2:22" ht="18" customHeight="1">
      <c r="B322" s="195" t="str">
        <f>HYPERLINK("#LAYOUT_p!lay보PJOB3","PJOB3")</f>
        <v>PJOB3</v>
      </c>
      <c r="C322" s="195" t="str">
        <f>HYPERLINK("#LAYOUT_p!lay보PJOB3_T","PJOB3_T")</f>
        <v>PJOB3_T</v>
      </c>
      <c r="E322" s="7"/>
      <c r="F322" s="136"/>
      <c r="G322" s="143" t="s">
        <v>9</v>
      </c>
      <c r="H322" s="431" t="s">
        <v>1027</v>
      </c>
      <c r="I322" s="432"/>
      <c r="J322" s="149" t="s">
        <v>591</v>
      </c>
      <c r="K322" s="149" t="s">
        <v>592</v>
      </c>
      <c r="L322" s="149" t="s">
        <v>593</v>
      </c>
      <c r="M322" s="149" t="s">
        <v>594</v>
      </c>
      <c r="N322" s="149" t="s">
        <v>595</v>
      </c>
      <c r="O322" s="149" t="s">
        <v>596</v>
      </c>
      <c r="P322" s="149" t="s">
        <v>597</v>
      </c>
      <c r="Q322" s="149" t="s">
        <v>662</v>
      </c>
      <c r="R322" s="149" t="s">
        <v>1036</v>
      </c>
      <c r="S322" s="149" t="s">
        <v>1026</v>
      </c>
      <c r="T322" s="150" t="s">
        <v>1037</v>
      </c>
      <c r="V322" s="7"/>
    </row>
    <row r="323" spans="2:22" ht="18" customHeight="1">
      <c r="B323" s="195"/>
      <c r="C323" s="195"/>
      <c r="E323" s="7"/>
      <c r="F323" s="136"/>
      <c r="G323" s="146"/>
      <c r="H323" s="146"/>
      <c r="I323" s="14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V323" s="7"/>
    </row>
    <row r="324" spans="2:22" ht="18" customHeight="1">
      <c r="B324" s="195"/>
      <c r="C324" s="195"/>
      <c r="E324" s="7"/>
      <c r="F324" s="136"/>
      <c r="G324" s="146"/>
      <c r="H324" s="146"/>
      <c r="I324" s="14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V324" s="7"/>
    </row>
    <row r="325" spans="2:22" ht="18" customHeight="1">
      <c r="B325" s="355" t="str">
        <f>HYPERLINK("#LAYOUT_p!lay보PINCOME","PINCOME")</f>
        <v>PINCOME</v>
      </c>
      <c r="C325" s="355"/>
      <c r="E325" s="7"/>
      <c r="F325" s="136" t="s">
        <v>1038</v>
      </c>
      <c r="G325" s="146"/>
      <c r="H325" s="146"/>
      <c r="I325" s="14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V325" s="7"/>
    </row>
    <row r="326" spans="2:22" ht="18" customHeight="1">
      <c r="B326" s="195"/>
      <c r="C326" s="195"/>
      <c r="E326" s="7"/>
      <c r="F326" s="136"/>
      <c r="G326" s="136" t="s">
        <v>1039</v>
      </c>
      <c r="H326" s="146"/>
      <c r="I326" s="14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V326" s="7"/>
    </row>
    <row r="327" spans="2:22" ht="18" customHeight="1">
      <c r="B327" s="195"/>
      <c r="C327" s="195"/>
      <c r="E327" s="7"/>
      <c r="F327" s="136"/>
      <c r="G327" s="370" t="s">
        <v>1040</v>
      </c>
      <c r="H327" s="370"/>
      <c r="I327" s="370"/>
      <c r="J327" s="370" t="s">
        <v>1041</v>
      </c>
      <c r="K327" s="370"/>
      <c r="L327" s="370"/>
      <c r="M327" s="136"/>
      <c r="N327" s="136"/>
      <c r="O327" s="136"/>
      <c r="P327" s="136"/>
      <c r="Q327" s="136"/>
      <c r="R327" s="136"/>
      <c r="S327" s="136"/>
      <c r="T327" s="136"/>
      <c r="V327" s="7"/>
    </row>
    <row r="328" spans="2:22" ht="18" customHeight="1">
      <c r="B328" s="195"/>
      <c r="C328" s="195"/>
      <c r="E328" s="7"/>
      <c r="F328" s="136"/>
      <c r="G328" s="370" t="s">
        <v>1042</v>
      </c>
      <c r="H328" s="370"/>
      <c r="I328" s="370"/>
      <c r="J328" s="370" t="s">
        <v>1043</v>
      </c>
      <c r="K328" s="370"/>
      <c r="L328" s="370"/>
      <c r="M328" s="136"/>
      <c r="N328" s="136"/>
      <c r="O328" s="136"/>
      <c r="P328" s="136"/>
      <c r="Q328" s="136"/>
      <c r="R328" s="136"/>
      <c r="S328" s="136"/>
      <c r="T328" s="136"/>
      <c r="V328" s="7"/>
    </row>
    <row r="329" spans="2:22" ht="18" customHeight="1">
      <c r="B329" s="195"/>
      <c r="C329" s="195"/>
      <c r="E329" s="7"/>
      <c r="F329" s="136"/>
      <c r="G329" s="370" t="s">
        <v>1044</v>
      </c>
      <c r="H329" s="370"/>
      <c r="I329" s="370"/>
      <c r="J329" s="370" t="s">
        <v>1045</v>
      </c>
      <c r="K329" s="370"/>
      <c r="L329" s="370"/>
      <c r="M329" s="136"/>
      <c r="N329" s="136"/>
      <c r="O329" s="136"/>
      <c r="P329" s="136"/>
      <c r="Q329" s="136"/>
      <c r="R329" s="136"/>
      <c r="S329" s="136"/>
      <c r="T329" s="136"/>
      <c r="V329" s="7"/>
    </row>
    <row r="330" spans="2:22" ht="18" customHeight="1">
      <c r="B330" s="195"/>
      <c r="C330" s="195"/>
      <c r="E330" s="7"/>
      <c r="F330" s="136"/>
      <c r="G330" s="370" t="s">
        <v>1046</v>
      </c>
      <c r="H330" s="370"/>
      <c r="I330" s="370"/>
      <c r="J330" s="370" t="s">
        <v>1047</v>
      </c>
      <c r="K330" s="370"/>
      <c r="L330" s="370"/>
      <c r="M330" s="136"/>
      <c r="N330" s="136"/>
      <c r="O330" s="136"/>
      <c r="P330" s="136"/>
      <c r="Q330" s="136"/>
      <c r="R330" s="136"/>
      <c r="S330" s="136"/>
      <c r="T330" s="136"/>
      <c r="V330" s="7"/>
    </row>
    <row r="331" spans="2:22" ht="18" customHeight="1">
      <c r="B331" s="195"/>
      <c r="C331" s="195"/>
      <c r="E331" s="7"/>
      <c r="F331" s="136"/>
      <c r="G331" s="370" t="s">
        <v>1048</v>
      </c>
      <c r="H331" s="370"/>
      <c r="I331" s="370"/>
      <c r="J331" s="370" t="s">
        <v>1049</v>
      </c>
      <c r="K331" s="370"/>
      <c r="L331" s="370"/>
      <c r="M331" s="136"/>
      <c r="N331" s="136"/>
      <c r="O331" s="136"/>
      <c r="P331" s="136"/>
      <c r="Q331" s="136"/>
      <c r="R331" s="136"/>
      <c r="S331" s="136"/>
      <c r="T331" s="136"/>
      <c r="V331" s="7"/>
    </row>
    <row r="332" spans="2:22" ht="18" customHeight="1">
      <c r="B332" s="195"/>
      <c r="C332" s="195"/>
      <c r="E332" s="7"/>
      <c r="F332" s="136"/>
      <c r="G332" s="370" t="s">
        <v>1050</v>
      </c>
      <c r="H332" s="370"/>
      <c r="I332" s="370"/>
      <c r="J332" s="370" t="s">
        <v>1051</v>
      </c>
      <c r="K332" s="370"/>
      <c r="L332" s="370"/>
      <c r="M332" s="136"/>
      <c r="N332" s="136"/>
      <c r="O332" s="136"/>
      <c r="P332" s="136"/>
      <c r="Q332" s="136"/>
      <c r="R332" s="136"/>
      <c r="S332" s="136"/>
      <c r="T332" s="136"/>
      <c r="V332" s="7"/>
    </row>
    <row r="333" spans="2:22" ht="18" customHeight="1">
      <c r="B333" s="195"/>
      <c r="C333" s="195"/>
      <c r="E333" s="7"/>
      <c r="F333" s="136"/>
      <c r="G333" s="146"/>
      <c r="H333" s="146"/>
      <c r="I333" s="14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V333" s="7"/>
    </row>
    <row r="334" spans="2:22" ht="18" customHeight="1">
      <c r="B334" s="195"/>
      <c r="C334" s="195"/>
      <c r="E334" s="7"/>
      <c r="F334" s="136"/>
      <c r="G334" s="146"/>
      <c r="H334" s="146"/>
      <c r="I334" s="14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V334" s="7"/>
    </row>
    <row r="335" spans="2:22" ht="18" customHeight="1" thickBot="1">
      <c r="B335" s="355" t="str">
        <f>HYPERLINK("#LAYOUT_p!lay보PINCOME1","PINCOME1")</f>
        <v>PINCOME1</v>
      </c>
      <c r="C335" s="355"/>
      <c r="E335" s="7"/>
      <c r="F335" s="136" t="s">
        <v>1052</v>
      </c>
      <c r="G335" s="146"/>
      <c r="H335" s="146"/>
      <c r="I335" s="14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V335" s="7"/>
    </row>
    <row r="336" spans="2:22" ht="18" customHeight="1" thickTop="1">
      <c r="E336" s="7"/>
      <c r="F336" s="136"/>
      <c r="G336" s="36"/>
      <c r="H336" s="37"/>
      <c r="I336" s="37"/>
      <c r="J336" s="37"/>
      <c r="K336" s="37"/>
      <c r="L336" s="37"/>
      <c r="M336" s="38"/>
      <c r="O336" s="136"/>
      <c r="P336" s="136"/>
      <c r="Q336" s="136"/>
      <c r="R336" s="136"/>
      <c r="S336" s="136"/>
      <c r="T336" s="136"/>
      <c r="V336" s="7"/>
    </row>
    <row r="337" spans="5:22" ht="18" customHeight="1">
      <c r="E337" s="7"/>
      <c r="F337" s="136"/>
      <c r="G337" s="40"/>
      <c r="H337" s="151" t="s">
        <v>565</v>
      </c>
      <c r="I337" s="151" t="s">
        <v>566</v>
      </c>
      <c r="J337" s="151" t="s">
        <v>126</v>
      </c>
      <c r="K337" s="151" t="s">
        <v>567</v>
      </c>
      <c r="L337" s="151" t="s">
        <v>568</v>
      </c>
      <c r="M337" s="42"/>
      <c r="O337" s="136"/>
      <c r="P337" s="136"/>
      <c r="Q337" s="136"/>
      <c r="R337" s="136"/>
      <c r="S337" s="136"/>
      <c r="T337" s="136"/>
      <c r="V337" s="7"/>
    </row>
    <row r="338" spans="5:22" ht="18" customHeight="1">
      <c r="E338" s="7"/>
      <c r="F338" s="136"/>
      <c r="G338" s="40"/>
      <c r="H338" s="151" t="s">
        <v>591</v>
      </c>
      <c r="I338" s="151" t="s">
        <v>592</v>
      </c>
      <c r="J338" s="151" t="s">
        <v>593</v>
      </c>
      <c r="K338" s="151" t="s">
        <v>594</v>
      </c>
      <c r="L338" s="151" t="s">
        <v>595</v>
      </c>
      <c r="M338" s="42"/>
      <c r="O338" s="136"/>
      <c r="P338" s="136"/>
      <c r="Q338" s="136"/>
      <c r="R338" s="136"/>
      <c r="S338" s="136"/>
      <c r="T338" s="136"/>
      <c r="V338" s="7"/>
    </row>
    <row r="339" spans="5:22" ht="18" customHeight="1">
      <c r="E339" s="7"/>
      <c r="F339" s="136"/>
      <c r="G339" s="40"/>
      <c r="H339" s="43"/>
      <c r="I339" s="43"/>
      <c r="J339" s="43"/>
      <c r="K339" s="43"/>
      <c r="L339" s="43"/>
      <c r="M339" s="42"/>
      <c r="O339" s="136"/>
      <c r="P339" s="136"/>
      <c r="Q339" s="136"/>
      <c r="R339" s="136"/>
      <c r="S339" s="136"/>
      <c r="T339" s="136"/>
      <c r="V339" s="7"/>
    </row>
    <row r="340" spans="5:22" ht="18" customHeight="1">
      <c r="E340" s="7"/>
      <c r="F340" s="136"/>
      <c r="G340" s="40"/>
      <c r="H340" s="45"/>
      <c r="I340" s="45"/>
      <c r="J340" s="45"/>
      <c r="K340" s="45"/>
      <c r="L340" s="45"/>
      <c r="M340" s="42"/>
      <c r="O340" s="136"/>
      <c r="P340" s="136"/>
      <c r="Q340" s="136"/>
      <c r="R340" s="136"/>
      <c r="S340" s="136"/>
      <c r="T340" s="136"/>
      <c r="V340" s="7"/>
    </row>
    <row r="341" spans="5:22" ht="18" customHeight="1" thickBot="1">
      <c r="E341" s="7"/>
      <c r="F341" s="136"/>
      <c r="G341" s="47"/>
      <c r="H341" s="48"/>
      <c r="I341" s="48"/>
      <c r="J341" s="48"/>
      <c r="K341" s="48"/>
      <c r="L341" s="48"/>
      <c r="M341" s="49"/>
      <c r="O341" s="136"/>
      <c r="P341" s="136"/>
      <c r="Q341" s="136"/>
      <c r="R341" s="136"/>
      <c r="S341" s="136"/>
      <c r="T341" s="136"/>
      <c r="V341" s="7"/>
    </row>
    <row r="342" spans="5:22" ht="18" customHeight="1" thickTop="1">
      <c r="E342" s="7"/>
      <c r="V342" s="7"/>
    </row>
    <row r="343" spans="5:22" ht="9.75" customHeight="1"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</sheetData>
  <sheetProtection algorithmName="SHA-512" hashValue="80nUgdkc+6GB8O4VU3kzz4wUxJXxWprWz5E19Z8JPTIlEPgfOfYmN2GP8Vboi5m5E/SZkhVda7jpnxCS96nVxQ==" saltValue="3OYfbse/SYWV6zOveVWZ7A==" spinCount="100000" sheet="1" objects="1" scenarios="1"/>
  <mergeCells count="322">
    <mergeCell ref="B335:C335"/>
    <mergeCell ref="B9:C9"/>
    <mergeCell ref="B16:C16"/>
    <mergeCell ref="B17:C17"/>
    <mergeCell ref="B20:C20"/>
    <mergeCell ref="B24:C24"/>
    <mergeCell ref="B42:C42"/>
    <mergeCell ref="B43:C43"/>
    <mergeCell ref="B44:C44"/>
    <mergeCell ref="B65:C65"/>
    <mergeCell ref="B70:C70"/>
    <mergeCell ref="B71:C71"/>
    <mergeCell ref="B72:C72"/>
    <mergeCell ref="B82:C82"/>
    <mergeCell ref="B86:C86"/>
    <mergeCell ref="B87:C87"/>
    <mergeCell ref="B88:C88"/>
    <mergeCell ref="B190:C190"/>
    <mergeCell ref="B245:C245"/>
    <mergeCell ref="B269:C269"/>
    <mergeCell ref="B313:C313"/>
    <mergeCell ref="B314:C314"/>
    <mergeCell ref="B325:C325"/>
    <mergeCell ref="B53:C53"/>
    <mergeCell ref="F2:U3"/>
    <mergeCell ref="F5:U5"/>
    <mergeCell ref="H42:I42"/>
    <mergeCell ref="H43:I43"/>
    <mergeCell ref="H44:I44"/>
    <mergeCell ref="G32:K32"/>
    <mergeCell ref="G33:K33"/>
    <mergeCell ref="G37:K37"/>
    <mergeCell ref="G38:K38"/>
    <mergeCell ref="G34:K34"/>
    <mergeCell ref="G35:K35"/>
    <mergeCell ref="G36:K36"/>
    <mergeCell ref="K40:K41"/>
    <mergeCell ref="H40:I41"/>
    <mergeCell ref="G40:G41"/>
    <mergeCell ref="F6:U6"/>
    <mergeCell ref="B45:C45"/>
    <mergeCell ref="B46:C46"/>
    <mergeCell ref="B47:C47"/>
    <mergeCell ref="B48:C48"/>
    <mergeCell ref="B49:C49"/>
    <mergeCell ref="B52:C52"/>
    <mergeCell ref="H45:I45"/>
    <mergeCell ref="H46:I46"/>
    <mergeCell ref="H47:I47"/>
    <mergeCell ref="H48:I48"/>
    <mergeCell ref="H49:I49"/>
    <mergeCell ref="G71:M71"/>
    <mergeCell ref="G72:G79"/>
    <mergeCell ref="H72:M72"/>
    <mergeCell ref="H73:M73"/>
    <mergeCell ref="H74:M74"/>
    <mergeCell ref="H75:M75"/>
    <mergeCell ref="B54:C54"/>
    <mergeCell ref="B57:C57"/>
    <mergeCell ref="B58:C58"/>
    <mergeCell ref="G58:K58"/>
    <mergeCell ref="G59:K59"/>
    <mergeCell ref="G87:M87"/>
    <mergeCell ref="G88:G95"/>
    <mergeCell ref="H88:M88"/>
    <mergeCell ref="H89:M89"/>
    <mergeCell ref="H90:M90"/>
    <mergeCell ref="H91:M91"/>
    <mergeCell ref="H92:M92"/>
    <mergeCell ref="H93:M93"/>
    <mergeCell ref="H76:M76"/>
    <mergeCell ref="H77:M77"/>
    <mergeCell ref="H78:M78"/>
    <mergeCell ref="H79:M79"/>
    <mergeCell ref="L123:L124"/>
    <mergeCell ref="H124:I124"/>
    <mergeCell ref="J124:K124"/>
    <mergeCell ref="H94:M94"/>
    <mergeCell ref="H95:M95"/>
    <mergeCell ref="G100:M100"/>
    <mergeCell ref="H101:L101"/>
    <mergeCell ref="H102:L102"/>
    <mergeCell ref="H103:L103"/>
    <mergeCell ref="H104:L104"/>
    <mergeCell ref="G106:M106"/>
    <mergeCell ref="G107:G113"/>
    <mergeCell ref="H107:M107"/>
    <mergeCell ref="H108:M108"/>
    <mergeCell ref="H109:M109"/>
    <mergeCell ref="H110:M110"/>
    <mergeCell ref="H111:M111"/>
    <mergeCell ref="H112:M112"/>
    <mergeCell ref="H113:M113"/>
    <mergeCell ref="B135:C135"/>
    <mergeCell ref="B144:C144"/>
    <mergeCell ref="B153:C153"/>
    <mergeCell ref="B162:C162"/>
    <mergeCell ref="G163:H163"/>
    <mergeCell ref="I163:J163"/>
    <mergeCell ref="H122:I122"/>
    <mergeCell ref="J122:K122"/>
    <mergeCell ref="G123:G124"/>
    <mergeCell ref="H123:I123"/>
    <mergeCell ref="J123:K123"/>
    <mergeCell ref="B180:C180"/>
    <mergeCell ref="G180:L180"/>
    <mergeCell ref="B181:C181"/>
    <mergeCell ref="G181:L181"/>
    <mergeCell ref="B182:C182"/>
    <mergeCell ref="G182:L182"/>
    <mergeCell ref="G164:H164"/>
    <mergeCell ref="I164:J164"/>
    <mergeCell ref="G165:H165"/>
    <mergeCell ref="B171:C171"/>
    <mergeCell ref="G178:L178"/>
    <mergeCell ref="B179:C179"/>
    <mergeCell ref="G179:L179"/>
    <mergeCell ref="B186:C186"/>
    <mergeCell ref="G186:L186"/>
    <mergeCell ref="B187:C187"/>
    <mergeCell ref="G187:L187"/>
    <mergeCell ref="B188:C188"/>
    <mergeCell ref="G188:L188"/>
    <mergeCell ref="B183:C183"/>
    <mergeCell ref="G183:L183"/>
    <mergeCell ref="B184:C184"/>
    <mergeCell ref="G184:L184"/>
    <mergeCell ref="B185:C185"/>
    <mergeCell ref="G185:L185"/>
    <mergeCell ref="B197:C197"/>
    <mergeCell ref="G197:L197"/>
    <mergeCell ref="B198:C198"/>
    <mergeCell ref="G198:L198"/>
    <mergeCell ref="B199:C199"/>
    <mergeCell ref="G199:L199"/>
    <mergeCell ref="B189:C189"/>
    <mergeCell ref="G189:L189"/>
    <mergeCell ref="G191:L191"/>
    <mergeCell ref="G195:L195"/>
    <mergeCell ref="B196:C196"/>
    <mergeCell ref="G196:L196"/>
    <mergeCell ref="B203:C203"/>
    <mergeCell ref="G203:L203"/>
    <mergeCell ref="B204:C204"/>
    <mergeCell ref="G204:L204"/>
    <mergeCell ref="B205:C205"/>
    <mergeCell ref="G205:L205"/>
    <mergeCell ref="B200:C200"/>
    <mergeCell ref="G200:L200"/>
    <mergeCell ref="B201:C201"/>
    <mergeCell ref="G201:L201"/>
    <mergeCell ref="B202:C202"/>
    <mergeCell ref="G202:L202"/>
    <mergeCell ref="B209:C209"/>
    <mergeCell ref="G209:L209"/>
    <mergeCell ref="B210:C210"/>
    <mergeCell ref="G210:L210"/>
    <mergeCell ref="G214:L214"/>
    <mergeCell ref="B215:C215"/>
    <mergeCell ref="G215:L215"/>
    <mergeCell ref="B206:C206"/>
    <mergeCell ref="G206:L206"/>
    <mergeCell ref="B207:C207"/>
    <mergeCell ref="G207:L207"/>
    <mergeCell ref="B208:C208"/>
    <mergeCell ref="G208:L208"/>
    <mergeCell ref="B219:C219"/>
    <mergeCell ref="G219:L219"/>
    <mergeCell ref="G223:L223"/>
    <mergeCell ref="B224:C224"/>
    <mergeCell ref="G224:L224"/>
    <mergeCell ref="B225:C225"/>
    <mergeCell ref="G225:L225"/>
    <mergeCell ref="B216:C216"/>
    <mergeCell ref="G216:L216"/>
    <mergeCell ref="B217:C217"/>
    <mergeCell ref="G217:L217"/>
    <mergeCell ref="B218:C218"/>
    <mergeCell ref="G218:L218"/>
    <mergeCell ref="B236:C236"/>
    <mergeCell ref="G236:L236"/>
    <mergeCell ref="B237:C237"/>
    <mergeCell ref="G237:L237"/>
    <mergeCell ref="B238:C238"/>
    <mergeCell ref="G238:L238"/>
    <mergeCell ref="G229:L229"/>
    <mergeCell ref="B230:C230"/>
    <mergeCell ref="G230:L230"/>
    <mergeCell ref="B231:C231"/>
    <mergeCell ref="G231:L231"/>
    <mergeCell ref="G235:L235"/>
    <mergeCell ref="B242:C242"/>
    <mergeCell ref="G242:L242"/>
    <mergeCell ref="B243:C243"/>
    <mergeCell ref="G243:L243"/>
    <mergeCell ref="B244:C244"/>
    <mergeCell ref="G244:L244"/>
    <mergeCell ref="B239:C239"/>
    <mergeCell ref="G239:L239"/>
    <mergeCell ref="B240:C240"/>
    <mergeCell ref="G240:L240"/>
    <mergeCell ref="B241:C241"/>
    <mergeCell ref="G241:L241"/>
    <mergeCell ref="G251:I251"/>
    <mergeCell ref="K251:M251"/>
    <mergeCell ref="G252:I252"/>
    <mergeCell ref="K252:M252"/>
    <mergeCell ref="G253:I253"/>
    <mergeCell ref="K253:M253"/>
    <mergeCell ref="G245:L245"/>
    <mergeCell ref="G249:I249"/>
    <mergeCell ref="K249:M249"/>
    <mergeCell ref="G250:I250"/>
    <mergeCell ref="K250:M250"/>
    <mergeCell ref="K257:M257"/>
    <mergeCell ref="G258:I258"/>
    <mergeCell ref="K258:M258"/>
    <mergeCell ref="G259:I259"/>
    <mergeCell ref="K259:M259"/>
    <mergeCell ref="G254:I254"/>
    <mergeCell ref="K254:M254"/>
    <mergeCell ref="G255:I255"/>
    <mergeCell ref="K255:M255"/>
    <mergeCell ref="G256:I256"/>
    <mergeCell ref="K256:M256"/>
    <mergeCell ref="B272:C272"/>
    <mergeCell ref="G272:L272"/>
    <mergeCell ref="G269:L269"/>
    <mergeCell ref="G260:I260"/>
    <mergeCell ref="K260:M260"/>
    <mergeCell ref="G261:I261"/>
    <mergeCell ref="K261:M261"/>
    <mergeCell ref="G262:I262"/>
    <mergeCell ref="K262:M262"/>
    <mergeCell ref="K264:M264"/>
    <mergeCell ref="G268:L268"/>
    <mergeCell ref="B315:C315"/>
    <mergeCell ref="H315:I315"/>
    <mergeCell ref="B306:C306"/>
    <mergeCell ref="H306:I306"/>
    <mergeCell ref="B307:C307"/>
    <mergeCell ref="H307:I307"/>
    <mergeCell ref="F310:U310"/>
    <mergeCell ref="G312:I312"/>
    <mergeCell ref="B298:C298"/>
    <mergeCell ref="B299:C299"/>
    <mergeCell ref="B300:C300"/>
    <mergeCell ref="G304:I304"/>
    <mergeCell ref="B305:C305"/>
    <mergeCell ref="H305:I305"/>
    <mergeCell ref="B284:C284"/>
    <mergeCell ref="B289:C289"/>
    <mergeCell ref="B294:C294"/>
    <mergeCell ref="G294:I294"/>
    <mergeCell ref="B295:C295"/>
    <mergeCell ref="G295:I295"/>
    <mergeCell ref="B276:C276"/>
    <mergeCell ref="G276:L276"/>
    <mergeCell ref="H127:I127"/>
    <mergeCell ref="J127:K127"/>
    <mergeCell ref="B279:C279"/>
    <mergeCell ref="G280:H280"/>
    <mergeCell ref="I280:J280"/>
    <mergeCell ref="G281:H281"/>
    <mergeCell ref="I281:J281"/>
    <mergeCell ref="B273:C273"/>
    <mergeCell ref="G273:L273"/>
    <mergeCell ref="B274:C274"/>
    <mergeCell ref="G274:L274"/>
    <mergeCell ref="B275:C275"/>
    <mergeCell ref="G275:L275"/>
    <mergeCell ref="B270:C270"/>
    <mergeCell ref="G270:L270"/>
    <mergeCell ref="B271:C271"/>
    <mergeCell ref="G331:I331"/>
    <mergeCell ref="J331:L331"/>
    <mergeCell ref="G332:I332"/>
    <mergeCell ref="J332:L332"/>
    <mergeCell ref="G190:L190"/>
    <mergeCell ref="J327:L327"/>
    <mergeCell ref="G328:I328"/>
    <mergeCell ref="J328:L328"/>
    <mergeCell ref="G329:I329"/>
    <mergeCell ref="J329:L329"/>
    <mergeCell ref="G330:I330"/>
    <mergeCell ref="J330:L330"/>
    <mergeCell ref="G319:I319"/>
    <mergeCell ref="H320:I320"/>
    <mergeCell ref="H321:I321"/>
    <mergeCell ref="H322:I322"/>
    <mergeCell ref="G327:I327"/>
    <mergeCell ref="H313:I313"/>
    <mergeCell ref="H314:I314"/>
    <mergeCell ref="G263:I263"/>
    <mergeCell ref="K263:M263"/>
    <mergeCell ref="G264:I264"/>
    <mergeCell ref="G271:L271"/>
    <mergeCell ref="G257:I257"/>
    <mergeCell ref="B116:C116"/>
    <mergeCell ref="B120:C120"/>
    <mergeCell ref="G129:G130"/>
    <mergeCell ref="H129:I129"/>
    <mergeCell ref="J129:K129"/>
    <mergeCell ref="L129:L130"/>
    <mergeCell ref="H130:I130"/>
    <mergeCell ref="J130:K130"/>
    <mergeCell ref="G131:G132"/>
    <mergeCell ref="H131:I131"/>
    <mergeCell ref="J131:K131"/>
    <mergeCell ref="L131:L132"/>
    <mergeCell ref="H132:I132"/>
    <mergeCell ref="J132:K132"/>
    <mergeCell ref="G125:G126"/>
    <mergeCell ref="H125:I125"/>
    <mergeCell ref="L125:L126"/>
    <mergeCell ref="H128:I128"/>
    <mergeCell ref="J128:K128"/>
    <mergeCell ref="G127:G128"/>
    <mergeCell ref="L127:L128"/>
    <mergeCell ref="J125:K125"/>
    <mergeCell ref="H126:I126"/>
    <mergeCell ref="J126:K126"/>
  </mergeCells>
  <phoneticPr fontId="1" type="noConversion"/>
  <pageMargins left="0.25" right="0.25" top="0.75" bottom="0.75" header="0.3" footer="0.3"/>
  <pageSetup paperSize="9"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3179</vt:i4>
      </vt:variant>
    </vt:vector>
  </HeadingPairs>
  <TitlesOfParts>
    <vt:vector size="3192" baseType="lpstr">
      <vt:lpstr>GUIDE</vt:lpstr>
      <vt:lpstr>LAYOUT_e4</vt:lpstr>
      <vt:lpstr>LAYOUT_m1</vt:lpstr>
      <vt:lpstr>LAYOUT_p</vt:lpstr>
      <vt:lpstr>CB_e4</vt:lpstr>
      <vt:lpstr>CB_m1</vt:lpstr>
      <vt:lpstr>CB_p</vt:lpstr>
      <vt:lpstr>QN18_e4</vt:lpstr>
      <vt:lpstr>QN18_m1</vt:lpstr>
      <vt:lpstr>QN18_p</vt:lpstr>
      <vt:lpstr>QN19_e4</vt:lpstr>
      <vt:lpstr>QN19_m1</vt:lpstr>
      <vt:lpstr>QN19_p</vt:lpstr>
      <vt:lpstr>code보PARENT</vt:lpstr>
      <vt:lpstr>code보PBRP1</vt:lpstr>
      <vt:lpstr>code보PBRP2</vt:lpstr>
      <vt:lpstr>code보PBRP3</vt:lpstr>
      <vt:lpstr>code보PBRTA1</vt:lpstr>
      <vt:lpstr>code보PBRTB1</vt:lpstr>
      <vt:lpstr>code보PEDU1A00</vt:lpstr>
      <vt:lpstr>code보PEDU1B01</vt:lpstr>
      <vt:lpstr>code보PEDU1B02</vt:lpstr>
      <vt:lpstr>code보PEDU1B02_T</vt:lpstr>
      <vt:lpstr>code보PEDU1B03</vt:lpstr>
      <vt:lpstr>code보PEDU1B04</vt:lpstr>
      <vt:lpstr>code보PEDU1B04_T</vt:lpstr>
      <vt:lpstr>code보PEDU1C00</vt:lpstr>
      <vt:lpstr>code보PFAM1A00</vt:lpstr>
      <vt:lpstr>code보PFAM1A00_T</vt:lpstr>
      <vt:lpstr>code보PFAM2A01</vt:lpstr>
      <vt:lpstr>code보PFAM2A01_T</vt:lpstr>
      <vt:lpstr>code보PFAM2A02</vt:lpstr>
      <vt:lpstr>code보PFAM2A02_T</vt:lpstr>
      <vt:lpstr>code보PFAM2A03</vt:lpstr>
      <vt:lpstr>code보PFAM2A03_T</vt:lpstr>
      <vt:lpstr>code보PFAM2A04</vt:lpstr>
      <vt:lpstr>code보PFAM2A04_T</vt:lpstr>
      <vt:lpstr>code보PFAM3A00</vt:lpstr>
      <vt:lpstr>code보PFAM3B00</vt:lpstr>
      <vt:lpstr>code보PFAM3C00</vt:lpstr>
      <vt:lpstr>code보PFAM3D00</vt:lpstr>
      <vt:lpstr>code보PFAM4A01</vt:lpstr>
      <vt:lpstr>code보PFAM4A02</vt:lpstr>
      <vt:lpstr>code보PFAM4A03</vt:lpstr>
      <vt:lpstr>code보PFAM4A04</vt:lpstr>
      <vt:lpstr>code보PFAM5A01</vt:lpstr>
      <vt:lpstr>code보PFAM5A02</vt:lpstr>
      <vt:lpstr>code보PFAM5A03</vt:lpstr>
      <vt:lpstr>code보PFAM5A04</vt:lpstr>
      <vt:lpstr>code보PFAM5B01</vt:lpstr>
      <vt:lpstr>code보PFAM5B02</vt:lpstr>
      <vt:lpstr>code보PFAM5B03</vt:lpstr>
      <vt:lpstr>code보PFAM5B04</vt:lpstr>
      <vt:lpstr>code보PFAM5C01</vt:lpstr>
      <vt:lpstr>code보PFAM5C02</vt:lpstr>
      <vt:lpstr>code보PFAM5C03</vt:lpstr>
      <vt:lpstr>code보PFAM5C04</vt:lpstr>
      <vt:lpstr>code보PFAM5D01</vt:lpstr>
      <vt:lpstr>code보PFAM5D02</vt:lpstr>
      <vt:lpstr>code보PFAM5D03</vt:lpstr>
      <vt:lpstr>code보PFAM5D04</vt:lpstr>
      <vt:lpstr>code보PFAM5E01</vt:lpstr>
      <vt:lpstr>code보PFAM5E02</vt:lpstr>
      <vt:lpstr>code보PFAM5E03</vt:lpstr>
      <vt:lpstr>code보PFAM5E04</vt:lpstr>
      <vt:lpstr>code보PFAM6A00</vt:lpstr>
      <vt:lpstr>code보PFAM6B00</vt:lpstr>
      <vt:lpstr>code보PFBRTA1</vt:lpstr>
      <vt:lpstr>code보PFBRTB1</vt:lpstr>
      <vt:lpstr>code보PFGENDER1</vt:lpstr>
      <vt:lpstr>code보PFRELATION1</vt:lpstr>
      <vt:lpstr>code보PGENDER1</vt:lpstr>
      <vt:lpstr>code보PHOMPOP</vt:lpstr>
      <vt:lpstr>code보PINCOME</vt:lpstr>
      <vt:lpstr>code보PINCOME1</vt:lpstr>
      <vt:lpstr>code보PJOB1</vt:lpstr>
      <vt:lpstr>code보PJOB1_T</vt:lpstr>
      <vt:lpstr>code보PJOB2</vt:lpstr>
      <vt:lpstr>code보PJOB2_T</vt:lpstr>
      <vt:lpstr>code보PJOB3</vt:lpstr>
      <vt:lpstr>code보PJOB3_T</vt:lpstr>
      <vt:lpstr>code보PMDA1A00</vt:lpstr>
      <vt:lpstr>code보PMDA1B01</vt:lpstr>
      <vt:lpstr>code보PMDA1B02</vt:lpstr>
      <vt:lpstr>code보PMDA1B03</vt:lpstr>
      <vt:lpstr>code보PMDA1B04</vt:lpstr>
      <vt:lpstr>code보PMDA1B05</vt:lpstr>
      <vt:lpstr>code보PMDA1B06</vt:lpstr>
      <vt:lpstr>code보PMDA1B07</vt:lpstr>
      <vt:lpstr>code보PMDA1B08</vt:lpstr>
      <vt:lpstr>code보PMDA1B09</vt:lpstr>
      <vt:lpstr>code보PMDA1B10</vt:lpstr>
      <vt:lpstr>code보PMDA1B11</vt:lpstr>
      <vt:lpstr>code보PMDA1B12</vt:lpstr>
      <vt:lpstr>code보PMDA1B13</vt:lpstr>
      <vt:lpstr>code보PMDA1B13_T</vt:lpstr>
      <vt:lpstr>code보PMDA1C01</vt:lpstr>
      <vt:lpstr>code보PMDA1C02</vt:lpstr>
      <vt:lpstr>code보PMDA1C03</vt:lpstr>
      <vt:lpstr>code보PMDA1C04</vt:lpstr>
      <vt:lpstr>code보PMDA1C05</vt:lpstr>
      <vt:lpstr>code보PMDA1C06</vt:lpstr>
      <vt:lpstr>code보PMDA1C07</vt:lpstr>
      <vt:lpstr>code보PMDA1C08</vt:lpstr>
      <vt:lpstr>code보PMDA1C09</vt:lpstr>
      <vt:lpstr>code보PMDA1C10</vt:lpstr>
      <vt:lpstr>code보PMDA1C11</vt:lpstr>
      <vt:lpstr>code보PMDA1C12</vt:lpstr>
      <vt:lpstr>code보PMDA1C13</vt:lpstr>
      <vt:lpstr>code보PMDA1C14</vt:lpstr>
      <vt:lpstr>code보PMDA1C15</vt:lpstr>
      <vt:lpstr>code보PPHY1A00</vt:lpstr>
      <vt:lpstr>code보PPHY1B00</vt:lpstr>
      <vt:lpstr>code보PPHY1C00</vt:lpstr>
      <vt:lpstr>code보PPHY2A00</vt:lpstr>
      <vt:lpstr>code보PPHY2B00</vt:lpstr>
      <vt:lpstr>code보PPSY1A01</vt:lpstr>
      <vt:lpstr>code보PPSY1A02</vt:lpstr>
      <vt:lpstr>code보PPSY1A03</vt:lpstr>
      <vt:lpstr>code보PPSY1A04</vt:lpstr>
      <vt:lpstr>code보PPSY1A05</vt:lpstr>
      <vt:lpstr>code보PPSY2A01</vt:lpstr>
      <vt:lpstr>code보PPSY2A02</vt:lpstr>
      <vt:lpstr>code보PPSY2A03</vt:lpstr>
      <vt:lpstr>code보PPSY2A04</vt:lpstr>
      <vt:lpstr>code보PPSY3A01</vt:lpstr>
      <vt:lpstr>code보PPSY3A02</vt:lpstr>
      <vt:lpstr>code보PPSY3A03</vt:lpstr>
      <vt:lpstr>code보PPSY3A04</vt:lpstr>
      <vt:lpstr>code보PPSY3A05</vt:lpstr>
      <vt:lpstr>code보PPSY3A06</vt:lpstr>
      <vt:lpstr>code보PPSY3A07</vt:lpstr>
      <vt:lpstr>code보PPSY3A08</vt:lpstr>
      <vt:lpstr>code보PPSY3A09</vt:lpstr>
      <vt:lpstr>code보PPSY3A10</vt:lpstr>
      <vt:lpstr>code보PPSY4A01</vt:lpstr>
      <vt:lpstr>code보PPSY4A02</vt:lpstr>
      <vt:lpstr>code보PPSY4A03</vt:lpstr>
      <vt:lpstr>code보PPSY4A04</vt:lpstr>
      <vt:lpstr>code보PPSY4A05</vt:lpstr>
      <vt:lpstr>code보PPSY4A06</vt:lpstr>
      <vt:lpstr>code보PPSY4A07</vt:lpstr>
      <vt:lpstr>code보PPSY4A08</vt:lpstr>
      <vt:lpstr>code보PPSY4A09</vt:lpstr>
      <vt:lpstr>code보PPSY4A10</vt:lpstr>
      <vt:lpstr>code보PPSY4A11</vt:lpstr>
      <vt:lpstr>code보PPSY4A12</vt:lpstr>
      <vt:lpstr>code보PPSY4A13</vt:lpstr>
      <vt:lpstr>code보PPSY4A14</vt:lpstr>
      <vt:lpstr>code보PPSY4A15</vt:lpstr>
      <vt:lpstr>code보PPSY4A16</vt:lpstr>
      <vt:lpstr>code보PPSY4A17</vt:lpstr>
      <vt:lpstr>code보PPSY4A18</vt:lpstr>
      <vt:lpstr>code보PPSY4A19</vt:lpstr>
      <vt:lpstr>code보PPSY4A20</vt:lpstr>
      <vt:lpstr>code보PPSY4A21</vt:lpstr>
      <vt:lpstr>code보PPSY4A22</vt:lpstr>
      <vt:lpstr>code보PPSY4A23</vt:lpstr>
      <vt:lpstr>code보PPSY4A24</vt:lpstr>
      <vt:lpstr>code보PPSY4A25</vt:lpstr>
      <vt:lpstr>code보PPSY4A26</vt:lpstr>
      <vt:lpstr>code보PPSY4A27</vt:lpstr>
      <vt:lpstr>code보PPSY4A28</vt:lpstr>
      <vt:lpstr>code보PPSY4A29</vt:lpstr>
      <vt:lpstr>code보PPSY4A30</vt:lpstr>
      <vt:lpstr>code보PPSY4Asc</vt:lpstr>
      <vt:lpstr>code보PPSY5A01</vt:lpstr>
      <vt:lpstr>code보PPSY5A02</vt:lpstr>
      <vt:lpstr>code보PPSY5A03</vt:lpstr>
      <vt:lpstr>code보PPSY5A04</vt:lpstr>
      <vt:lpstr>code보PPSY5A05</vt:lpstr>
      <vt:lpstr>code보PPSY5A06</vt:lpstr>
      <vt:lpstr>code보PPSY5A07</vt:lpstr>
      <vt:lpstr>code보PPSY5A08</vt:lpstr>
      <vt:lpstr>code보PRELATE1</vt:lpstr>
      <vt:lpstr>code보PSCHOOL1</vt:lpstr>
      <vt:lpstr>code보PSCHOOL2</vt:lpstr>
      <vt:lpstr>code보PSCHOOL3</vt:lpstr>
      <vt:lpstr>code보PWORKW1</vt:lpstr>
      <vt:lpstr>code보PWORKW2</vt:lpstr>
      <vt:lpstr>code보PWORKW3</vt:lpstr>
      <vt:lpstr>code보PYBRP1</vt:lpstr>
      <vt:lpstr>code보PYBRP2</vt:lpstr>
      <vt:lpstr>code보PYBRP3</vt:lpstr>
      <vt:lpstr>code보PYBRT1A</vt:lpstr>
      <vt:lpstr>code보PYBRT1B</vt:lpstr>
      <vt:lpstr>code보PYGENDER</vt:lpstr>
      <vt:lpstr>code중ARA1A</vt:lpstr>
      <vt:lpstr>code중ARA1B</vt:lpstr>
      <vt:lpstr>code중ARA2A</vt:lpstr>
      <vt:lpstr>code중COHORT</vt:lpstr>
      <vt:lpstr>code중SGRADE</vt:lpstr>
      <vt:lpstr>code중SIBLING</vt:lpstr>
      <vt:lpstr>code중SIBLING_T</vt:lpstr>
      <vt:lpstr>code중SURVEY1</vt:lpstr>
      <vt:lpstr>code중SURVEY2</vt:lpstr>
      <vt:lpstr>code중YACT1A01</vt:lpstr>
      <vt:lpstr>code중YACT1A02</vt:lpstr>
      <vt:lpstr>code중YACT1A03</vt:lpstr>
      <vt:lpstr>code중YACT1A04</vt:lpstr>
      <vt:lpstr>code중YACT1A05</vt:lpstr>
      <vt:lpstr>code중YACT1A06</vt:lpstr>
      <vt:lpstr>code중YACT1A07</vt:lpstr>
      <vt:lpstr>code중YACT1A08</vt:lpstr>
      <vt:lpstr>code중YACT1A09</vt:lpstr>
      <vt:lpstr>code중YACT1B01</vt:lpstr>
      <vt:lpstr>code중YACT1B02</vt:lpstr>
      <vt:lpstr>code중YACT1B03</vt:lpstr>
      <vt:lpstr>code중YACT1B04</vt:lpstr>
      <vt:lpstr>code중YACT1B05</vt:lpstr>
      <vt:lpstr>code중YACT1B06</vt:lpstr>
      <vt:lpstr>code중YACT1B07</vt:lpstr>
      <vt:lpstr>code중YACT1B08</vt:lpstr>
      <vt:lpstr>code중YACT1B09</vt:lpstr>
      <vt:lpstr>code중YACT2A01</vt:lpstr>
      <vt:lpstr>code중YACT2A02</vt:lpstr>
      <vt:lpstr>code중YACT2B01</vt:lpstr>
      <vt:lpstr>code중YACT2B02</vt:lpstr>
      <vt:lpstr>code중YACT3A00</vt:lpstr>
      <vt:lpstr>code중YACT3B01</vt:lpstr>
      <vt:lpstr>code중YACT3B02</vt:lpstr>
      <vt:lpstr>code중YACT3B03</vt:lpstr>
      <vt:lpstr>code중YACT3B04</vt:lpstr>
      <vt:lpstr>code중YACT3B05</vt:lpstr>
      <vt:lpstr>code중YACT3B06</vt:lpstr>
      <vt:lpstr>code중YACT3B07</vt:lpstr>
      <vt:lpstr>code중YACT3B08</vt:lpstr>
      <vt:lpstr>code중YACT3B09</vt:lpstr>
      <vt:lpstr>code중YBRT1A</vt:lpstr>
      <vt:lpstr>code중YBRT1B</vt:lpstr>
      <vt:lpstr>code중YDLQ1A01</vt:lpstr>
      <vt:lpstr>code중YDLQ1A02</vt:lpstr>
      <vt:lpstr>code중YDLQ1A03</vt:lpstr>
      <vt:lpstr>code중YDLQ1A04</vt:lpstr>
      <vt:lpstr>code중YDLQ1A05</vt:lpstr>
      <vt:lpstr>code중YDLQ1A06</vt:lpstr>
      <vt:lpstr>code중YDLQ1A07</vt:lpstr>
      <vt:lpstr>code중YDLQ1A08</vt:lpstr>
      <vt:lpstr>code중YDLQ1A09</vt:lpstr>
      <vt:lpstr>code중YDLQ1A10</vt:lpstr>
      <vt:lpstr>code중YDLQ1A11</vt:lpstr>
      <vt:lpstr>code중YDLQ1A12</vt:lpstr>
      <vt:lpstr>code중YDLQ1A13</vt:lpstr>
      <vt:lpstr>code중YDLQ1A14</vt:lpstr>
      <vt:lpstr>code중YDLQ1A15</vt:lpstr>
      <vt:lpstr>code중YDLQ2A01</vt:lpstr>
      <vt:lpstr>code중YDLQ2A02</vt:lpstr>
      <vt:lpstr>code중YDLQ2A03</vt:lpstr>
      <vt:lpstr>code중YDLQ2A04</vt:lpstr>
      <vt:lpstr>code중YDLQ2A05</vt:lpstr>
      <vt:lpstr>code중YDLQ2A06</vt:lpstr>
      <vt:lpstr>code중YDLQ2A07</vt:lpstr>
      <vt:lpstr>code중YDLQ2A08</vt:lpstr>
      <vt:lpstr>code중YDLQ2A09</vt:lpstr>
      <vt:lpstr>code중YDLQ2A10</vt:lpstr>
      <vt:lpstr>code중YDLQ2A11</vt:lpstr>
      <vt:lpstr>code중YDLQ2A12</vt:lpstr>
      <vt:lpstr>code중YDLQ2A13</vt:lpstr>
      <vt:lpstr>code중YDLQ2A14</vt:lpstr>
      <vt:lpstr>code중YDLQ2A15</vt:lpstr>
      <vt:lpstr>code중YEDU1A00</vt:lpstr>
      <vt:lpstr>code중YEDU2A01</vt:lpstr>
      <vt:lpstr>code중YEDU2A02</vt:lpstr>
      <vt:lpstr>code중YEDU2A03</vt:lpstr>
      <vt:lpstr>code중YEDU2A04</vt:lpstr>
      <vt:lpstr>code중YEDU2A05</vt:lpstr>
      <vt:lpstr>code중YEDU2A06</vt:lpstr>
      <vt:lpstr>code중YEDU2A07</vt:lpstr>
      <vt:lpstr>code중YEDU2A08</vt:lpstr>
      <vt:lpstr>code중YEDU2A09</vt:lpstr>
      <vt:lpstr>code중YEDU2A10</vt:lpstr>
      <vt:lpstr>code중YEDU2A11</vt:lpstr>
      <vt:lpstr>code중YEDU2A12</vt:lpstr>
      <vt:lpstr>code중YEDU2A13</vt:lpstr>
      <vt:lpstr>code중YEDU3A01</vt:lpstr>
      <vt:lpstr>code중YEDU3A02</vt:lpstr>
      <vt:lpstr>code중YEDU3A03</vt:lpstr>
      <vt:lpstr>code중YEDU3A04</vt:lpstr>
      <vt:lpstr>code중YEDU3A05</vt:lpstr>
      <vt:lpstr>code중YEDU3A06</vt:lpstr>
      <vt:lpstr>code중YEDU3A07</vt:lpstr>
      <vt:lpstr>code중YEDU3A08</vt:lpstr>
      <vt:lpstr>code중YEDU3A09</vt:lpstr>
      <vt:lpstr>code중YEDU3A10</vt:lpstr>
      <vt:lpstr>code중YEDU3A11</vt:lpstr>
      <vt:lpstr>code중YEDU3A12</vt:lpstr>
      <vt:lpstr>code중YEDU3A13</vt:lpstr>
      <vt:lpstr>code중YEDU3A14</vt:lpstr>
      <vt:lpstr>code중YFAM1A01</vt:lpstr>
      <vt:lpstr>code중YFAM1A02</vt:lpstr>
      <vt:lpstr>code중YFAM1A03</vt:lpstr>
      <vt:lpstr>code중YFAM1A04</vt:lpstr>
      <vt:lpstr>code중YFAM1B01</vt:lpstr>
      <vt:lpstr>code중YFAM1B02</vt:lpstr>
      <vt:lpstr>code중YFAM1B03</vt:lpstr>
      <vt:lpstr>code중YFAM1B04</vt:lpstr>
      <vt:lpstr>code중YFAM1C01</vt:lpstr>
      <vt:lpstr>code중YFAM1C02</vt:lpstr>
      <vt:lpstr>code중YFAM1C03</vt:lpstr>
      <vt:lpstr>code중YFAM1C04</vt:lpstr>
      <vt:lpstr>code중YFAM1D01</vt:lpstr>
      <vt:lpstr>code중YFAM1D02</vt:lpstr>
      <vt:lpstr>code중YFAM1D03</vt:lpstr>
      <vt:lpstr>code중YFAM1D04</vt:lpstr>
      <vt:lpstr>code중YFAM1E01</vt:lpstr>
      <vt:lpstr>code중YFAM1E02</vt:lpstr>
      <vt:lpstr>code중YFAM1E03</vt:lpstr>
      <vt:lpstr>code중YFAM1E04</vt:lpstr>
      <vt:lpstr>code중YFAM1F01</vt:lpstr>
      <vt:lpstr>code중YFAM1F02</vt:lpstr>
      <vt:lpstr>code중YFAM1F03</vt:lpstr>
      <vt:lpstr>code중YFAM1F04</vt:lpstr>
      <vt:lpstr>code중YFAM2A01</vt:lpstr>
      <vt:lpstr>code중YFAM2A02</vt:lpstr>
      <vt:lpstr>code중YFAM2A03</vt:lpstr>
      <vt:lpstr>code중YFAM2A04</vt:lpstr>
      <vt:lpstr>code중YFAM2B01</vt:lpstr>
      <vt:lpstr>code중YFAM2B02</vt:lpstr>
      <vt:lpstr>code중YFAM2B03</vt:lpstr>
      <vt:lpstr>code중YFAM2B04</vt:lpstr>
      <vt:lpstr>code중YFAM2C01</vt:lpstr>
      <vt:lpstr>code중YFAM2C02</vt:lpstr>
      <vt:lpstr>code중YFAM2C03</vt:lpstr>
      <vt:lpstr>code중YFAM2C04</vt:lpstr>
      <vt:lpstr>code중YFAM2D01</vt:lpstr>
      <vt:lpstr>code중YFAM2D02</vt:lpstr>
      <vt:lpstr>code중YFAM2D03</vt:lpstr>
      <vt:lpstr>code중YFAM2D04</vt:lpstr>
      <vt:lpstr>code중YFAM2E01</vt:lpstr>
      <vt:lpstr>code중YFAM2E02</vt:lpstr>
      <vt:lpstr>code중YFAM2E03</vt:lpstr>
      <vt:lpstr>code중YFAM2E04</vt:lpstr>
      <vt:lpstr>code중YFAM2F01</vt:lpstr>
      <vt:lpstr>code중YFAM2F02</vt:lpstr>
      <vt:lpstr>code중YFAM2F03</vt:lpstr>
      <vt:lpstr>code중YFAM2F04</vt:lpstr>
      <vt:lpstr>code중YFAM3A00</vt:lpstr>
      <vt:lpstr>code중YFAM3B00</vt:lpstr>
      <vt:lpstr>code중YFUR1A00</vt:lpstr>
      <vt:lpstr>code중YFUR1B00</vt:lpstr>
      <vt:lpstr>code중YFUR2A01</vt:lpstr>
      <vt:lpstr>code중YFUR2A02</vt:lpstr>
      <vt:lpstr>code중YFUR2A03</vt:lpstr>
      <vt:lpstr>code중YFUR2A04</vt:lpstr>
      <vt:lpstr>code중YFUR2A05</vt:lpstr>
      <vt:lpstr>code중YFUR2A06</vt:lpstr>
      <vt:lpstr>code중YFUR2A07</vt:lpstr>
      <vt:lpstr>code중YFUR2A08</vt:lpstr>
      <vt:lpstr>code중YFUR2A08_T</vt:lpstr>
      <vt:lpstr>code중YGENDER</vt:lpstr>
      <vt:lpstr>code중YINT1A00</vt:lpstr>
      <vt:lpstr>code중YINT1B00</vt:lpstr>
      <vt:lpstr>code중YINT2A01</vt:lpstr>
      <vt:lpstr>code중YINT2A02</vt:lpstr>
      <vt:lpstr>code중YINT2A03</vt:lpstr>
      <vt:lpstr>code중YINT2A04</vt:lpstr>
      <vt:lpstr>code중YINT2A05</vt:lpstr>
      <vt:lpstr>code중YINT2A06</vt:lpstr>
      <vt:lpstr>code중YINT2A07</vt:lpstr>
      <vt:lpstr>code중YINT2A08</vt:lpstr>
      <vt:lpstr>code중YINT2A09</vt:lpstr>
      <vt:lpstr>code중YINT2A10</vt:lpstr>
      <vt:lpstr>code중YINT2A11</vt:lpstr>
      <vt:lpstr>code중YINT2A12</vt:lpstr>
      <vt:lpstr>code중YINT2A13</vt:lpstr>
      <vt:lpstr>code중YINT2A14</vt:lpstr>
      <vt:lpstr>code중YINT2A15</vt:lpstr>
      <vt:lpstr>code중YINT2A16</vt:lpstr>
      <vt:lpstr>code중YINT2B01</vt:lpstr>
      <vt:lpstr>code중YINT2B02</vt:lpstr>
      <vt:lpstr>code중YINT2B03</vt:lpstr>
      <vt:lpstr>code중YINT2B04</vt:lpstr>
      <vt:lpstr>code중YINT2B05</vt:lpstr>
      <vt:lpstr>code중YINT2B06</vt:lpstr>
      <vt:lpstr>code중YINT2B07</vt:lpstr>
      <vt:lpstr>code중YINT2B08</vt:lpstr>
      <vt:lpstr>code중YINT2B09</vt:lpstr>
      <vt:lpstr>code중YINT2B10</vt:lpstr>
      <vt:lpstr>code중YINT2B11</vt:lpstr>
      <vt:lpstr>code중YINT2B12</vt:lpstr>
      <vt:lpstr>code중YINT2B13</vt:lpstr>
      <vt:lpstr>code중YINT2B14</vt:lpstr>
      <vt:lpstr>code중YINT2B15</vt:lpstr>
      <vt:lpstr>code중YINT2B16</vt:lpstr>
      <vt:lpstr>code중YMDA1A00</vt:lpstr>
      <vt:lpstr>code중YMDA1B01</vt:lpstr>
      <vt:lpstr>code중YMDA1B02</vt:lpstr>
      <vt:lpstr>code중YMDA1B03</vt:lpstr>
      <vt:lpstr>code중YMDA1B04</vt:lpstr>
      <vt:lpstr>code중YMDA1B05</vt:lpstr>
      <vt:lpstr>code중YMDA1B06</vt:lpstr>
      <vt:lpstr>code중YMDA1B07</vt:lpstr>
      <vt:lpstr>code중YMDA1B08</vt:lpstr>
      <vt:lpstr>code중YMDA1B09</vt:lpstr>
      <vt:lpstr>code중YMDA1B10</vt:lpstr>
      <vt:lpstr>code중YMDA1B11</vt:lpstr>
      <vt:lpstr>code중YMDA1B12</vt:lpstr>
      <vt:lpstr>code중YMDA1B13</vt:lpstr>
      <vt:lpstr>code중YMDA1B13_T</vt:lpstr>
      <vt:lpstr>code중YMDA1C01</vt:lpstr>
      <vt:lpstr>code중YMDA1C02</vt:lpstr>
      <vt:lpstr>code중YMDA1C03</vt:lpstr>
      <vt:lpstr>code중YMDA1C04</vt:lpstr>
      <vt:lpstr>code중YMDA1C05</vt:lpstr>
      <vt:lpstr>code중YMDA1C06</vt:lpstr>
      <vt:lpstr>code중YMDA1C07</vt:lpstr>
      <vt:lpstr>code중YMDA1C08</vt:lpstr>
      <vt:lpstr>code중YMDA1C09</vt:lpstr>
      <vt:lpstr>code중YMDA1C10</vt:lpstr>
      <vt:lpstr>code중YMDA1C11</vt:lpstr>
      <vt:lpstr>code중YMDA1C12</vt:lpstr>
      <vt:lpstr>code중YMDA1C13</vt:lpstr>
      <vt:lpstr>code중YMDA1C14</vt:lpstr>
      <vt:lpstr>code중YMDA1C15</vt:lpstr>
      <vt:lpstr>code중YPHY1A00</vt:lpstr>
      <vt:lpstr>code중YPHY1B00</vt:lpstr>
      <vt:lpstr>code중YPHY1C00</vt:lpstr>
      <vt:lpstr>code중YPHY2A00</vt:lpstr>
      <vt:lpstr>code중YPHY2B00</vt:lpstr>
      <vt:lpstr>code중YPHY2C00</vt:lpstr>
      <vt:lpstr>code중YPSY1A01</vt:lpstr>
      <vt:lpstr>code중YPSY1A02</vt:lpstr>
      <vt:lpstr>code중YPSY1A03</vt:lpstr>
      <vt:lpstr>code중YPSY1A04</vt:lpstr>
      <vt:lpstr>code중YPSY1A05</vt:lpstr>
      <vt:lpstr>code중YPSY2A01</vt:lpstr>
      <vt:lpstr>code중YPSY2A02</vt:lpstr>
      <vt:lpstr>code중YPSY2A03</vt:lpstr>
      <vt:lpstr>code중YPSY2A04</vt:lpstr>
      <vt:lpstr>code중YPSY3A01</vt:lpstr>
      <vt:lpstr>code중YPSY3A02</vt:lpstr>
      <vt:lpstr>code중YPSY3A03</vt:lpstr>
      <vt:lpstr>code중YPSY3A04</vt:lpstr>
      <vt:lpstr>code중YPSY3A05</vt:lpstr>
      <vt:lpstr>code중YPSY3A06</vt:lpstr>
      <vt:lpstr>code중YPSY3A07</vt:lpstr>
      <vt:lpstr>code중YPSY3A08</vt:lpstr>
      <vt:lpstr>code중YPSY3A09</vt:lpstr>
      <vt:lpstr>code중YPSY3A10</vt:lpstr>
      <vt:lpstr>code중YPSY4A01</vt:lpstr>
      <vt:lpstr>code중YPSY4A02</vt:lpstr>
      <vt:lpstr>code중YPSY4A03</vt:lpstr>
      <vt:lpstr>code중YPSY4A04</vt:lpstr>
      <vt:lpstr>code중YPSY4A05</vt:lpstr>
      <vt:lpstr>code중YPSY4A06</vt:lpstr>
      <vt:lpstr>code중YPSY4A07</vt:lpstr>
      <vt:lpstr>code중YPSY4B01</vt:lpstr>
      <vt:lpstr>code중YPSY4B02</vt:lpstr>
      <vt:lpstr>code중YPSY4B03</vt:lpstr>
      <vt:lpstr>code중YPSY4B04</vt:lpstr>
      <vt:lpstr>code중YPSY4B05</vt:lpstr>
      <vt:lpstr>code중YPSY4B06</vt:lpstr>
      <vt:lpstr>code중YPSY4C01</vt:lpstr>
      <vt:lpstr>code중YPSY4C02</vt:lpstr>
      <vt:lpstr>code중YPSY4C03</vt:lpstr>
      <vt:lpstr>code중YPSY4C04</vt:lpstr>
      <vt:lpstr>code중YPSY4C05</vt:lpstr>
      <vt:lpstr>code중YPSY4C06</vt:lpstr>
      <vt:lpstr>code중YPSY4C07</vt:lpstr>
      <vt:lpstr>code중YPSY4C08</vt:lpstr>
      <vt:lpstr>code중YPSY4D01</vt:lpstr>
      <vt:lpstr>code중YPSY4D02</vt:lpstr>
      <vt:lpstr>code중YPSY4D03</vt:lpstr>
      <vt:lpstr>code중YPSY4D04</vt:lpstr>
      <vt:lpstr>code중YPSY4D05</vt:lpstr>
      <vt:lpstr>code중YPSY4E01</vt:lpstr>
      <vt:lpstr>code중YPSY4E02</vt:lpstr>
      <vt:lpstr>code중YPSY4E03</vt:lpstr>
      <vt:lpstr>code중YPSY4E04</vt:lpstr>
      <vt:lpstr>code중YPSY4E05</vt:lpstr>
      <vt:lpstr>code중YPSY4E06</vt:lpstr>
      <vt:lpstr>code중YPSY4E07</vt:lpstr>
      <vt:lpstr>code중YPSY4E08</vt:lpstr>
      <vt:lpstr>code중YPSY4E09</vt:lpstr>
      <vt:lpstr>code중YPSY4E10</vt:lpstr>
      <vt:lpstr>code중YPSY5A01</vt:lpstr>
      <vt:lpstr>code중YPSY5A02</vt:lpstr>
      <vt:lpstr>code중YPSY5A03</vt:lpstr>
      <vt:lpstr>code중YPSY5A04</vt:lpstr>
      <vt:lpstr>code중YPSY5A05</vt:lpstr>
      <vt:lpstr>code중YPSY5A06</vt:lpstr>
      <vt:lpstr>code중YPSY5A07</vt:lpstr>
      <vt:lpstr>code중YPSY5A08</vt:lpstr>
      <vt:lpstr>code중YPSY5A09</vt:lpstr>
      <vt:lpstr>code중YPSY5A10</vt:lpstr>
      <vt:lpstr>code중YPSY5A11</vt:lpstr>
      <vt:lpstr>code중YPSY5A12</vt:lpstr>
      <vt:lpstr>code중YPSY5A13</vt:lpstr>
      <vt:lpstr>code중YPSY5A14</vt:lpstr>
      <vt:lpstr>code중YPSY6A01</vt:lpstr>
      <vt:lpstr>code중YPSY6A02</vt:lpstr>
      <vt:lpstr>code중YPSY6A03</vt:lpstr>
      <vt:lpstr>code중YPSY6A04</vt:lpstr>
      <vt:lpstr>code중YPSY6A05</vt:lpstr>
      <vt:lpstr>code중YPSY6A06</vt:lpstr>
      <vt:lpstr>code중YPSY6A07</vt:lpstr>
      <vt:lpstr>code중YPSY6A08</vt:lpstr>
      <vt:lpstr>code중YPSY6A09</vt:lpstr>
      <vt:lpstr>code중YPSY6A10</vt:lpstr>
      <vt:lpstr>code중YPSY6A11</vt:lpstr>
      <vt:lpstr>code중YPSY6A12</vt:lpstr>
      <vt:lpstr>code중YPSY6A13</vt:lpstr>
      <vt:lpstr>code중YPSY6A14</vt:lpstr>
      <vt:lpstr>code중YPSY6A15</vt:lpstr>
      <vt:lpstr>code중YPSY6A16</vt:lpstr>
      <vt:lpstr>code중YPSY6A17</vt:lpstr>
      <vt:lpstr>code중YPSY6A18</vt:lpstr>
      <vt:lpstr>code중YPSY6A19</vt:lpstr>
      <vt:lpstr>code중YPSY6A20</vt:lpstr>
      <vt:lpstr>code중YPSY6A21</vt:lpstr>
      <vt:lpstr>code중YPSY6A22</vt:lpstr>
      <vt:lpstr>code중YPSY6A23</vt:lpstr>
      <vt:lpstr>code중YPSY6A24</vt:lpstr>
      <vt:lpstr>code중YPSY6A25</vt:lpstr>
      <vt:lpstr>code중YPSY6A26</vt:lpstr>
      <vt:lpstr>code중YPSY6A27</vt:lpstr>
      <vt:lpstr>code중YPSY6A28</vt:lpstr>
      <vt:lpstr>code중YPSY6A29</vt:lpstr>
      <vt:lpstr>code중YPSY6A30</vt:lpstr>
      <vt:lpstr>code중YPSY6Asc</vt:lpstr>
      <vt:lpstr>code중YPSY7A01</vt:lpstr>
      <vt:lpstr>code중YPSY7A02</vt:lpstr>
      <vt:lpstr>code중YPSY7A03</vt:lpstr>
      <vt:lpstr>code중YPSY7A04</vt:lpstr>
      <vt:lpstr>code중YPSY7A05</vt:lpstr>
      <vt:lpstr>code중YPSY7A06</vt:lpstr>
      <vt:lpstr>code중YPSY7A07</vt:lpstr>
      <vt:lpstr>code중YPSY7A08</vt:lpstr>
      <vt:lpstr>code중YTIM1A01</vt:lpstr>
      <vt:lpstr>code중YTIM1A02</vt:lpstr>
      <vt:lpstr>code중YTIM1A03</vt:lpstr>
      <vt:lpstr>code중YTIM1A04</vt:lpstr>
      <vt:lpstr>code중YTIM1B01</vt:lpstr>
      <vt:lpstr>code중YTIM1B02</vt:lpstr>
      <vt:lpstr>code중YTIM1B03</vt:lpstr>
      <vt:lpstr>code중YTIM1B04</vt:lpstr>
      <vt:lpstr>code중YTIM1C01</vt:lpstr>
      <vt:lpstr>code중YTIM1C02</vt:lpstr>
      <vt:lpstr>code중YTIM1D01</vt:lpstr>
      <vt:lpstr>code중YTIM1D02</vt:lpstr>
      <vt:lpstr>code중YTIM1E01</vt:lpstr>
      <vt:lpstr>code중YTIM1E02</vt:lpstr>
      <vt:lpstr>code중YTIM1F01</vt:lpstr>
      <vt:lpstr>code중YTIM1F02</vt:lpstr>
      <vt:lpstr>code중YTIM1G01</vt:lpstr>
      <vt:lpstr>code중YTIM1G02</vt:lpstr>
      <vt:lpstr>code중YTIM1H01</vt:lpstr>
      <vt:lpstr>code중YTIM1H02</vt:lpstr>
      <vt:lpstr>code중YTIM1I01</vt:lpstr>
      <vt:lpstr>code중YTIM1I02</vt:lpstr>
      <vt:lpstr>code중YTIM1J01</vt:lpstr>
      <vt:lpstr>code중YTIM1J02</vt:lpstr>
      <vt:lpstr>code중YTIM1K01</vt:lpstr>
      <vt:lpstr>code중YTIM1K02</vt:lpstr>
      <vt:lpstr>code중YTIM1L01</vt:lpstr>
      <vt:lpstr>code중YTIM1L02</vt:lpstr>
      <vt:lpstr>code중YTIM1M01</vt:lpstr>
      <vt:lpstr>code중YTIM1M02</vt:lpstr>
      <vt:lpstr>code중YTIM1N01</vt:lpstr>
      <vt:lpstr>code중YTIM1N02</vt:lpstr>
      <vt:lpstr>code중YTWIN</vt:lpstr>
      <vt:lpstr>code초ARA1A</vt:lpstr>
      <vt:lpstr>code초ARA1B</vt:lpstr>
      <vt:lpstr>code초ARA2A</vt:lpstr>
      <vt:lpstr>code초COHORT</vt:lpstr>
      <vt:lpstr>code초SGRADE</vt:lpstr>
      <vt:lpstr>code초SIBLING</vt:lpstr>
      <vt:lpstr>code초SIBLING_T</vt:lpstr>
      <vt:lpstr>code초SURVEY1</vt:lpstr>
      <vt:lpstr>code초SURVEY2</vt:lpstr>
      <vt:lpstr>code초YBRT1A</vt:lpstr>
      <vt:lpstr>code초YBRT1B</vt:lpstr>
      <vt:lpstr>code초YEDU1A00</vt:lpstr>
      <vt:lpstr>code초YEDU2A01</vt:lpstr>
      <vt:lpstr>code초YEDU2A02</vt:lpstr>
      <vt:lpstr>code초YEDU2A03</vt:lpstr>
      <vt:lpstr>code초YEDU2A04</vt:lpstr>
      <vt:lpstr>code초YEDU2A05</vt:lpstr>
      <vt:lpstr>code초YEDU2A06</vt:lpstr>
      <vt:lpstr>code초YEDU2A07</vt:lpstr>
      <vt:lpstr>code초YEDU2A08</vt:lpstr>
      <vt:lpstr>code초YEDU2A09</vt:lpstr>
      <vt:lpstr>code초YEDU2A10</vt:lpstr>
      <vt:lpstr>code초YEDU2A11</vt:lpstr>
      <vt:lpstr>code초YEDU2A12</vt:lpstr>
      <vt:lpstr>code초YEDU2A13</vt:lpstr>
      <vt:lpstr>code초YEDU3A01</vt:lpstr>
      <vt:lpstr>code초YEDU3A02</vt:lpstr>
      <vt:lpstr>code초YEDU3A03</vt:lpstr>
      <vt:lpstr>code초YEDU3A04</vt:lpstr>
      <vt:lpstr>code초YEDU3A05</vt:lpstr>
      <vt:lpstr>code초YEDU3A06</vt:lpstr>
      <vt:lpstr>code초YEDU3A07</vt:lpstr>
      <vt:lpstr>code초YEDU3A08</vt:lpstr>
      <vt:lpstr>code초YEDU3A09</vt:lpstr>
      <vt:lpstr>code초YEDU3A10</vt:lpstr>
      <vt:lpstr>code초YEDU3A11</vt:lpstr>
      <vt:lpstr>code초YEDU3A12</vt:lpstr>
      <vt:lpstr>code초YEDU3A13</vt:lpstr>
      <vt:lpstr>code초YEDU3A14</vt:lpstr>
      <vt:lpstr>code초YFAM1A01</vt:lpstr>
      <vt:lpstr>code초YFAM1A02</vt:lpstr>
      <vt:lpstr>code초YFAM1A03</vt:lpstr>
      <vt:lpstr>code초YFAM1A04</vt:lpstr>
      <vt:lpstr>code초YFAM1B01</vt:lpstr>
      <vt:lpstr>code초YFAM1B02</vt:lpstr>
      <vt:lpstr>code초YFAM1B03</vt:lpstr>
      <vt:lpstr>code초YFAM1B04</vt:lpstr>
      <vt:lpstr>code초YFAM1C01</vt:lpstr>
      <vt:lpstr>code초YFAM1C02</vt:lpstr>
      <vt:lpstr>code초YFAM1C03</vt:lpstr>
      <vt:lpstr>code초YFAM1C04</vt:lpstr>
      <vt:lpstr>code초YFAM1D01</vt:lpstr>
      <vt:lpstr>code초YFAM1D02</vt:lpstr>
      <vt:lpstr>code초YFAM1D03</vt:lpstr>
      <vt:lpstr>code초YFAM1D04</vt:lpstr>
      <vt:lpstr>code초YFAM1E01</vt:lpstr>
      <vt:lpstr>code초YFAM1E02</vt:lpstr>
      <vt:lpstr>code초YFAM1E03</vt:lpstr>
      <vt:lpstr>code초YFAM1E04</vt:lpstr>
      <vt:lpstr>code초YFAM1F01</vt:lpstr>
      <vt:lpstr>code초YFAM1F02</vt:lpstr>
      <vt:lpstr>code초YFAM1F03</vt:lpstr>
      <vt:lpstr>code초YFAM1F04</vt:lpstr>
      <vt:lpstr>code초YFAM2A01</vt:lpstr>
      <vt:lpstr>code초YFAM2A02</vt:lpstr>
      <vt:lpstr>code초YFAM2A03</vt:lpstr>
      <vt:lpstr>code초YFAM2A04</vt:lpstr>
      <vt:lpstr>code초YFAM2B01</vt:lpstr>
      <vt:lpstr>code초YFAM2B02</vt:lpstr>
      <vt:lpstr>code초YFAM2B03</vt:lpstr>
      <vt:lpstr>code초YFAM2B04</vt:lpstr>
      <vt:lpstr>code초YFAM2C01</vt:lpstr>
      <vt:lpstr>code초YFAM2C02</vt:lpstr>
      <vt:lpstr>code초YFAM2C03</vt:lpstr>
      <vt:lpstr>code초YFAM2C04</vt:lpstr>
      <vt:lpstr>code초YFAM2D01</vt:lpstr>
      <vt:lpstr>code초YFAM2D02</vt:lpstr>
      <vt:lpstr>code초YFAM2D03</vt:lpstr>
      <vt:lpstr>code초YFAM2D04</vt:lpstr>
      <vt:lpstr>code초YFAM2E01</vt:lpstr>
      <vt:lpstr>code초YFAM2E02</vt:lpstr>
      <vt:lpstr>code초YFAM2E03</vt:lpstr>
      <vt:lpstr>code초YFAM2E04</vt:lpstr>
      <vt:lpstr>code초YFAM2F01</vt:lpstr>
      <vt:lpstr>code초YFAM2F02</vt:lpstr>
      <vt:lpstr>code초YFAM2F03</vt:lpstr>
      <vt:lpstr>code초YFAM2F04</vt:lpstr>
      <vt:lpstr>code초YFAM3A00</vt:lpstr>
      <vt:lpstr>code초YFAM3B00</vt:lpstr>
      <vt:lpstr>code초YFUR2A01</vt:lpstr>
      <vt:lpstr>code초YFUR2A02</vt:lpstr>
      <vt:lpstr>code초YFUR2A03</vt:lpstr>
      <vt:lpstr>code초YFUR2A04</vt:lpstr>
      <vt:lpstr>code초YFUR2A05</vt:lpstr>
      <vt:lpstr>code초YFUR2A06</vt:lpstr>
      <vt:lpstr>code초YFUR2A07</vt:lpstr>
      <vt:lpstr>code초YFUR2A08</vt:lpstr>
      <vt:lpstr>code초YFUR2A08_T</vt:lpstr>
      <vt:lpstr>code초YGENDER</vt:lpstr>
      <vt:lpstr>code초YINT1A00</vt:lpstr>
      <vt:lpstr>code초YINT1B00</vt:lpstr>
      <vt:lpstr>code초YINT2A01</vt:lpstr>
      <vt:lpstr>code초YINT2A02</vt:lpstr>
      <vt:lpstr>code초YINT2A03</vt:lpstr>
      <vt:lpstr>code초YINT2A04</vt:lpstr>
      <vt:lpstr>code초YINT2A05</vt:lpstr>
      <vt:lpstr>code초YINT2A06</vt:lpstr>
      <vt:lpstr>code초YINT2A07</vt:lpstr>
      <vt:lpstr>code초YINT2A08</vt:lpstr>
      <vt:lpstr>code초YINT2A09</vt:lpstr>
      <vt:lpstr>code초YINT2A10</vt:lpstr>
      <vt:lpstr>code초YINT2A11</vt:lpstr>
      <vt:lpstr>code초YINT2A12</vt:lpstr>
      <vt:lpstr>code초YINT2A13</vt:lpstr>
      <vt:lpstr>code초YINT2A14</vt:lpstr>
      <vt:lpstr>code초YINT2A15</vt:lpstr>
      <vt:lpstr>code초YINT2A16</vt:lpstr>
      <vt:lpstr>code초YMDA1A00</vt:lpstr>
      <vt:lpstr>code초YMDA1B01</vt:lpstr>
      <vt:lpstr>code초YMDA1B02</vt:lpstr>
      <vt:lpstr>code초YMDA1B03</vt:lpstr>
      <vt:lpstr>code초YMDA1B04</vt:lpstr>
      <vt:lpstr>code초YMDA1B05</vt:lpstr>
      <vt:lpstr>code초YMDA1B06</vt:lpstr>
      <vt:lpstr>code초YMDA1B07</vt:lpstr>
      <vt:lpstr>code초YMDA1B08</vt:lpstr>
      <vt:lpstr>code초YMDA1B09</vt:lpstr>
      <vt:lpstr>code초YMDA1B10</vt:lpstr>
      <vt:lpstr>code초YMDA1B11</vt:lpstr>
      <vt:lpstr>code초YMDA1B12</vt:lpstr>
      <vt:lpstr>code초YMDA1B13</vt:lpstr>
      <vt:lpstr>code초YMDA1B13_T</vt:lpstr>
      <vt:lpstr>code초YMDA1C01</vt:lpstr>
      <vt:lpstr>code초YMDA1C02</vt:lpstr>
      <vt:lpstr>code초YMDA1C03</vt:lpstr>
      <vt:lpstr>code초YMDA1C04</vt:lpstr>
      <vt:lpstr>code초YMDA1C05</vt:lpstr>
      <vt:lpstr>code초YMDA1C06</vt:lpstr>
      <vt:lpstr>code초YMDA1C07</vt:lpstr>
      <vt:lpstr>code초YMDA1C08</vt:lpstr>
      <vt:lpstr>code초YMDA1C09</vt:lpstr>
      <vt:lpstr>code초YMDA1C10</vt:lpstr>
      <vt:lpstr>code초YMDA1C11</vt:lpstr>
      <vt:lpstr>code초YMDA1C12</vt:lpstr>
      <vt:lpstr>code초YMDA1C13</vt:lpstr>
      <vt:lpstr>code초YMDA1C14</vt:lpstr>
      <vt:lpstr>code초YMDA1C15</vt:lpstr>
      <vt:lpstr>code초YPHY1A00</vt:lpstr>
      <vt:lpstr>code초YPHY1B00</vt:lpstr>
      <vt:lpstr>code초YPHY1C00</vt:lpstr>
      <vt:lpstr>code초YPHY2A00</vt:lpstr>
      <vt:lpstr>code초YPHY2B00</vt:lpstr>
      <vt:lpstr>code초YPSY1A01</vt:lpstr>
      <vt:lpstr>code초YPSY1A02</vt:lpstr>
      <vt:lpstr>code초YPSY1A03</vt:lpstr>
      <vt:lpstr>code초YPSY1A04</vt:lpstr>
      <vt:lpstr>code초YPSY1A05</vt:lpstr>
      <vt:lpstr>code초YPSY2A01</vt:lpstr>
      <vt:lpstr>code초YPSY2A02</vt:lpstr>
      <vt:lpstr>code초YPSY2A03</vt:lpstr>
      <vt:lpstr>code초YPSY2A04</vt:lpstr>
      <vt:lpstr>code초YPSY3A01</vt:lpstr>
      <vt:lpstr>code초YPSY3A02</vt:lpstr>
      <vt:lpstr>code초YPSY3A03</vt:lpstr>
      <vt:lpstr>code초YPSY3A04</vt:lpstr>
      <vt:lpstr>code초YPSY3A05</vt:lpstr>
      <vt:lpstr>code초YPSY3A06</vt:lpstr>
      <vt:lpstr>code초YPSY3A07</vt:lpstr>
      <vt:lpstr>code초YPSY3A08</vt:lpstr>
      <vt:lpstr>code초YPSY3A09</vt:lpstr>
      <vt:lpstr>code초YPSY3A10</vt:lpstr>
      <vt:lpstr>code초YPSY4A01</vt:lpstr>
      <vt:lpstr>code초YPSY4A02</vt:lpstr>
      <vt:lpstr>code초YPSY4A03</vt:lpstr>
      <vt:lpstr>code초YPSY4A04</vt:lpstr>
      <vt:lpstr>code초YPSY4A05</vt:lpstr>
      <vt:lpstr>code초YPSY4A06</vt:lpstr>
      <vt:lpstr>code초YPSY4A07</vt:lpstr>
      <vt:lpstr>code초YPSY4B01</vt:lpstr>
      <vt:lpstr>code초YPSY4B02</vt:lpstr>
      <vt:lpstr>code초YPSY4B03</vt:lpstr>
      <vt:lpstr>code초YPSY4B04</vt:lpstr>
      <vt:lpstr>code초YPSY4B05</vt:lpstr>
      <vt:lpstr>code초YPSY4B06</vt:lpstr>
      <vt:lpstr>code초YPSY4C01</vt:lpstr>
      <vt:lpstr>code초YPSY4C02</vt:lpstr>
      <vt:lpstr>code초YPSY4C03</vt:lpstr>
      <vt:lpstr>code초YPSY4C04</vt:lpstr>
      <vt:lpstr>code초YPSY4C05</vt:lpstr>
      <vt:lpstr>code초YPSY4C06</vt:lpstr>
      <vt:lpstr>code초YPSY4C07</vt:lpstr>
      <vt:lpstr>code초YPSY4C08</vt:lpstr>
      <vt:lpstr>code초YPSY4D01</vt:lpstr>
      <vt:lpstr>code초YPSY4D02</vt:lpstr>
      <vt:lpstr>code초YPSY4D03</vt:lpstr>
      <vt:lpstr>code초YPSY4D04</vt:lpstr>
      <vt:lpstr>code초YPSY4D05</vt:lpstr>
      <vt:lpstr>code초YPSY4E01</vt:lpstr>
      <vt:lpstr>code초YPSY4E02</vt:lpstr>
      <vt:lpstr>code초YPSY4E03</vt:lpstr>
      <vt:lpstr>code초YPSY4E04</vt:lpstr>
      <vt:lpstr>code초YPSY4E05</vt:lpstr>
      <vt:lpstr>code초YPSY4E06</vt:lpstr>
      <vt:lpstr>code초YPSY4E07</vt:lpstr>
      <vt:lpstr>code초YPSY4E08</vt:lpstr>
      <vt:lpstr>code초YPSY4E09</vt:lpstr>
      <vt:lpstr>code초YPSY4E10</vt:lpstr>
      <vt:lpstr>code초YPSY5A01</vt:lpstr>
      <vt:lpstr>code초YPSY5A02</vt:lpstr>
      <vt:lpstr>code초YPSY5A03</vt:lpstr>
      <vt:lpstr>code초YPSY5A04</vt:lpstr>
      <vt:lpstr>code초YPSY5A05</vt:lpstr>
      <vt:lpstr>code초YPSY5A06</vt:lpstr>
      <vt:lpstr>code초YPSY5A07</vt:lpstr>
      <vt:lpstr>code초YPSY5A08</vt:lpstr>
      <vt:lpstr>code초YPSY5A09</vt:lpstr>
      <vt:lpstr>code초YPSY5A10</vt:lpstr>
      <vt:lpstr>code초YPSY5A11</vt:lpstr>
      <vt:lpstr>code초YPSY5A12</vt:lpstr>
      <vt:lpstr>code초YPSY5A13</vt:lpstr>
      <vt:lpstr>code초YPSY5A14</vt:lpstr>
      <vt:lpstr>code초YPSY7A01</vt:lpstr>
      <vt:lpstr>code초YPSY7A02</vt:lpstr>
      <vt:lpstr>code초YPSY7A03</vt:lpstr>
      <vt:lpstr>code초YPSY7A04</vt:lpstr>
      <vt:lpstr>code초YPSY7A05</vt:lpstr>
      <vt:lpstr>code초YPSY7A06</vt:lpstr>
      <vt:lpstr>code초YPSY7A07</vt:lpstr>
      <vt:lpstr>code초YPSY7A08</vt:lpstr>
      <vt:lpstr>code초YTIM1A01</vt:lpstr>
      <vt:lpstr>code초YTIM1A02</vt:lpstr>
      <vt:lpstr>code초YTIM1A03</vt:lpstr>
      <vt:lpstr>code초YTIM1A04</vt:lpstr>
      <vt:lpstr>code초YTIM1B01</vt:lpstr>
      <vt:lpstr>code초YTIM1B02</vt:lpstr>
      <vt:lpstr>code초YTIM1B03</vt:lpstr>
      <vt:lpstr>code초YTIM1B04</vt:lpstr>
      <vt:lpstr>code초YTIM1C01</vt:lpstr>
      <vt:lpstr>code초YTIM1C02</vt:lpstr>
      <vt:lpstr>code초YTIM1D01</vt:lpstr>
      <vt:lpstr>code초YTIM1D02</vt:lpstr>
      <vt:lpstr>code초YTIM1E01</vt:lpstr>
      <vt:lpstr>code초YTIM1E02</vt:lpstr>
      <vt:lpstr>code초YTIM1F01</vt:lpstr>
      <vt:lpstr>code초YTIM1F02</vt:lpstr>
      <vt:lpstr>code초YTIM1G01</vt:lpstr>
      <vt:lpstr>code초YTIM1G02</vt:lpstr>
      <vt:lpstr>code초YTIM1H01</vt:lpstr>
      <vt:lpstr>code초YTIM1H02</vt:lpstr>
      <vt:lpstr>code초YTIM1I01</vt:lpstr>
      <vt:lpstr>code초YTIM1I02</vt:lpstr>
      <vt:lpstr>code초YTIM1J01</vt:lpstr>
      <vt:lpstr>code초YTIM1J02</vt:lpstr>
      <vt:lpstr>code초YTIM1K01</vt:lpstr>
      <vt:lpstr>code초YTIM1K02</vt:lpstr>
      <vt:lpstr>code초YTIM1L01</vt:lpstr>
      <vt:lpstr>code초YTIM1L02</vt:lpstr>
      <vt:lpstr>code초YTIM1M01</vt:lpstr>
      <vt:lpstr>code초YTIM1M02</vt:lpstr>
      <vt:lpstr>code초YTIM1N01</vt:lpstr>
      <vt:lpstr>code초YTIM1N02</vt:lpstr>
      <vt:lpstr>code초YTWIN</vt:lpstr>
      <vt:lpstr>lay보PARENT</vt:lpstr>
      <vt:lpstr>lay보PBRP1</vt:lpstr>
      <vt:lpstr>lay보PBRP2</vt:lpstr>
      <vt:lpstr>lay보PBRP3</vt:lpstr>
      <vt:lpstr>lay보PBRTA1</vt:lpstr>
      <vt:lpstr>lay보PBRTA2</vt:lpstr>
      <vt:lpstr>lay보PBRTA3</vt:lpstr>
      <vt:lpstr>lay보PBRTA4</vt:lpstr>
      <vt:lpstr>lay보PBRTA5</vt:lpstr>
      <vt:lpstr>lay보PBRTA6</vt:lpstr>
      <vt:lpstr>lay보PBRTA7</vt:lpstr>
      <vt:lpstr>lay보PBRTA8</vt:lpstr>
      <vt:lpstr>lay보PBRTB1</vt:lpstr>
      <vt:lpstr>lay보PBRTB2</vt:lpstr>
      <vt:lpstr>lay보PBRTB3</vt:lpstr>
      <vt:lpstr>lay보PBRTB4</vt:lpstr>
      <vt:lpstr>lay보PBRTB5</vt:lpstr>
      <vt:lpstr>lay보PBRTB6</vt:lpstr>
      <vt:lpstr>lay보PBRTB7</vt:lpstr>
      <vt:lpstr>lay보PBRTB8</vt:lpstr>
      <vt:lpstr>lay보PEDU1A00</vt:lpstr>
      <vt:lpstr>lay보PEDU1B01</vt:lpstr>
      <vt:lpstr>lay보PEDU1B02</vt:lpstr>
      <vt:lpstr>lay보PEDU1B02_T</vt:lpstr>
      <vt:lpstr>lay보PEDU1B03</vt:lpstr>
      <vt:lpstr>lay보PEDU1B04</vt:lpstr>
      <vt:lpstr>lay보PEDU1B04_T</vt:lpstr>
      <vt:lpstr>lay보PEDU1C00</vt:lpstr>
      <vt:lpstr>lay보PFAM1A00</vt:lpstr>
      <vt:lpstr>lay보PFAM1A00_T</vt:lpstr>
      <vt:lpstr>lay보PFAM2A01</vt:lpstr>
      <vt:lpstr>lay보PFAM2A01_T</vt:lpstr>
      <vt:lpstr>lay보PFAM2A02</vt:lpstr>
      <vt:lpstr>lay보PFAM2A02_T</vt:lpstr>
      <vt:lpstr>lay보PFAM2A03</vt:lpstr>
      <vt:lpstr>lay보PFAM2A03_T</vt:lpstr>
      <vt:lpstr>lay보PFAM2A04</vt:lpstr>
      <vt:lpstr>lay보PFAM2A04_T</vt:lpstr>
      <vt:lpstr>lay보PFAM3A00</vt:lpstr>
      <vt:lpstr>lay보PFAM3B00</vt:lpstr>
      <vt:lpstr>lay보PFAM3C00</vt:lpstr>
      <vt:lpstr>lay보PFAM3D00</vt:lpstr>
      <vt:lpstr>lay보PFAM4A01</vt:lpstr>
      <vt:lpstr>lay보PFAM4A02</vt:lpstr>
      <vt:lpstr>lay보PFAM4A03</vt:lpstr>
      <vt:lpstr>lay보PFAM4A04</vt:lpstr>
      <vt:lpstr>lay보PFAM5A01</vt:lpstr>
      <vt:lpstr>lay보PFAM5A02</vt:lpstr>
      <vt:lpstr>lay보PFAM5A03</vt:lpstr>
      <vt:lpstr>lay보PFAM5A04</vt:lpstr>
      <vt:lpstr>lay보PFAM5B01</vt:lpstr>
      <vt:lpstr>lay보PFAM5B02</vt:lpstr>
      <vt:lpstr>lay보PFAM5B03</vt:lpstr>
      <vt:lpstr>lay보PFAM5B04</vt:lpstr>
      <vt:lpstr>lay보PFAM5C01</vt:lpstr>
      <vt:lpstr>lay보PFAM5C02</vt:lpstr>
      <vt:lpstr>lay보PFAM5C03</vt:lpstr>
      <vt:lpstr>lay보PFAM5C04</vt:lpstr>
      <vt:lpstr>lay보PFAM5D01</vt:lpstr>
      <vt:lpstr>lay보PFAM5D02</vt:lpstr>
      <vt:lpstr>lay보PFAM5D03</vt:lpstr>
      <vt:lpstr>lay보PFAM5D04</vt:lpstr>
      <vt:lpstr>lay보PFAM5E01</vt:lpstr>
      <vt:lpstr>lay보PFAM5E02</vt:lpstr>
      <vt:lpstr>lay보PFAM5E03</vt:lpstr>
      <vt:lpstr>lay보PFAM5E04</vt:lpstr>
      <vt:lpstr>lay보PFAM6A00</vt:lpstr>
      <vt:lpstr>lay보PFAM6B00</vt:lpstr>
      <vt:lpstr>lay보PFBRTA1</vt:lpstr>
      <vt:lpstr>lay보PFBRTA2</vt:lpstr>
      <vt:lpstr>lay보PFBRTA3</vt:lpstr>
      <vt:lpstr>lay보PFBRTA4</vt:lpstr>
      <vt:lpstr>lay보PFBRTA5</vt:lpstr>
      <vt:lpstr>lay보PFBRTA6</vt:lpstr>
      <vt:lpstr>lay보PFBRTA7</vt:lpstr>
      <vt:lpstr>lay보PFBRTA8</vt:lpstr>
      <vt:lpstr>lay보PFBRTB1</vt:lpstr>
      <vt:lpstr>lay보PFBRTB2</vt:lpstr>
      <vt:lpstr>lay보PFBRTB3</vt:lpstr>
      <vt:lpstr>lay보PFBRTB4</vt:lpstr>
      <vt:lpstr>lay보PFBRTB5</vt:lpstr>
      <vt:lpstr>lay보PFBRTB6</vt:lpstr>
      <vt:lpstr>lay보PFBRTB7</vt:lpstr>
      <vt:lpstr>lay보PFBRTB8</vt:lpstr>
      <vt:lpstr>lay보PFGENDER1</vt:lpstr>
      <vt:lpstr>lay보PFGENDER2</vt:lpstr>
      <vt:lpstr>lay보PFGENDER3</vt:lpstr>
      <vt:lpstr>lay보PFGENDER4</vt:lpstr>
      <vt:lpstr>lay보PFGENDER5</vt:lpstr>
      <vt:lpstr>lay보PFGENDER6</vt:lpstr>
      <vt:lpstr>lay보PFGENDER7</vt:lpstr>
      <vt:lpstr>lay보PFGENDER8</vt:lpstr>
      <vt:lpstr>lay보PFRELATION1</vt:lpstr>
      <vt:lpstr>lay보PFRELATION2</vt:lpstr>
      <vt:lpstr>lay보PFRELATION3</vt:lpstr>
      <vt:lpstr>lay보PFRELATION4</vt:lpstr>
      <vt:lpstr>lay보PFRELATION5</vt:lpstr>
      <vt:lpstr>lay보PFRELATION6</vt:lpstr>
      <vt:lpstr>lay보PFRELATION7</vt:lpstr>
      <vt:lpstr>lay보PFRELATION8</vt:lpstr>
      <vt:lpstr>lay보PGENDER1</vt:lpstr>
      <vt:lpstr>lay보PGENDER2</vt:lpstr>
      <vt:lpstr>lay보PGENDER3</vt:lpstr>
      <vt:lpstr>lay보PGENDER4</vt:lpstr>
      <vt:lpstr>lay보PGENDER5</vt:lpstr>
      <vt:lpstr>lay보PGENDER6</vt:lpstr>
      <vt:lpstr>lay보PGENDER7</vt:lpstr>
      <vt:lpstr>lay보PGENDER8</vt:lpstr>
      <vt:lpstr>lay보PHOMPOP</vt:lpstr>
      <vt:lpstr>lay보PINCOME</vt:lpstr>
      <vt:lpstr>lay보PINCOME1</vt:lpstr>
      <vt:lpstr>lay보PJOB1</vt:lpstr>
      <vt:lpstr>lay보PJOB1_T</vt:lpstr>
      <vt:lpstr>lay보PJOB2</vt:lpstr>
      <vt:lpstr>lay보PJOB2_T</vt:lpstr>
      <vt:lpstr>lay보PJOB3</vt:lpstr>
      <vt:lpstr>lay보PJOB3_T</vt:lpstr>
      <vt:lpstr>lay보PMDA1A00</vt:lpstr>
      <vt:lpstr>lay보PMDA1B01</vt:lpstr>
      <vt:lpstr>lay보PMDA1B02</vt:lpstr>
      <vt:lpstr>lay보PMDA1B03</vt:lpstr>
      <vt:lpstr>lay보PMDA1B04</vt:lpstr>
      <vt:lpstr>lay보PMDA1B05</vt:lpstr>
      <vt:lpstr>lay보PMDA1B06</vt:lpstr>
      <vt:lpstr>lay보PMDA1B07</vt:lpstr>
      <vt:lpstr>lay보PMDA1B08</vt:lpstr>
      <vt:lpstr>lay보PMDA1B09</vt:lpstr>
      <vt:lpstr>lay보PMDA1B10</vt:lpstr>
      <vt:lpstr>lay보PMDA1B11</vt:lpstr>
      <vt:lpstr>lay보PMDA1B12</vt:lpstr>
      <vt:lpstr>lay보PMDA1B13</vt:lpstr>
      <vt:lpstr>lay보PMDA1B13_T</vt:lpstr>
      <vt:lpstr>lay보PMDA1C01</vt:lpstr>
      <vt:lpstr>lay보PMDA1C02</vt:lpstr>
      <vt:lpstr>lay보PMDA1C03</vt:lpstr>
      <vt:lpstr>lay보PMDA1C04</vt:lpstr>
      <vt:lpstr>lay보PMDA1C05</vt:lpstr>
      <vt:lpstr>lay보PMDA1C06</vt:lpstr>
      <vt:lpstr>lay보PMDA1C07</vt:lpstr>
      <vt:lpstr>lay보PMDA1C08</vt:lpstr>
      <vt:lpstr>lay보PMDA1C09</vt:lpstr>
      <vt:lpstr>lay보PMDA1C10</vt:lpstr>
      <vt:lpstr>lay보PMDA1C11</vt:lpstr>
      <vt:lpstr>lay보PMDA1C12</vt:lpstr>
      <vt:lpstr>lay보PMDA1C13</vt:lpstr>
      <vt:lpstr>lay보PMDA1C14</vt:lpstr>
      <vt:lpstr>lay보PMDA1C15</vt:lpstr>
      <vt:lpstr>lay보PPHY1A00</vt:lpstr>
      <vt:lpstr>lay보PPHY1B00</vt:lpstr>
      <vt:lpstr>lay보PPHY1C00</vt:lpstr>
      <vt:lpstr>lay보PPHY2A00</vt:lpstr>
      <vt:lpstr>lay보PPHY2B00</vt:lpstr>
      <vt:lpstr>lay보PPSY1A01</vt:lpstr>
      <vt:lpstr>lay보PPSY1A02</vt:lpstr>
      <vt:lpstr>lay보PPSY1A03</vt:lpstr>
      <vt:lpstr>lay보PPSY1A04</vt:lpstr>
      <vt:lpstr>lay보PPSY1A05</vt:lpstr>
      <vt:lpstr>lay보PPSY2A01</vt:lpstr>
      <vt:lpstr>lay보PPSY2A02</vt:lpstr>
      <vt:lpstr>lay보PPSY2A03</vt:lpstr>
      <vt:lpstr>lay보PPSY2A04</vt:lpstr>
      <vt:lpstr>lay보PPSY3A01</vt:lpstr>
      <vt:lpstr>lay보PPSY3A02</vt:lpstr>
      <vt:lpstr>lay보PPSY3A03</vt:lpstr>
      <vt:lpstr>lay보PPSY3A04</vt:lpstr>
      <vt:lpstr>lay보PPSY3A05</vt:lpstr>
      <vt:lpstr>lay보PPSY3A06</vt:lpstr>
      <vt:lpstr>lay보PPSY3A07</vt:lpstr>
      <vt:lpstr>lay보PPSY3A08</vt:lpstr>
      <vt:lpstr>lay보PPSY3A09</vt:lpstr>
      <vt:lpstr>lay보PPSY3A10</vt:lpstr>
      <vt:lpstr>lay보PPSY4A01</vt:lpstr>
      <vt:lpstr>lay보PPSY4A02</vt:lpstr>
      <vt:lpstr>lay보PPSY4A03</vt:lpstr>
      <vt:lpstr>lay보PPSY4A04</vt:lpstr>
      <vt:lpstr>lay보PPSY4A05</vt:lpstr>
      <vt:lpstr>lay보PPSY4A06</vt:lpstr>
      <vt:lpstr>lay보PPSY4A07</vt:lpstr>
      <vt:lpstr>lay보PPSY4A08</vt:lpstr>
      <vt:lpstr>lay보PPSY4A09</vt:lpstr>
      <vt:lpstr>lay보PPSY4A10</vt:lpstr>
      <vt:lpstr>lay보PPSY4A11</vt:lpstr>
      <vt:lpstr>lay보PPSY4A12</vt:lpstr>
      <vt:lpstr>lay보PPSY4A13</vt:lpstr>
      <vt:lpstr>lay보PPSY4A14</vt:lpstr>
      <vt:lpstr>lay보PPSY4A15</vt:lpstr>
      <vt:lpstr>lay보PPSY4A16</vt:lpstr>
      <vt:lpstr>lay보PPSY4A17</vt:lpstr>
      <vt:lpstr>lay보PPSY4A18</vt:lpstr>
      <vt:lpstr>lay보PPSY4A19</vt:lpstr>
      <vt:lpstr>lay보PPSY4A20</vt:lpstr>
      <vt:lpstr>lay보PPSY4A21</vt:lpstr>
      <vt:lpstr>lay보PPSY4A22</vt:lpstr>
      <vt:lpstr>lay보PPSY4A23</vt:lpstr>
      <vt:lpstr>lay보PPSY4A24</vt:lpstr>
      <vt:lpstr>lay보PPSY4A25</vt:lpstr>
      <vt:lpstr>lay보PPSY4A26</vt:lpstr>
      <vt:lpstr>lay보PPSY4A27</vt:lpstr>
      <vt:lpstr>lay보PPSY4A28</vt:lpstr>
      <vt:lpstr>lay보PPSY4A29</vt:lpstr>
      <vt:lpstr>lay보PPSY4A30</vt:lpstr>
      <vt:lpstr>lay보PPSY4Asc</vt:lpstr>
      <vt:lpstr>lay보PPSY5A01</vt:lpstr>
      <vt:lpstr>lay보PPSY5A02</vt:lpstr>
      <vt:lpstr>lay보PPSY5A03</vt:lpstr>
      <vt:lpstr>lay보PPSY5A04</vt:lpstr>
      <vt:lpstr>lay보PPSY5A05</vt:lpstr>
      <vt:lpstr>lay보PPSY5A06</vt:lpstr>
      <vt:lpstr>lay보PPSY5A07</vt:lpstr>
      <vt:lpstr>lay보PPSY5A08</vt:lpstr>
      <vt:lpstr>lay보PRELATE1</vt:lpstr>
      <vt:lpstr>lay보PRELATE2</vt:lpstr>
      <vt:lpstr>lay보PRELATE3</vt:lpstr>
      <vt:lpstr>lay보PRELATE4</vt:lpstr>
      <vt:lpstr>lay보PRELATE5</vt:lpstr>
      <vt:lpstr>lay보PRELATE6</vt:lpstr>
      <vt:lpstr>lay보PRELATE7</vt:lpstr>
      <vt:lpstr>lay보PRELATE8</vt:lpstr>
      <vt:lpstr>lay보PSCHOOL1</vt:lpstr>
      <vt:lpstr>lay보PSCHOOL2</vt:lpstr>
      <vt:lpstr>lay보PSCHOOL3</vt:lpstr>
      <vt:lpstr>lay보PWORKW1</vt:lpstr>
      <vt:lpstr>lay보PWORKW2</vt:lpstr>
      <vt:lpstr>lay보PWORKW3</vt:lpstr>
      <vt:lpstr>lay보PYBRP1</vt:lpstr>
      <vt:lpstr>lay보PYBRP2</vt:lpstr>
      <vt:lpstr>lay보PYBRP3</vt:lpstr>
      <vt:lpstr>lay보PYBRT1A</vt:lpstr>
      <vt:lpstr>lay보PYBRT1B</vt:lpstr>
      <vt:lpstr>lay보PYGENDER</vt:lpstr>
      <vt:lpstr>lay중ARA1A</vt:lpstr>
      <vt:lpstr>lay중ARA1B</vt:lpstr>
      <vt:lpstr>lay중ARA2A</vt:lpstr>
      <vt:lpstr>lay중COHORT</vt:lpstr>
      <vt:lpstr>lay중SGRADE</vt:lpstr>
      <vt:lpstr>lay중SIBLING</vt:lpstr>
      <vt:lpstr>lay중SIBLING_T</vt:lpstr>
      <vt:lpstr>lay중SURVEY1</vt:lpstr>
      <vt:lpstr>lay중SURVEY2</vt:lpstr>
      <vt:lpstr>lay중YACT1A01</vt:lpstr>
      <vt:lpstr>lay중YACT1A02</vt:lpstr>
      <vt:lpstr>lay중YACT1A03</vt:lpstr>
      <vt:lpstr>lay중YACT1A04</vt:lpstr>
      <vt:lpstr>lay중YACT1A05</vt:lpstr>
      <vt:lpstr>lay중YACT1A06</vt:lpstr>
      <vt:lpstr>lay중YACT1A07</vt:lpstr>
      <vt:lpstr>lay중YACT1A08</vt:lpstr>
      <vt:lpstr>lay중YACT1A09</vt:lpstr>
      <vt:lpstr>lay중YACT1B01</vt:lpstr>
      <vt:lpstr>lay중YACT1B02</vt:lpstr>
      <vt:lpstr>lay중YACT1B03</vt:lpstr>
      <vt:lpstr>lay중YACT1B04</vt:lpstr>
      <vt:lpstr>lay중YACT1B05</vt:lpstr>
      <vt:lpstr>lay중YACT1B06</vt:lpstr>
      <vt:lpstr>lay중YACT1B07</vt:lpstr>
      <vt:lpstr>lay중YACT1B08</vt:lpstr>
      <vt:lpstr>lay중YACT1B09</vt:lpstr>
      <vt:lpstr>lay중YACT2A01</vt:lpstr>
      <vt:lpstr>lay중YACT2A02</vt:lpstr>
      <vt:lpstr>lay중YACT2B01</vt:lpstr>
      <vt:lpstr>lay중YACT2B02</vt:lpstr>
      <vt:lpstr>lay중YACT3A00</vt:lpstr>
      <vt:lpstr>lay중YACT3B01</vt:lpstr>
      <vt:lpstr>lay중YACT3B02</vt:lpstr>
      <vt:lpstr>lay중YACT3B03</vt:lpstr>
      <vt:lpstr>lay중YACT3B04</vt:lpstr>
      <vt:lpstr>lay중YACT3B05</vt:lpstr>
      <vt:lpstr>lay중YACT3B06</vt:lpstr>
      <vt:lpstr>lay중YACT3B07</vt:lpstr>
      <vt:lpstr>lay중YACT3B08</vt:lpstr>
      <vt:lpstr>lay중YACT3B09</vt:lpstr>
      <vt:lpstr>lay중YBRT1A</vt:lpstr>
      <vt:lpstr>lay중YBRT1B</vt:lpstr>
      <vt:lpstr>lay중YDLQ1A01</vt:lpstr>
      <vt:lpstr>lay중YDLQ1A02</vt:lpstr>
      <vt:lpstr>lay중YDLQ1A03</vt:lpstr>
      <vt:lpstr>lay중YDLQ1A04</vt:lpstr>
      <vt:lpstr>lay중YDLQ1A05</vt:lpstr>
      <vt:lpstr>lay중YDLQ1A06</vt:lpstr>
      <vt:lpstr>lay중YDLQ1A07</vt:lpstr>
      <vt:lpstr>lay중YDLQ1A08</vt:lpstr>
      <vt:lpstr>lay중YDLQ1A09</vt:lpstr>
      <vt:lpstr>lay중YDLQ1A10</vt:lpstr>
      <vt:lpstr>lay중YDLQ1A11</vt:lpstr>
      <vt:lpstr>lay중YDLQ1A12</vt:lpstr>
      <vt:lpstr>lay중YDLQ1A13</vt:lpstr>
      <vt:lpstr>lay중YDLQ1A14</vt:lpstr>
      <vt:lpstr>lay중YDLQ1A15</vt:lpstr>
      <vt:lpstr>lay중YDLQ2A01</vt:lpstr>
      <vt:lpstr>lay중YDLQ2A02</vt:lpstr>
      <vt:lpstr>lay중YDLQ2A03</vt:lpstr>
      <vt:lpstr>lay중YDLQ2A04</vt:lpstr>
      <vt:lpstr>lay중YDLQ2A05</vt:lpstr>
      <vt:lpstr>lay중YDLQ2A06</vt:lpstr>
      <vt:lpstr>lay중YDLQ2A07</vt:lpstr>
      <vt:lpstr>lay중YDLQ2A08</vt:lpstr>
      <vt:lpstr>lay중YDLQ2A09</vt:lpstr>
      <vt:lpstr>lay중YDLQ2A10</vt:lpstr>
      <vt:lpstr>lay중YDLQ2A11</vt:lpstr>
      <vt:lpstr>lay중YDLQ2A12</vt:lpstr>
      <vt:lpstr>lay중YDLQ2A13</vt:lpstr>
      <vt:lpstr>lay중YDLQ2A14</vt:lpstr>
      <vt:lpstr>lay중YDLQ2A15</vt:lpstr>
      <vt:lpstr>lay중YEDU1A00</vt:lpstr>
      <vt:lpstr>lay중YEDU2A01</vt:lpstr>
      <vt:lpstr>lay중YEDU2A02</vt:lpstr>
      <vt:lpstr>lay중YEDU2A03</vt:lpstr>
      <vt:lpstr>lay중YEDU2A04</vt:lpstr>
      <vt:lpstr>lay중YEDU2A05</vt:lpstr>
      <vt:lpstr>lay중YEDU2A06</vt:lpstr>
      <vt:lpstr>lay중YEDU2A07</vt:lpstr>
      <vt:lpstr>lay중YEDU2A08</vt:lpstr>
      <vt:lpstr>lay중YEDU2A09</vt:lpstr>
      <vt:lpstr>lay중YEDU2A10</vt:lpstr>
      <vt:lpstr>lay중YEDU2A11</vt:lpstr>
      <vt:lpstr>lay중YEDU2A12</vt:lpstr>
      <vt:lpstr>lay중YEDU2A13</vt:lpstr>
      <vt:lpstr>lay중YEDU3A01</vt:lpstr>
      <vt:lpstr>lay중YEDU3A02</vt:lpstr>
      <vt:lpstr>lay중YEDU3A03</vt:lpstr>
      <vt:lpstr>lay중YEDU3A04</vt:lpstr>
      <vt:lpstr>lay중YEDU3A05</vt:lpstr>
      <vt:lpstr>lay중YEDU3A06</vt:lpstr>
      <vt:lpstr>lay중YEDU3A07</vt:lpstr>
      <vt:lpstr>lay중YEDU3A08</vt:lpstr>
      <vt:lpstr>lay중YEDU3A09</vt:lpstr>
      <vt:lpstr>lay중YEDU3A10</vt:lpstr>
      <vt:lpstr>lay중YEDU3A11</vt:lpstr>
      <vt:lpstr>lay중YEDU3A12</vt:lpstr>
      <vt:lpstr>lay중YEDU3A13</vt:lpstr>
      <vt:lpstr>lay중YEDU3A14</vt:lpstr>
      <vt:lpstr>lay중YFAM1A01</vt:lpstr>
      <vt:lpstr>lay중YFAM1A02</vt:lpstr>
      <vt:lpstr>lay중YFAM1A03</vt:lpstr>
      <vt:lpstr>lay중YFAM1A04</vt:lpstr>
      <vt:lpstr>lay중YFAM1B01</vt:lpstr>
      <vt:lpstr>lay중YFAM1B02</vt:lpstr>
      <vt:lpstr>lay중YFAM1B03</vt:lpstr>
      <vt:lpstr>lay중YFAM1B04</vt:lpstr>
      <vt:lpstr>lay중YFAM1C01</vt:lpstr>
      <vt:lpstr>lay중YFAM1C02</vt:lpstr>
      <vt:lpstr>lay중YFAM1C03</vt:lpstr>
      <vt:lpstr>lay중YFAM1C04</vt:lpstr>
      <vt:lpstr>lay중YFAM1D01</vt:lpstr>
      <vt:lpstr>lay중YFAM1D02</vt:lpstr>
      <vt:lpstr>lay중YFAM1D03</vt:lpstr>
      <vt:lpstr>lay중YFAM1D04</vt:lpstr>
      <vt:lpstr>lay중YFAM1E01</vt:lpstr>
      <vt:lpstr>lay중YFAM1E02</vt:lpstr>
      <vt:lpstr>lay중YFAM1E03</vt:lpstr>
      <vt:lpstr>lay중YFAM1E04</vt:lpstr>
      <vt:lpstr>lay중YFAM1F01</vt:lpstr>
      <vt:lpstr>lay중YFAM1F02</vt:lpstr>
      <vt:lpstr>lay중YFAM1F03</vt:lpstr>
      <vt:lpstr>lay중YFAM1F04</vt:lpstr>
      <vt:lpstr>lay중YFAM2A01</vt:lpstr>
      <vt:lpstr>lay중YFAM2A02</vt:lpstr>
      <vt:lpstr>lay중YFAM2A03</vt:lpstr>
      <vt:lpstr>lay중YFAM2A04</vt:lpstr>
      <vt:lpstr>lay중YFAM2B01</vt:lpstr>
      <vt:lpstr>lay중YFAM2B02</vt:lpstr>
      <vt:lpstr>lay중YFAM2B03</vt:lpstr>
      <vt:lpstr>lay중YFAM2B04</vt:lpstr>
      <vt:lpstr>lay중YFAM2C01</vt:lpstr>
      <vt:lpstr>lay중YFAM2C02</vt:lpstr>
      <vt:lpstr>lay중YFAM2C03</vt:lpstr>
      <vt:lpstr>lay중YFAM2C04</vt:lpstr>
      <vt:lpstr>lay중YFAM2D01</vt:lpstr>
      <vt:lpstr>lay중YFAM2D02</vt:lpstr>
      <vt:lpstr>lay중YFAM2D03</vt:lpstr>
      <vt:lpstr>lay중YFAM2D04</vt:lpstr>
      <vt:lpstr>lay중YFAM2E01</vt:lpstr>
      <vt:lpstr>lay중YFAM2E02</vt:lpstr>
      <vt:lpstr>lay중YFAM2E03</vt:lpstr>
      <vt:lpstr>lay중YFAM2E04</vt:lpstr>
      <vt:lpstr>lay중YFAM2F01</vt:lpstr>
      <vt:lpstr>lay중YFAM2F02</vt:lpstr>
      <vt:lpstr>lay중YFAM2F03</vt:lpstr>
      <vt:lpstr>lay중YFAM2F04</vt:lpstr>
      <vt:lpstr>lay중YFAM3A00</vt:lpstr>
      <vt:lpstr>lay중YFAM3B00</vt:lpstr>
      <vt:lpstr>lay중YFUR1A00</vt:lpstr>
      <vt:lpstr>lay중YFUR1B00</vt:lpstr>
      <vt:lpstr>lay중YFUR2A01</vt:lpstr>
      <vt:lpstr>lay중YFUR2A02</vt:lpstr>
      <vt:lpstr>lay중YFUR2A03</vt:lpstr>
      <vt:lpstr>lay중YFUR2A04</vt:lpstr>
      <vt:lpstr>lay중YFUR2A05</vt:lpstr>
      <vt:lpstr>lay중YFUR2A06</vt:lpstr>
      <vt:lpstr>lay중YFUR2A07</vt:lpstr>
      <vt:lpstr>lay중YFUR2A08</vt:lpstr>
      <vt:lpstr>lay중YFUR2A08_T</vt:lpstr>
      <vt:lpstr>lay중YGENDER</vt:lpstr>
      <vt:lpstr>lay중YINT1A00</vt:lpstr>
      <vt:lpstr>lay중YINT1B00</vt:lpstr>
      <vt:lpstr>lay중YINT2A01</vt:lpstr>
      <vt:lpstr>lay중YINT2A02</vt:lpstr>
      <vt:lpstr>lay중YINT2A03</vt:lpstr>
      <vt:lpstr>lay중YINT2A04</vt:lpstr>
      <vt:lpstr>lay중YINT2A05</vt:lpstr>
      <vt:lpstr>lay중YINT2A06</vt:lpstr>
      <vt:lpstr>lay중YINT2A07</vt:lpstr>
      <vt:lpstr>lay중YINT2A08</vt:lpstr>
      <vt:lpstr>lay중YINT2A09</vt:lpstr>
      <vt:lpstr>lay중YINT2A10</vt:lpstr>
      <vt:lpstr>lay중YINT2A11</vt:lpstr>
      <vt:lpstr>lay중YINT2A12</vt:lpstr>
      <vt:lpstr>lay중YINT2A13</vt:lpstr>
      <vt:lpstr>lay중YINT2A14</vt:lpstr>
      <vt:lpstr>lay중YINT2A15</vt:lpstr>
      <vt:lpstr>lay중YINT2A16</vt:lpstr>
      <vt:lpstr>lay중YINT2B01</vt:lpstr>
      <vt:lpstr>lay중YINT2B02</vt:lpstr>
      <vt:lpstr>lay중YINT2B03</vt:lpstr>
      <vt:lpstr>lay중YINT2B04</vt:lpstr>
      <vt:lpstr>lay중YINT2B05</vt:lpstr>
      <vt:lpstr>lay중YINT2B06</vt:lpstr>
      <vt:lpstr>lay중YINT2B07</vt:lpstr>
      <vt:lpstr>lay중YINT2B08</vt:lpstr>
      <vt:lpstr>lay중YINT2B09</vt:lpstr>
      <vt:lpstr>lay중YINT2B10</vt:lpstr>
      <vt:lpstr>lay중YINT2B11</vt:lpstr>
      <vt:lpstr>lay중YINT2B12</vt:lpstr>
      <vt:lpstr>lay중YINT2B13</vt:lpstr>
      <vt:lpstr>lay중YINT2B14</vt:lpstr>
      <vt:lpstr>lay중YINT2B15</vt:lpstr>
      <vt:lpstr>lay중YINT2B16</vt:lpstr>
      <vt:lpstr>lay중YMDA1A00</vt:lpstr>
      <vt:lpstr>lay중YMDA1B01</vt:lpstr>
      <vt:lpstr>lay중YMDA1B02</vt:lpstr>
      <vt:lpstr>lay중YMDA1B03</vt:lpstr>
      <vt:lpstr>lay중YMDA1B04</vt:lpstr>
      <vt:lpstr>lay중YMDA1B05</vt:lpstr>
      <vt:lpstr>lay중YMDA1B06</vt:lpstr>
      <vt:lpstr>lay중YMDA1B07</vt:lpstr>
      <vt:lpstr>lay중YMDA1B08</vt:lpstr>
      <vt:lpstr>lay중YMDA1B09</vt:lpstr>
      <vt:lpstr>lay중YMDA1B10</vt:lpstr>
      <vt:lpstr>lay중YMDA1B11</vt:lpstr>
      <vt:lpstr>lay중YMDA1B12</vt:lpstr>
      <vt:lpstr>lay중YMDA1B13</vt:lpstr>
      <vt:lpstr>lay중YMDA1B13_T</vt:lpstr>
      <vt:lpstr>lay중YMDA1C01</vt:lpstr>
      <vt:lpstr>lay중YMDA1C02</vt:lpstr>
      <vt:lpstr>lay중YMDA1C03</vt:lpstr>
      <vt:lpstr>lay중YMDA1C04</vt:lpstr>
      <vt:lpstr>lay중YMDA1C05</vt:lpstr>
      <vt:lpstr>lay중YMDA1C06</vt:lpstr>
      <vt:lpstr>lay중YMDA1C07</vt:lpstr>
      <vt:lpstr>lay중YMDA1C08</vt:lpstr>
      <vt:lpstr>lay중YMDA1C09</vt:lpstr>
      <vt:lpstr>lay중YMDA1C10</vt:lpstr>
      <vt:lpstr>lay중YMDA1C11</vt:lpstr>
      <vt:lpstr>lay중YMDA1C12</vt:lpstr>
      <vt:lpstr>lay중YMDA1C13</vt:lpstr>
      <vt:lpstr>lay중YMDA1C14</vt:lpstr>
      <vt:lpstr>lay중YMDA1C15</vt:lpstr>
      <vt:lpstr>lay중YPHY1A00</vt:lpstr>
      <vt:lpstr>lay중YPHY1B00</vt:lpstr>
      <vt:lpstr>lay중YPHY1C00</vt:lpstr>
      <vt:lpstr>lay중YPHY2A00</vt:lpstr>
      <vt:lpstr>lay중YPHY2B00</vt:lpstr>
      <vt:lpstr>lay중YPHY2C00</vt:lpstr>
      <vt:lpstr>lay중YPSY1A01</vt:lpstr>
      <vt:lpstr>lay중YPSY1A02</vt:lpstr>
      <vt:lpstr>lay중YPSY1A03</vt:lpstr>
      <vt:lpstr>lay중YPSY1A04</vt:lpstr>
      <vt:lpstr>lay중YPSY1A05</vt:lpstr>
      <vt:lpstr>lay중YPSY2A01</vt:lpstr>
      <vt:lpstr>lay중YPSY2A02</vt:lpstr>
      <vt:lpstr>lay중YPSY2A03</vt:lpstr>
      <vt:lpstr>lay중YPSY2A04</vt:lpstr>
      <vt:lpstr>lay중YPSY3A01</vt:lpstr>
      <vt:lpstr>lay중YPSY3A02</vt:lpstr>
      <vt:lpstr>lay중YPSY3A03</vt:lpstr>
      <vt:lpstr>lay중YPSY3A04</vt:lpstr>
      <vt:lpstr>lay중YPSY3A05</vt:lpstr>
      <vt:lpstr>lay중YPSY3A06</vt:lpstr>
      <vt:lpstr>lay중YPSY3A07</vt:lpstr>
      <vt:lpstr>lay중YPSY3A08</vt:lpstr>
      <vt:lpstr>lay중YPSY3A09</vt:lpstr>
      <vt:lpstr>lay중YPSY3A10</vt:lpstr>
      <vt:lpstr>lay중YPSY4A01</vt:lpstr>
      <vt:lpstr>lay중YPSY4A02</vt:lpstr>
      <vt:lpstr>lay중YPSY4A03</vt:lpstr>
      <vt:lpstr>lay중YPSY4A04</vt:lpstr>
      <vt:lpstr>lay중YPSY4A05</vt:lpstr>
      <vt:lpstr>lay중YPSY4A06</vt:lpstr>
      <vt:lpstr>lay중YPSY4A07</vt:lpstr>
      <vt:lpstr>lay중YPSY4B01</vt:lpstr>
      <vt:lpstr>lay중YPSY4B02</vt:lpstr>
      <vt:lpstr>lay중YPSY4B03</vt:lpstr>
      <vt:lpstr>lay중YPSY4B04</vt:lpstr>
      <vt:lpstr>lay중YPSY4B05</vt:lpstr>
      <vt:lpstr>lay중YPSY4B06</vt:lpstr>
      <vt:lpstr>lay중YPSY4C01</vt:lpstr>
      <vt:lpstr>lay중YPSY4C02</vt:lpstr>
      <vt:lpstr>lay중YPSY4C03</vt:lpstr>
      <vt:lpstr>lay중YPSY4C04</vt:lpstr>
      <vt:lpstr>lay중YPSY4C05</vt:lpstr>
      <vt:lpstr>lay중YPSY4C06</vt:lpstr>
      <vt:lpstr>lay중YPSY4C07</vt:lpstr>
      <vt:lpstr>lay중YPSY4C08</vt:lpstr>
      <vt:lpstr>lay중YPSY4D01</vt:lpstr>
      <vt:lpstr>lay중YPSY4D02</vt:lpstr>
      <vt:lpstr>lay중YPSY4D03</vt:lpstr>
      <vt:lpstr>lay중YPSY4D04</vt:lpstr>
      <vt:lpstr>lay중YPSY4D05</vt:lpstr>
      <vt:lpstr>lay중YPSY4E01</vt:lpstr>
      <vt:lpstr>lay중YPSY4E02</vt:lpstr>
      <vt:lpstr>lay중YPSY4E03</vt:lpstr>
      <vt:lpstr>lay중YPSY4E04</vt:lpstr>
      <vt:lpstr>lay중YPSY4E05</vt:lpstr>
      <vt:lpstr>lay중YPSY4E06</vt:lpstr>
      <vt:lpstr>lay중YPSY4E07</vt:lpstr>
      <vt:lpstr>lay중YPSY4E08</vt:lpstr>
      <vt:lpstr>lay중YPSY4E09</vt:lpstr>
      <vt:lpstr>lay중YPSY4E10</vt:lpstr>
      <vt:lpstr>lay중YPSY5A01</vt:lpstr>
      <vt:lpstr>lay중YPSY5A02</vt:lpstr>
      <vt:lpstr>lay중YPSY5A03</vt:lpstr>
      <vt:lpstr>lay중YPSY5A04</vt:lpstr>
      <vt:lpstr>lay중YPSY5A05</vt:lpstr>
      <vt:lpstr>lay중YPSY5A06</vt:lpstr>
      <vt:lpstr>lay중YPSY5A07</vt:lpstr>
      <vt:lpstr>lay중YPSY5A08</vt:lpstr>
      <vt:lpstr>lay중YPSY5A09</vt:lpstr>
      <vt:lpstr>lay중YPSY5A10</vt:lpstr>
      <vt:lpstr>lay중YPSY5A11</vt:lpstr>
      <vt:lpstr>lay중YPSY5A12</vt:lpstr>
      <vt:lpstr>lay중YPSY5A13</vt:lpstr>
      <vt:lpstr>lay중YPSY5A14</vt:lpstr>
      <vt:lpstr>lay중YPSY6A01</vt:lpstr>
      <vt:lpstr>lay중YPSY6A02</vt:lpstr>
      <vt:lpstr>lay중YPSY6A03</vt:lpstr>
      <vt:lpstr>lay중YPSY6A04</vt:lpstr>
      <vt:lpstr>lay중YPSY6A05</vt:lpstr>
      <vt:lpstr>lay중YPSY6A06</vt:lpstr>
      <vt:lpstr>lay중YPSY6A07</vt:lpstr>
      <vt:lpstr>lay중YPSY6A08</vt:lpstr>
      <vt:lpstr>lay중YPSY6A09</vt:lpstr>
      <vt:lpstr>lay중YPSY6A10</vt:lpstr>
      <vt:lpstr>lay중YPSY6A11</vt:lpstr>
      <vt:lpstr>lay중YPSY6A12</vt:lpstr>
      <vt:lpstr>lay중YPSY6A13</vt:lpstr>
      <vt:lpstr>lay중YPSY6A14</vt:lpstr>
      <vt:lpstr>lay중YPSY6A15</vt:lpstr>
      <vt:lpstr>lay중YPSY6A16</vt:lpstr>
      <vt:lpstr>lay중YPSY6A17</vt:lpstr>
      <vt:lpstr>lay중YPSY6A18</vt:lpstr>
      <vt:lpstr>lay중YPSY6A19</vt:lpstr>
      <vt:lpstr>lay중YPSY6A20</vt:lpstr>
      <vt:lpstr>lay중YPSY6A21</vt:lpstr>
      <vt:lpstr>lay중YPSY6A22</vt:lpstr>
      <vt:lpstr>lay중YPSY6A23</vt:lpstr>
      <vt:lpstr>lay중YPSY6A24</vt:lpstr>
      <vt:lpstr>lay중YPSY6A25</vt:lpstr>
      <vt:lpstr>lay중YPSY6A26</vt:lpstr>
      <vt:lpstr>lay중YPSY6A27</vt:lpstr>
      <vt:lpstr>lay중YPSY6A28</vt:lpstr>
      <vt:lpstr>lay중YPSY6A29</vt:lpstr>
      <vt:lpstr>lay중YPSY6A30</vt:lpstr>
      <vt:lpstr>lay중YPSY6Asc</vt:lpstr>
      <vt:lpstr>lay중YPSY7A01</vt:lpstr>
      <vt:lpstr>lay중YPSY7A02</vt:lpstr>
      <vt:lpstr>lay중YPSY7A03</vt:lpstr>
      <vt:lpstr>lay중YPSY7A04</vt:lpstr>
      <vt:lpstr>lay중YPSY7A05</vt:lpstr>
      <vt:lpstr>lay중YPSY7A06</vt:lpstr>
      <vt:lpstr>lay중YPSY7A07</vt:lpstr>
      <vt:lpstr>lay중YPSY7A08</vt:lpstr>
      <vt:lpstr>lay중YTIM1A01</vt:lpstr>
      <vt:lpstr>lay중YTIM1A02</vt:lpstr>
      <vt:lpstr>lay중YTIM1A03</vt:lpstr>
      <vt:lpstr>lay중YTIM1A04</vt:lpstr>
      <vt:lpstr>lay중YTIM1B01</vt:lpstr>
      <vt:lpstr>lay중YTIM1B02</vt:lpstr>
      <vt:lpstr>lay중YTIM1B03</vt:lpstr>
      <vt:lpstr>lay중YTIM1B04</vt:lpstr>
      <vt:lpstr>lay중YTIM1C01</vt:lpstr>
      <vt:lpstr>lay중YTIM1C02</vt:lpstr>
      <vt:lpstr>lay중YTIM1D01</vt:lpstr>
      <vt:lpstr>lay중YTIM1D02</vt:lpstr>
      <vt:lpstr>lay중YTIM1E01</vt:lpstr>
      <vt:lpstr>lay중YTIM1E02</vt:lpstr>
      <vt:lpstr>lay중YTIM1F01</vt:lpstr>
      <vt:lpstr>lay중YTIM1F02</vt:lpstr>
      <vt:lpstr>lay중YTIM1G01</vt:lpstr>
      <vt:lpstr>lay중YTIM1G02</vt:lpstr>
      <vt:lpstr>lay중YTIM1H01</vt:lpstr>
      <vt:lpstr>lay중YTIM1H02</vt:lpstr>
      <vt:lpstr>lay중YTIM1I01</vt:lpstr>
      <vt:lpstr>lay중YTIM1I02</vt:lpstr>
      <vt:lpstr>lay중YTIM1J01</vt:lpstr>
      <vt:lpstr>lay중YTIM1J02</vt:lpstr>
      <vt:lpstr>lay중YTIM1K01</vt:lpstr>
      <vt:lpstr>lay중YTIM1K02</vt:lpstr>
      <vt:lpstr>lay중YTIM1L01</vt:lpstr>
      <vt:lpstr>lay중YTIM1L02</vt:lpstr>
      <vt:lpstr>lay중YTIM1M01</vt:lpstr>
      <vt:lpstr>lay중YTIM1M02</vt:lpstr>
      <vt:lpstr>lay중YTIM1N01</vt:lpstr>
      <vt:lpstr>lay중YTIM1N02</vt:lpstr>
      <vt:lpstr>lay중YTWIN</vt:lpstr>
      <vt:lpstr>lay초ARA1A</vt:lpstr>
      <vt:lpstr>lay초ARA1B</vt:lpstr>
      <vt:lpstr>lay초ARA2A</vt:lpstr>
      <vt:lpstr>lay초COHORT</vt:lpstr>
      <vt:lpstr>lay초SGRADE</vt:lpstr>
      <vt:lpstr>lay초SIBLING</vt:lpstr>
      <vt:lpstr>lay초SIBLING_T</vt:lpstr>
      <vt:lpstr>lay초SURVEY1</vt:lpstr>
      <vt:lpstr>lay초SURVEY2</vt:lpstr>
      <vt:lpstr>lay초YBRT1A</vt:lpstr>
      <vt:lpstr>lay초YBRT1B</vt:lpstr>
      <vt:lpstr>lay초YEDU1A00</vt:lpstr>
      <vt:lpstr>lay초YEDU2A01</vt:lpstr>
      <vt:lpstr>lay초YEDU2A02</vt:lpstr>
      <vt:lpstr>lay초YEDU2A03</vt:lpstr>
      <vt:lpstr>lay초YEDU2A04</vt:lpstr>
      <vt:lpstr>lay초YEDU2A05</vt:lpstr>
      <vt:lpstr>lay초YEDU2A06</vt:lpstr>
      <vt:lpstr>lay초YEDU2A07</vt:lpstr>
      <vt:lpstr>lay초YEDU2A08</vt:lpstr>
      <vt:lpstr>lay초YEDU2A09</vt:lpstr>
      <vt:lpstr>lay초YEDU2A10</vt:lpstr>
      <vt:lpstr>lay초YEDU2A11</vt:lpstr>
      <vt:lpstr>lay초YEDU2A12</vt:lpstr>
      <vt:lpstr>lay초YEDU2A13</vt:lpstr>
      <vt:lpstr>lay초YEDU3A01</vt:lpstr>
      <vt:lpstr>lay초YEDU3A02</vt:lpstr>
      <vt:lpstr>lay초YEDU3A03</vt:lpstr>
      <vt:lpstr>lay초YEDU3A04</vt:lpstr>
      <vt:lpstr>lay초YEDU3A05</vt:lpstr>
      <vt:lpstr>lay초YEDU3A06</vt:lpstr>
      <vt:lpstr>lay초YEDU3A07</vt:lpstr>
      <vt:lpstr>lay초YEDU3A08</vt:lpstr>
      <vt:lpstr>lay초YEDU3A09</vt:lpstr>
      <vt:lpstr>lay초YEDU3A10</vt:lpstr>
      <vt:lpstr>lay초YEDU3A11</vt:lpstr>
      <vt:lpstr>lay초YEDU3A12</vt:lpstr>
      <vt:lpstr>lay초YEDU3A13</vt:lpstr>
      <vt:lpstr>lay초YEDU3A14</vt:lpstr>
      <vt:lpstr>lay초YFAM1A01</vt:lpstr>
      <vt:lpstr>lay초YFAM1A02</vt:lpstr>
      <vt:lpstr>lay초YFAM1A03</vt:lpstr>
      <vt:lpstr>lay초YFAM1A04</vt:lpstr>
      <vt:lpstr>lay초YFAM1B01</vt:lpstr>
      <vt:lpstr>lay초YFAM1B02</vt:lpstr>
      <vt:lpstr>lay초YFAM1B03</vt:lpstr>
      <vt:lpstr>lay초YFAM1B04</vt:lpstr>
      <vt:lpstr>lay초YFAM1C01</vt:lpstr>
      <vt:lpstr>lay초YFAM1C02</vt:lpstr>
      <vt:lpstr>lay초YFAM1C03</vt:lpstr>
      <vt:lpstr>lay초YFAM1C04</vt:lpstr>
      <vt:lpstr>lay초YFAM1D01</vt:lpstr>
      <vt:lpstr>lay초YFAM1D02</vt:lpstr>
      <vt:lpstr>lay초YFAM1D03</vt:lpstr>
      <vt:lpstr>lay초YFAM1D04</vt:lpstr>
      <vt:lpstr>lay초YFAM1E01</vt:lpstr>
      <vt:lpstr>lay초YFAM1E02</vt:lpstr>
      <vt:lpstr>lay초YFAM1E03</vt:lpstr>
      <vt:lpstr>lay초YFAM1E04</vt:lpstr>
      <vt:lpstr>lay초YFAM1F01</vt:lpstr>
      <vt:lpstr>lay초YFAM1F02</vt:lpstr>
      <vt:lpstr>lay초YFAM1F03</vt:lpstr>
      <vt:lpstr>lay초YFAM1F04</vt:lpstr>
      <vt:lpstr>lay초YFAM2A01</vt:lpstr>
      <vt:lpstr>lay초YFAM2A02</vt:lpstr>
      <vt:lpstr>lay초YFAM2A03</vt:lpstr>
      <vt:lpstr>lay초YFAM2A04</vt:lpstr>
      <vt:lpstr>lay초YFAM2B01</vt:lpstr>
      <vt:lpstr>lay초YFAM2B02</vt:lpstr>
      <vt:lpstr>lay초YFAM2B03</vt:lpstr>
      <vt:lpstr>lay초YFAM2B04</vt:lpstr>
      <vt:lpstr>lay초YFAM2C01</vt:lpstr>
      <vt:lpstr>lay초YFAM2C02</vt:lpstr>
      <vt:lpstr>lay초YFAM2C03</vt:lpstr>
      <vt:lpstr>lay초YFAM2C04</vt:lpstr>
      <vt:lpstr>lay초YFAM2D01</vt:lpstr>
      <vt:lpstr>lay초YFAM2D02</vt:lpstr>
      <vt:lpstr>lay초YFAM2D03</vt:lpstr>
      <vt:lpstr>lay초YFAM2D04</vt:lpstr>
      <vt:lpstr>lay초YFAM2E01</vt:lpstr>
      <vt:lpstr>lay초YFAM2E02</vt:lpstr>
      <vt:lpstr>lay초YFAM2E03</vt:lpstr>
      <vt:lpstr>lay초YFAM2E04</vt:lpstr>
      <vt:lpstr>lay초YFAM2F01</vt:lpstr>
      <vt:lpstr>lay초YFAM2F02</vt:lpstr>
      <vt:lpstr>lay초YFAM2F03</vt:lpstr>
      <vt:lpstr>lay초YFAM2F04</vt:lpstr>
      <vt:lpstr>lay초YFAM3A00</vt:lpstr>
      <vt:lpstr>lay초YFAM3B00</vt:lpstr>
      <vt:lpstr>lay초YFUR2A01</vt:lpstr>
      <vt:lpstr>lay초YFUR2A02</vt:lpstr>
      <vt:lpstr>lay초YFUR2A03</vt:lpstr>
      <vt:lpstr>lay초YFUR2A04</vt:lpstr>
      <vt:lpstr>lay초YFUR2A05</vt:lpstr>
      <vt:lpstr>lay초YFUR2A06</vt:lpstr>
      <vt:lpstr>lay초YFUR2A07</vt:lpstr>
      <vt:lpstr>lay초YFUR2A08</vt:lpstr>
      <vt:lpstr>lay초YFUR2A08_T</vt:lpstr>
      <vt:lpstr>lay초YGENDER</vt:lpstr>
      <vt:lpstr>lay초YINT1A00</vt:lpstr>
      <vt:lpstr>lay초YINT1B00</vt:lpstr>
      <vt:lpstr>lay초YINT2A01</vt:lpstr>
      <vt:lpstr>lay초YINT2A02</vt:lpstr>
      <vt:lpstr>lay초YINT2A03</vt:lpstr>
      <vt:lpstr>lay초YINT2A04</vt:lpstr>
      <vt:lpstr>lay초YINT2A05</vt:lpstr>
      <vt:lpstr>lay초YINT2A06</vt:lpstr>
      <vt:lpstr>lay초YINT2A07</vt:lpstr>
      <vt:lpstr>lay초YINT2A08</vt:lpstr>
      <vt:lpstr>lay초YINT2A09</vt:lpstr>
      <vt:lpstr>lay초YINT2A10</vt:lpstr>
      <vt:lpstr>lay초YINT2A11</vt:lpstr>
      <vt:lpstr>lay초YINT2A12</vt:lpstr>
      <vt:lpstr>lay초YINT2A13</vt:lpstr>
      <vt:lpstr>lay초YINT2A14</vt:lpstr>
      <vt:lpstr>lay초YINT2A15</vt:lpstr>
      <vt:lpstr>lay초YINT2A16</vt:lpstr>
      <vt:lpstr>lay초YMDA1A00</vt:lpstr>
      <vt:lpstr>lay초YMDA1B01</vt:lpstr>
      <vt:lpstr>lay초YMDA1B02</vt:lpstr>
      <vt:lpstr>lay초YMDA1B03</vt:lpstr>
      <vt:lpstr>lay초YMDA1B04</vt:lpstr>
      <vt:lpstr>lay초YMDA1B05</vt:lpstr>
      <vt:lpstr>lay초YMDA1B06</vt:lpstr>
      <vt:lpstr>lay초YMDA1B07</vt:lpstr>
      <vt:lpstr>lay초YMDA1B08</vt:lpstr>
      <vt:lpstr>lay초YMDA1B09</vt:lpstr>
      <vt:lpstr>lay초YMDA1B10</vt:lpstr>
      <vt:lpstr>lay초YMDA1B11</vt:lpstr>
      <vt:lpstr>lay초YMDA1B12</vt:lpstr>
      <vt:lpstr>lay초YMDA1B13</vt:lpstr>
      <vt:lpstr>lay초YMDA1B13_T</vt:lpstr>
      <vt:lpstr>lay초YMDA1C01</vt:lpstr>
      <vt:lpstr>lay초YMDA1C02</vt:lpstr>
      <vt:lpstr>lay초YMDA1C03</vt:lpstr>
      <vt:lpstr>lay초YMDA1C04</vt:lpstr>
      <vt:lpstr>lay초YMDA1C05</vt:lpstr>
      <vt:lpstr>lay초YMDA1C06</vt:lpstr>
      <vt:lpstr>lay초YMDA1C07</vt:lpstr>
      <vt:lpstr>lay초YMDA1C08</vt:lpstr>
      <vt:lpstr>lay초YMDA1C09</vt:lpstr>
      <vt:lpstr>lay초YMDA1C10</vt:lpstr>
      <vt:lpstr>lay초YMDA1C11</vt:lpstr>
      <vt:lpstr>lay초YMDA1C12</vt:lpstr>
      <vt:lpstr>lay초YMDA1C13</vt:lpstr>
      <vt:lpstr>lay초YMDA1C14</vt:lpstr>
      <vt:lpstr>lay초YMDA1C15</vt:lpstr>
      <vt:lpstr>lay초YPHY1A00</vt:lpstr>
      <vt:lpstr>lay초YPHY1B00</vt:lpstr>
      <vt:lpstr>lay초YPHY1C00</vt:lpstr>
      <vt:lpstr>lay초YPHY2A00</vt:lpstr>
      <vt:lpstr>lay초YPHY2B00</vt:lpstr>
      <vt:lpstr>lay초YPSY1A01</vt:lpstr>
      <vt:lpstr>lay초YPSY1A02</vt:lpstr>
      <vt:lpstr>lay초YPSY1A03</vt:lpstr>
      <vt:lpstr>lay초YPSY1A04</vt:lpstr>
      <vt:lpstr>lay초YPSY1A05</vt:lpstr>
      <vt:lpstr>lay초YPSY2A01</vt:lpstr>
      <vt:lpstr>lay초YPSY2A02</vt:lpstr>
      <vt:lpstr>lay초YPSY2A03</vt:lpstr>
      <vt:lpstr>lay초YPSY2A04</vt:lpstr>
      <vt:lpstr>lay초YPSY3A01</vt:lpstr>
      <vt:lpstr>lay초YPSY3A02</vt:lpstr>
      <vt:lpstr>lay초YPSY3A03</vt:lpstr>
      <vt:lpstr>lay초YPSY3A04</vt:lpstr>
      <vt:lpstr>lay초YPSY3A05</vt:lpstr>
      <vt:lpstr>lay초YPSY3A06</vt:lpstr>
      <vt:lpstr>lay초YPSY3A07</vt:lpstr>
      <vt:lpstr>lay초YPSY3A08</vt:lpstr>
      <vt:lpstr>lay초YPSY3A09</vt:lpstr>
      <vt:lpstr>lay초YPSY3A10</vt:lpstr>
      <vt:lpstr>lay초YPSY4A01</vt:lpstr>
      <vt:lpstr>lay초YPSY4A02</vt:lpstr>
      <vt:lpstr>lay초YPSY4A03</vt:lpstr>
      <vt:lpstr>lay초YPSY4A04</vt:lpstr>
      <vt:lpstr>lay초YPSY4A05</vt:lpstr>
      <vt:lpstr>lay초YPSY4A06</vt:lpstr>
      <vt:lpstr>lay초YPSY4A07</vt:lpstr>
      <vt:lpstr>lay초YPSY4B01</vt:lpstr>
      <vt:lpstr>lay초YPSY4B02</vt:lpstr>
      <vt:lpstr>lay초YPSY4B03</vt:lpstr>
      <vt:lpstr>lay초YPSY4B04</vt:lpstr>
      <vt:lpstr>lay초YPSY4B05</vt:lpstr>
      <vt:lpstr>lay초YPSY4B06</vt:lpstr>
      <vt:lpstr>lay초YPSY4C01</vt:lpstr>
      <vt:lpstr>lay초YPSY4C02</vt:lpstr>
      <vt:lpstr>lay초YPSY4C03</vt:lpstr>
      <vt:lpstr>lay초YPSY4C04</vt:lpstr>
      <vt:lpstr>lay초YPSY4C05</vt:lpstr>
      <vt:lpstr>lay초YPSY4C06</vt:lpstr>
      <vt:lpstr>lay초YPSY4C07</vt:lpstr>
      <vt:lpstr>lay초YPSY4C08</vt:lpstr>
      <vt:lpstr>lay초YPSY4D01</vt:lpstr>
      <vt:lpstr>lay초YPSY4D02</vt:lpstr>
      <vt:lpstr>lay초YPSY4D03</vt:lpstr>
      <vt:lpstr>lay초YPSY4D04</vt:lpstr>
      <vt:lpstr>lay초YPSY4D05</vt:lpstr>
      <vt:lpstr>lay초YPSY4E01</vt:lpstr>
      <vt:lpstr>lay초YPSY4E02</vt:lpstr>
      <vt:lpstr>lay초YPSY4E03</vt:lpstr>
      <vt:lpstr>lay초YPSY4E04</vt:lpstr>
      <vt:lpstr>lay초YPSY4E05</vt:lpstr>
      <vt:lpstr>lay초YPSY4E06</vt:lpstr>
      <vt:lpstr>lay초YPSY4E07</vt:lpstr>
      <vt:lpstr>lay초YPSY4E08</vt:lpstr>
      <vt:lpstr>lay초YPSY4E09</vt:lpstr>
      <vt:lpstr>lay초YPSY4E10</vt:lpstr>
      <vt:lpstr>lay초YPSY5A01</vt:lpstr>
      <vt:lpstr>lay초YPSY5A02</vt:lpstr>
      <vt:lpstr>lay초YPSY5A03</vt:lpstr>
      <vt:lpstr>lay초YPSY5A04</vt:lpstr>
      <vt:lpstr>lay초YPSY5A05</vt:lpstr>
      <vt:lpstr>lay초YPSY5A06</vt:lpstr>
      <vt:lpstr>lay초YPSY5A07</vt:lpstr>
      <vt:lpstr>lay초YPSY5A08</vt:lpstr>
      <vt:lpstr>lay초YPSY5A09</vt:lpstr>
      <vt:lpstr>lay초YPSY5A10</vt:lpstr>
      <vt:lpstr>lay초YPSY5A11</vt:lpstr>
      <vt:lpstr>lay초YPSY5A12</vt:lpstr>
      <vt:lpstr>lay초YPSY5A13</vt:lpstr>
      <vt:lpstr>lay초YPSY5A14</vt:lpstr>
      <vt:lpstr>lay초YPSY7A01</vt:lpstr>
      <vt:lpstr>lay초YPSY7A02</vt:lpstr>
      <vt:lpstr>lay초YPSY7A03</vt:lpstr>
      <vt:lpstr>lay초YPSY7A04</vt:lpstr>
      <vt:lpstr>lay초YPSY7A05</vt:lpstr>
      <vt:lpstr>lay초YPSY7A06</vt:lpstr>
      <vt:lpstr>lay초YPSY7A07</vt:lpstr>
      <vt:lpstr>lay초YPSY7A08</vt:lpstr>
      <vt:lpstr>lay초YTIM1A01</vt:lpstr>
      <vt:lpstr>lay초YTIM1A02</vt:lpstr>
      <vt:lpstr>lay초YTIM1A03</vt:lpstr>
      <vt:lpstr>lay초YTIM1A04</vt:lpstr>
      <vt:lpstr>lay초YTIM1B01</vt:lpstr>
      <vt:lpstr>lay초YTIM1B02</vt:lpstr>
      <vt:lpstr>lay초YTIM1B03</vt:lpstr>
      <vt:lpstr>lay초YTIM1B04</vt:lpstr>
      <vt:lpstr>lay초YTIM1C01</vt:lpstr>
      <vt:lpstr>lay초YTIM1C02</vt:lpstr>
      <vt:lpstr>lay초YTIM1D01</vt:lpstr>
      <vt:lpstr>lay초YTIM1D02</vt:lpstr>
      <vt:lpstr>lay초YTIM1E01</vt:lpstr>
      <vt:lpstr>lay초YTIM1E02</vt:lpstr>
      <vt:lpstr>lay초YTIM1F01</vt:lpstr>
      <vt:lpstr>lay초YTIM1F02</vt:lpstr>
      <vt:lpstr>lay초YTIM1G01</vt:lpstr>
      <vt:lpstr>lay초YTIM1G02</vt:lpstr>
      <vt:lpstr>lay초YTIM1H01</vt:lpstr>
      <vt:lpstr>lay초YTIM1H02</vt:lpstr>
      <vt:lpstr>lay초YTIM1I01</vt:lpstr>
      <vt:lpstr>lay초YTIM1I02</vt:lpstr>
      <vt:lpstr>lay초YTIM1J01</vt:lpstr>
      <vt:lpstr>lay초YTIM1J02</vt:lpstr>
      <vt:lpstr>lay초YTIM1K01</vt:lpstr>
      <vt:lpstr>lay초YTIM1K02</vt:lpstr>
      <vt:lpstr>lay초YTIM1L01</vt:lpstr>
      <vt:lpstr>lay초YTIM1L02</vt:lpstr>
      <vt:lpstr>lay초YTIM1M01</vt:lpstr>
      <vt:lpstr>lay초YTIM1M02</vt:lpstr>
      <vt:lpstr>lay초YTIM1N01</vt:lpstr>
      <vt:lpstr>lay초YTIM1N02</vt:lpstr>
      <vt:lpstr>lay초YTWIN</vt:lpstr>
      <vt:lpstr>q18보PARENT</vt:lpstr>
      <vt:lpstr>q18보PBRP1</vt:lpstr>
      <vt:lpstr>q18보PBRP2</vt:lpstr>
      <vt:lpstr>q18보PBRP3</vt:lpstr>
      <vt:lpstr>q18보PEDU1A00</vt:lpstr>
      <vt:lpstr>q18보PEDU1B01</vt:lpstr>
      <vt:lpstr>q18보PEDU1B02</vt:lpstr>
      <vt:lpstr>q18보PEDU1B02_T</vt:lpstr>
      <vt:lpstr>q18보PEDU1B03</vt:lpstr>
      <vt:lpstr>q18보PEDU1B04</vt:lpstr>
      <vt:lpstr>q18보PEDU1B04_T</vt:lpstr>
      <vt:lpstr>q18보PEDU1C00</vt:lpstr>
      <vt:lpstr>q18보PFAM1A00</vt:lpstr>
      <vt:lpstr>q18보PFAM1A00_T</vt:lpstr>
      <vt:lpstr>q18보PFAM2A01</vt:lpstr>
      <vt:lpstr>q18보PFAM2A01_T</vt:lpstr>
      <vt:lpstr>q18보PFAM2A02</vt:lpstr>
      <vt:lpstr>q18보PFAM2A02_T</vt:lpstr>
      <vt:lpstr>q18보PFAM2A03</vt:lpstr>
      <vt:lpstr>q18보PFAM2A03_T</vt:lpstr>
      <vt:lpstr>q18보PFAM2A04</vt:lpstr>
      <vt:lpstr>q18보PFAM2A04_T</vt:lpstr>
      <vt:lpstr>q18보PFAM3A00</vt:lpstr>
      <vt:lpstr>q18보PFAM3B00</vt:lpstr>
      <vt:lpstr>q18보PFAM3C00</vt:lpstr>
      <vt:lpstr>q18보PFAM3D00</vt:lpstr>
      <vt:lpstr>q18보PFAM4A01</vt:lpstr>
      <vt:lpstr>q18보PFAM4A02</vt:lpstr>
      <vt:lpstr>q18보PFAM4A03</vt:lpstr>
      <vt:lpstr>q18보PFAM4A04</vt:lpstr>
      <vt:lpstr>q18보PHOMPOP</vt:lpstr>
      <vt:lpstr>q18보PINCOME</vt:lpstr>
      <vt:lpstr>q18보PINCOME1</vt:lpstr>
      <vt:lpstr>q18보PJOB1</vt:lpstr>
      <vt:lpstr>q18보PJOB1_T</vt:lpstr>
      <vt:lpstr>q18보PJOB2</vt:lpstr>
      <vt:lpstr>q18보PJOB2_T</vt:lpstr>
      <vt:lpstr>q18보PJOB3</vt:lpstr>
      <vt:lpstr>q18보PJOB3_T</vt:lpstr>
      <vt:lpstr>q18보PMDA1A00</vt:lpstr>
      <vt:lpstr>q18보PMDA1B01</vt:lpstr>
      <vt:lpstr>q18보PMDA1B02</vt:lpstr>
      <vt:lpstr>q18보PMDA1B03</vt:lpstr>
      <vt:lpstr>q18보PMDA1B04</vt:lpstr>
      <vt:lpstr>q18보PMDA1B05</vt:lpstr>
      <vt:lpstr>q18보PMDA1B06</vt:lpstr>
      <vt:lpstr>q18보PMDA1B07</vt:lpstr>
      <vt:lpstr>q18보PMDA1B08</vt:lpstr>
      <vt:lpstr>q18보PMDA1B09</vt:lpstr>
      <vt:lpstr>q18보PMDA1B10</vt:lpstr>
      <vt:lpstr>q18보PMDA1B11</vt:lpstr>
      <vt:lpstr>q18보PMDA1B13</vt:lpstr>
      <vt:lpstr>q18보PMDA1B13_T</vt:lpstr>
      <vt:lpstr>q18보PMDA1C01</vt:lpstr>
      <vt:lpstr>q18보PMDA1C02</vt:lpstr>
      <vt:lpstr>q18보PMDA1C03</vt:lpstr>
      <vt:lpstr>q18보PMDA1C04</vt:lpstr>
      <vt:lpstr>q18보PMDA1C05</vt:lpstr>
      <vt:lpstr>q18보PMDA1C06</vt:lpstr>
      <vt:lpstr>q18보PMDA1C07</vt:lpstr>
      <vt:lpstr>q18보PMDA1C08</vt:lpstr>
      <vt:lpstr>q18보PMDA1C09</vt:lpstr>
      <vt:lpstr>q18보PMDA1C10</vt:lpstr>
      <vt:lpstr>q18보PMDA1C11</vt:lpstr>
      <vt:lpstr>q18보PMDA1C12</vt:lpstr>
      <vt:lpstr>q18보PMDA1C13</vt:lpstr>
      <vt:lpstr>q18보PMDA1C14</vt:lpstr>
      <vt:lpstr>q18보PMDA1C15</vt:lpstr>
      <vt:lpstr>q18보PPHY1A00</vt:lpstr>
      <vt:lpstr>q18보PPHY1B00</vt:lpstr>
      <vt:lpstr>q18보PPHY1C00</vt:lpstr>
      <vt:lpstr>q18보PPHY2A00</vt:lpstr>
      <vt:lpstr>q18보PPHY2B00</vt:lpstr>
      <vt:lpstr>q18보PPSY1A01</vt:lpstr>
      <vt:lpstr>q18보PPSY1A02</vt:lpstr>
      <vt:lpstr>q18보PPSY1A03</vt:lpstr>
      <vt:lpstr>q18보PPSY1A04</vt:lpstr>
      <vt:lpstr>q18보PPSY1A05</vt:lpstr>
      <vt:lpstr>q18보PPSY2A01</vt:lpstr>
      <vt:lpstr>q18보PPSY2A02</vt:lpstr>
      <vt:lpstr>q18보PPSY2A03</vt:lpstr>
      <vt:lpstr>q18보PPSY2A04</vt:lpstr>
      <vt:lpstr>q18보PPSY3A01</vt:lpstr>
      <vt:lpstr>q18보PPSY3A02</vt:lpstr>
      <vt:lpstr>q18보PPSY3A03</vt:lpstr>
      <vt:lpstr>q18보PPSY3A04</vt:lpstr>
      <vt:lpstr>q18보PPSY3A05</vt:lpstr>
      <vt:lpstr>q18보PPSY3A06</vt:lpstr>
      <vt:lpstr>q18보PPSY3A07</vt:lpstr>
      <vt:lpstr>q18보PPSY3A08</vt:lpstr>
      <vt:lpstr>q18보PPSY3A09</vt:lpstr>
      <vt:lpstr>q18보PPSY3A10</vt:lpstr>
      <vt:lpstr>q18보PPSY4A01</vt:lpstr>
      <vt:lpstr>q18보PPSY4A02</vt:lpstr>
      <vt:lpstr>q18보PPSY4A03</vt:lpstr>
      <vt:lpstr>q18보PPSY4A04</vt:lpstr>
      <vt:lpstr>q18보PPSY4A05</vt:lpstr>
      <vt:lpstr>q18보PPSY4A06</vt:lpstr>
      <vt:lpstr>q18보PPSY4A07</vt:lpstr>
      <vt:lpstr>q18보PPSY4A08</vt:lpstr>
      <vt:lpstr>q18보PPSY4A09</vt:lpstr>
      <vt:lpstr>q18보PPSY4A10</vt:lpstr>
      <vt:lpstr>q18보PPSY4A11</vt:lpstr>
      <vt:lpstr>q18보PPSY4A12</vt:lpstr>
      <vt:lpstr>q18보PPSY4A13</vt:lpstr>
      <vt:lpstr>q18보PPSY4A14</vt:lpstr>
      <vt:lpstr>q18보PPSY4A15</vt:lpstr>
      <vt:lpstr>q18보PPSY4A16</vt:lpstr>
      <vt:lpstr>q18보PPSY4A17</vt:lpstr>
      <vt:lpstr>q18보PPSY4A18</vt:lpstr>
      <vt:lpstr>q18보PPSY4A19</vt:lpstr>
      <vt:lpstr>q18보PPSY4A20</vt:lpstr>
      <vt:lpstr>q18보PPSY4A21</vt:lpstr>
      <vt:lpstr>q18보PPSY4A22</vt:lpstr>
      <vt:lpstr>q18보PPSY4A23</vt:lpstr>
      <vt:lpstr>q18보PPSY4A24</vt:lpstr>
      <vt:lpstr>q18보PPSY4A25</vt:lpstr>
      <vt:lpstr>q18보PPSY4A26</vt:lpstr>
      <vt:lpstr>q18보PPSY4A27</vt:lpstr>
      <vt:lpstr>q18보PPSY4A28</vt:lpstr>
      <vt:lpstr>q18보PPSY4A29</vt:lpstr>
      <vt:lpstr>q18보PPSY4A30</vt:lpstr>
      <vt:lpstr>q18보PPSY5A01</vt:lpstr>
      <vt:lpstr>q18보PPSY5A02</vt:lpstr>
      <vt:lpstr>q18보PPSY5A03</vt:lpstr>
      <vt:lpstr>q18보PPSY5A04</vt:lpstr>
      <vt:lpstr>q18보PPSY5A05</vt:lpstr>
      <vt:lpstr>q18보PPSY5A06</vt:lpstr>
      <vt:lpstr>q18보PPSY5A07</vt:lpstr>
      <vt:lpstr>q18보PPSY5A08</vt:lpstr>
      <vt:lpstr>q18보PRELATE1___PBRTB1</vt:lpstr>
      <vt:lpstr>q18보PRELATE2___PBRTB2</vt:lpstr>
      <vt:lpstr>q18보PRELATE3___PBRTB3</vt:lpstr>
      <vt:lpstr>q18보PRELATE4___PBRTB4</vt:lpstr>
      <vt:lpstr>q18보PRELATE5___PBRTB5</vt:lpstr>
      <vt:lpstr>q18보PRELATE6___PBRTB6</vt:lpstr>
      <vt:lpstr>q18보PRELATE7___PBRTB7</vt:lpstr>
      <vt:lpstr>q18보PRELATE8___PBRTB8</vt:lpstr>
      <vt:lpstr>q18보PSCHOOL1</vt:lpstr>
      <vt:lpstr>q18보PSCHOOL2</vt:lpstr>
      <vt:lpstr>q18보PSCHOOL3</vt:lpstr>
      <vt:lpstr>q18보PWORKW1</vt:lpstr>
      <vt:lpstr>q18보PWORKW2</vt:lpstr>
      <vt:lpstr>q18보PWORKW3</vt:lpstr>
      <vt:lpstr>q18보PYBRP1</vt:lpstr>
      <vt:lpstr>q18보PYBRP2</vt:lpstr>
      <vt:lpstr>q18보PYBRP3</vt:lpstr>
      <vt:lpstr>q18보PYBRT1A</vt:lpstr>
      <vt:lpstr>q18보PYBRT1B</vt:lpstr>
      <vt:lpstr>q18보PYGENDER</vt:lpstr>
      <vt:lpstr>q18중YACT1A01</vt:lpstr>
      <vt:lpstr>q18중YACT1A02</vt:lpstr>
      <vt:lpstr>q18중YACT1A03</vt:lpstr>
      <vt:lpstr>q18중YACT1A04</vt:lpstr>
      <vt:lpstr>q18중YACT1A05</vt:lpstr>
      <vt:lpstr>q18중YACT1A06</vt:lpstr>
      <vt:lpstr>q18중YACT1A07</vt:lpstr>
      <vt:lpstr>q18중YACT1A08</vt:lpstr>
      <vt:lpstr>q18중YACT1A09</vt:lpstr>
      <vt:lpstr>q18중YACT1B01</vt:lpstr>
      <vt:lpstr>q18중YACT1B02</vt:lpstr>
      <vt:lpstr>q18중YACT1B03</vt:lpstr>
      <vt:lpstr>q18중YACT1B04</vt:lpstr>
      <vt:lpstr>q18중YACT1B05</vt:lpstr>
      <vt:lpstr>q18중YACT1B06</vt:lpstr>
      <vt:lpstr>q18중YACT1B07</vt:lpstr>
      <vt:lpstr>q18중YACT1B08</vt:lpstr>
      <vt:lpstr>q18중YACT1B09</vt:lpstr>
      <vt:lpstr>q18중YACT2A01</vt:lpstr>
      <vt:lpstr>q18중YACT2A02</vt:lpstr>
      <vt:lpstr>q18중YACT2B01</vt:lpstr>
      <vt:lpstr>q18중YACT2B02</vt:lpstr>
      <vt:lpstr>q18중YACT3A00</vt:lpstr>
      <vt:lpstr>q18중YACT3B01</vt:lpstr>
      <vt:lpstr>q18중YACT3B02</vt:lpstr>
      <vt:lpstr>q18중YACT3B03</vt:lpstr>
      <vt:lpstr>q18중YACT3B04</vt:lpstr>
      <vt:lpstr>q18중YACT3B05</vt:lpstr>
      <vt:lpstr>q18중YACT3B06</vt:lpstr>
      <vt:lpstr>q18중YACT3B07</vt:lpstr>
      <vt:lpstr>q18중YACT3B08</vt:lpstr>
      <vt:lpstr>q18중YACT3B09</vt:lpstr>
      <vt:lpstr>q18중YBRT1A</vt:lpstr>
      <vt:lpstr>q18중YBRT1B</vt:lpstr>
      <vt:lpstr>q18중YDLQ1A01</vt:lpstr>
      <vt:lpstr>q18중YDLQ1A02</vt:lpstr>
      <vt:lpstr>q18중YDLQ1A03</vt:lpstr>
      <vt:lpstr>q18중YDLQ1A04</vt:lpstr>
      <vt:lpstr>q18중YDLQ1A05</vt:lpstr>
      <vt:lpstr>q18중YDLQ1A06</vt:lpstr>
      <vt:lpstr>q18중YDLQ1A07</vt:lpstr>
      <vt:lpstr>q18중YDLQ1A08</vt:lpstr>
      <vt:lpstr>q18중YDLQ1A09</vt:lpstr>
      <vt:lpstr>q18중YDLQ1A10</vt:lpstr>
      <vt:lpstr>q18중YDLQ1A11</vt:lpstr>
      <vt:lpstr>q18중YDLQ1A12</vt:lpstr>
      <vt:lpstr>q18중YDLQ1A13</vt:lpstr>
      <vt:lpstr>q18중YDLQ1A14</vt:lpstr>
      <vt:lpstr>q18중YDLQ1A15</vt:lpstr>
      <vt:lpstr>q18중YDLQ2A01</vt:lpstr>
      <vt:lpstr>q18중YDLQ2A02</vt:lpstr>
      <vt:lpstr>q18중YDLQ2A03</vt:lpstr>
      <vt:lpstr>q18중YDLQ2A04</vt:lpstr>
      <vt:lpstr>q18중YDLQ2A05</vt:lpstr>
      <vt:lpstr>q18중YDLQ2A06</vt:lpstr>
      <vt:lpstr>q18중YDLQ2A07</vt:lpstr>
      <vt:lpstr>q18중YDLQ2A08</vt:lpstr>
      <vt:lpstr>q18중YDLQ2A09</vt:lpstr>
      <vt:lpstr>q18중YDLQ2A10</vt:lpstr>
      <vt:lpstr>q18중YDLQ2A11</vt:lpstr>
      <vt:lpstr>q18중YDLQ2A12</vt:lpstr>
      <vt:lpstr>q18중YDLQ2A13</vt:lpstr>
      <vt:lpstr>q18중YDLQ2A14</vt:lpstr>
      <vt:lpstr>q18중YDLQ2A15</vt:lpstr>
      <vt:lpstr>q18중YEDU1A00</vt:lpstr>
      <vt:lpstr>q18중YEDU2A01</vt:lpstr>
      <vt:lpstr>q18중YEDU2A02</vt:lpstr>
      <vt:lpstr>q18중YEDU2A03</vt:lpstr>
      <vt:lpstr>q18중YEDU2A04</vt:lpstr>
      <vt:lpstr>q18중YEDU2A05</vt:lpstr>
      <vt:lpstr>q18중YEDU2A06</vt:lpstr>
      <vt:lpstr>q18중YEDU2A07</vt:lpstr>
      <vt:lpstr>q18중YEDU2A08</vt:lpstr>
      <vt:lpstr>q18중YEDU2A09</vt:lpstr>
      <vt:lpstr>q18중YEDU2A10</vt:lpstr>
      <vt:lpstr>q18중YEDU2A11</vt:lpstr>
      <vt:lpstr>q18중YEDU2A12</vt:lpstr>
      <vt:lpstr>q18중YEDU2A13</vt:lpstr>
      <vt:lpstr>q18중YEDU3A01</vt:lpstr>
      <vt:lpstr>q18중YEDU3A02</vt:lpstr>
      <vt:lpstr>q18중YEDU3A03</vt:lpstr>
      <vt:lpstr>q18중YEDU3A04</vt:lpstr>
      <vt:lpstr>q18중YEDU3A05</vt:lpstr>
      <vt:lpstr>q18중YEDU3A06</vt:lpstr>
      <vt:lpstr>q18중YEDU3A07</vt:lpstr>
      <vt:lpstr>q18중YEDU3A08</vt:lpstr>
      <vt:lpstr>q18중YEDU3A09</vt:lpstr>
      <vt:lpstr>q18중YEDU3A10</vt:lpstr>
      <vt:lpstr>q18중YEDU3A11</vt:lpstr>
      <vt:lpstr>q18중YEDU3A12</vt:lpstr>
      <vt:lpstr>q18중YEDU3A13</vt:lpstr>
      <vt:lpstr>q18중YEDU3A14</vt:lpstr>
      <vt:lpstr>q18중YFAM1A01</vt:lpstr>
      <vt:lpstr>q18중YFAM1A02</vt:lpstr>
      <vt:lpstr>q18중YFAM1A03</vt:lpstr>
      <vt:lpstr>q18중YFAM1A04</vt:lpstr>
      <vt:lpstr>q18중YFAM2A01</vt:lpstr>
      <vt:lpstr>q18중YFAM2A02</vt:lpstr>
      <vt:lpstr>q18중YFAM2A03</vt:lpstr>
      <vt:lpstr>q18중YFAM2A04</vt:lpstr>
      <vt:lpstr>q18중YFAM2B01</vt:lpstr>
      <vt:lpstr>q18중YFAM2B02</vt:lpstr>
      <vt:lpstr>q18중YFAM2B03</vt:lpstr>
      <vt:lpstr>q18중YFAM2B04</vt:lpstr>
      <vt:lpstr>q18중YFAM2C01</vt:lpstr>
      <vt:lpstr>q18중YFAM2C02</vt:lpstr>
      <vt:lpstr>q18중YFAM2C03</vt:lpstr>
      <vt:lpstr>q18중YFAM2C04</vt:lpstr>
      <vt:lpstr>q18중YFAM2D01</vt:lpstr>
      <vt:lpstr>q18중YFAM2D02</vt:lpstr>
      <vt:lpstr>q18중YFAM2D03</vt:lpstr>
      <vt:lpstr>q18중YFAM2D04</vt:lpstr>
      <vt:lpstr>q18중YFAM2E01</vt:lpstr>
      <vt:lpstr>q18중YFAM2E02</vt:lpstr>
      <vt:lpstr>q18중YFAM2E03</vt:lpstr>
      <vt:lpstr>q18중YFAM2E04</vt:lpstr>
      <vt:lpstr>q18중YFAM2F01</vt:lpstr>
      <vt:lpstr>q18중YFAM2F02</vt:lpstr>
      <vt:lpstr>q18중YFAM2F03</vt:lpstr>
      <vt:lpstr>q18중YFAM2F04</vt:lpstr>
      <vt:lpstr>q18중YFUR1A00</vt:lpstr>
      <vt:lpstr>q18중YFUR1B00</vt:lpstr>
      <vt:lpstr>q18중YFUR2A01</vt:lpstr>
      <vt:lpstr>q18중YFUR2A02</vt:lpstr>
      <vt:lpstr>q18중YFUR2A03</vt:lpstr>
      <vt:lpstr>q18중YFUR2A04</vt:lpstr>
      <vt:lpstr>q18중YFUR2A05</vt:lpstr>
      <vt:lpstr>q18중YFUR2A06</vt:lpstr>
      <vt:lpstr>q18중YFUR2A07</vt:lpstr>
      <vt:lpstr>q18중YFUR2A08</vt:lpstr>
      <vt:lpstr>q18중YFUR2A08_T</vt:lpstr>
      <vt:lpstr>q18중YGENDER</vt:lpstr>
      <vt:lpstr>q18중YINT1A00</vt:lpstr>
      <vt:lpstr>q18중YINT1B00</vt:lpstr>
      <vt:lpstr>q18중YINT2A01</vt:lpstr>
      <vt:lpstr>q18중YINT2A02</vt:lpstr>
      <vt:lpstr>q18중YINT2A03</vt:lpstr>
      <vt:lpstr>q18중YINT2A04</vt:lpstr>
      <vt:lpstr>q18중YINT2A05</vt:lpstr>
      <vt:lpstr>q18중YINT2A06</vt:lpstr>
      <vt:lpstr>q18중YINT2A07</vt:lpstr>
      <vt:lpstr>q18중YINT2A08</vt:lpstr>
      <vt:lpstr>q18중YINT2A09</vt:lpstr>
      <vt:lpstr>q18중YINT2A10</vt:lpstr>
      <vt:lpstr>q18중YINT2A11</vt:lpstr>
      <vt:lpstr>q18중YINT2A12</vt:lpstr>
      <vt:lpstr>q18중YINT2A13</vt:lpstr>
      <vt:lpstr>q18중YINT2A14</vt:lpstr>
      <vt:lpstr>q18중YINT2A15</vt:lpstr>
      <vt:lpstr>q18중YINT2A16</vt:lpstr>
      <vt:lpstr>q18중YINT2B01</vt:lpstr>
      <vt:lpstr>q18중YINT2B02</vt:lpstr>
      <vt:lpstr>q18중YINT2B03</vt:lpstr>
      <vt:lpstr>q18중YINT2B04</vt:lpstr>
      <vt:lpstr>q18중YINT2B05</vt:lpstr>
      <vt:lpstr>q18중YINT2B06</vt:lpstr>
      <vt:lpstr>q18중YINT2B07</vt:lpstr>
      <vt:lpstr>q18중YINT2B08</vt:lpstr>
      <vt:lpstr>q18중YINT2B09</vt:lpstr>
      <vt:lpstr>q18중YINT2B10</vt:lpstr>
      <vt:lpstr>q18중YINT2B11</vt:lpstr>
      <vt:lpstr>q18중YINT2B12</vt:lpstr>
      <vt:lpstr>q18중YINT2B13</vt:lpstr>
      <vt:lpstr>q18중YINT2B14</vt:lpstr>
      <vt:lpstr>q18중YINT2B15</vt:lpstr>
      <vt:lpstr>q18중YINT2B16</vt:lpstr>
      <vt:lpstr>q18중YMDA1A00</vt:lpstr>
      <vt:lpstr>q18중YMDA1B01</vt:lpstr>
      <vt:lpstr>q18중YMDA1B02</vt:lpstr>
      <vt:lpstr>q18중YMDA1B03</vt:lpstr>
      <vt:lpstr>q18중YMDA1B04</vt:lpstr>
      <vt:lpstr>q18중YMDA1B05</vt:lpstr>
      <vt:lpstr>q18중YMDA1B06</vt:lpstr>
      <vt:lpstr>q18중YMDA1B07</vt:lpstr>
      <vt:lpstr>q18중YMDA1B08</vt:lpstr>
      <vt:lpstr>q18중YMDA1B09</vt:lpstr>
      <vt:lpstr>q18중YMDA1B10</vt:lpstr>
      <vt:lpstr>q18중YMDA1B11</vt:lpstr>
      <vt:lpstr>q18중YMDA1B13</vt:lpstr>
      <vt:lpstr>q18중YMDA1B13_T</vt:lpstr>
      <vt:lpstr>q18중YMDA1C01</vt:lpstr>
      <vt:lpstr>q18중YMDA1C02</vt:lpstr>
      <vt:lpstr>q18중YMDA1C03</vt:lpstr>
      <vt:lpstr>q18중YMDA1C04</vt:lpstr>
      <vt:lpstr>q18중YMDA1C05</vt:lpstr>
      <vt:lpstr>q18중YMDA1C06</vt:lpstr>
      <vt:lpstr>q18중YMDA1C07</vt:lpstr>
      <vt:lpstr>q18중YMDA1C08</vt:lpstr>
      <vt:lpstr>q18중YMDA1C09</vt:lpstr>
      <vt:lpstr>q18중YMDA1C10</vt:lpstr>
      <vt:lpstr>q18중YMDA1C11</vt:lpstr>
      <vt:lpstr>q18중YMDA1C12</vt:lpstr>
      <vt:lpstr>q18중YMDA1C13</vt:lpstr>
      <vt:lpstr>q18중YMDA1C14</vt:lpstr>
      <vt:lpstr>q18중YMDA1C15</vt:lpstr>
      <vt:lpstr>q18중YPHY1A00</vt:lpstr>
      <vt:lpstr>q18중YPHY1B00</vt:lpstr>
      <vt:lpstr>q18중YPHY1C00</vt:lpstr>
      <vt:lpstr>q18중YPHY2A00</vt:lpstr>
      <vt:lpstr>q18중YPHY2B00</vt:lpstr>
      <vt:lpstr>q18중YPSY1A01</vt:lpstr>
      <vt:lpstr>q18중YPSY1A02</vt:lpstr>
      <vt:lpstr>q18중YPSY1A03</vt:lpstr>
      <vt:lpstr>q18중YPSY1A04</vt:lpstr>
      <vt:lpstr>q18중YPSY1A05</vt:lpstr>
      <vt:lpstr>q18중YPSY2A01</vt:lpstr>
      <vt:lpstr>q18중YPSY2A02</vt:lpstr>
      <vt:lpstr>q18중YPSY2A03</vt:lpstr>
      <vt:lpstr>q18중YPSY2A04</vt:lpstr>
      <vt:lpstr>q18중YPSY3A01</vt:lpstr>
      <vt:lpstr>q18중YPSY3A02</vt:lpstr>
      <vt:lpstr>q18중YPSY3A03</vt:lpstr>
      <vt:lpstr>q18중YPSY3A04</vt:lpstr>
      <vt:lpstr>q18중YPSY3A05</vt:lpstr>
      <vt:lpstr>q18중YPSY3A06</vt:lpstr>
      <vt:lpstr>q18중YPSY3A07</vt:lpstr>
      <vt:lpstr>q18중YPSY3A08</vt:lpstr>
      <vt:lpstr>q18중YPSY3A09</vt:lpstr>
      <vt:lpstr>q18중YPSY3A10</vt:lpstr>
      <vt:lpstr>q18중YPSY4A01</vt:lpstr>
      <vt:lpstr>q18중YPSY4A02</vt:lpstr>
      <vt:lpstr>q18중YPSY4A03</vt:lpstr>
      <vt:lpstr>q18중YPSY4A04</vt:lpstr>
      <vt:lpstr>q18중YPSY4A05</vt:lpstr>
      <vt:lpstr>q18중YPSY4A06</vt:lpstr>
      <vt:lpstr>q18중YPSY4A07</vt:lpstr>
      <vt:lpstr>q18중YPSY4B01</vt:lpstr>
      <vt:lpstr>q18중YPSY4B02</vt:lpstr>
      <vt:lpstr>q18중YPSY4B03</vt:lpstr>
      <vt:lpstr>q18중YPSY4B04</vt:lpstr>
      <vt:lpstr>q18중YPSY4B05</vt:lpstr>
      <vt:lpstr>q18중YPSY4B06</vt:lpstr>
      <vt:lpstr>q18중YPSY4C01</vt:lpstr>
      <vt:lpstr>q18중YPSY4C02</vt:lpstr>
      <vt:lpstr>q18중YPSY4C03</vt:lpstr>
      <vt:lpstr>q18중YPSY4C04</vt:lpstr>
      <vt:lpstr>q18중YPSY4C05</vt:lpstr>
      <vt:lpstr>q18중YPSY4C06</vt:lpstr>
      <vt:lpstr>q18중YPSY4C07</vt:lpstr>
      <vt:lpstr>q18중YPSY4C08</vt:lpstr>
      <vt:lpstr>q18중YPSY4D01</vt:lpstr>
      <vt:lpstr>q18중YPSY4D02</vt:lpstr>
      <vt:lpstr>q18중YPSY4D03</vt:lpstr>
      <vt:lpstr>q18중YPSY4D04</vt:lpstr>
      <vt:lpstr>q18중YPSY4D05</vt:lpstr>
      <vt:lpstr>q18중YPSY4E01</vt:lpstr>
      <vt:lpstr>q18중YPSY4E02</vt:lpstr>
      <vt:lpstr>q18중YPSY4E03</vt:lpstr>
      <vt:lpstr>q18중YPSY4E04</vt:lpstr>
      <vt:lpstr>q18중YPSY4E05</vt:lpstr>
      <vt:lpstr>q18중YPSY4E06</vt:lpstr>
      <vt:lpstr>q18중YPSY4E07</vt:lpstr>
      <vt:lpstr>q18중YPSY4E08</vt:lpstr>
      <vt:lpstr>q18중YPSY4E09</vt:lpstr>
      <vt:lpstr>q18중YPSY4E10</vt:lpstr>
      <vt:lpstr>q18중YPSY5A01</vt:lpstr>
      <vt:lpstr>q18중YPSY5A02</vt:lpstr>
      <vt:lpstr>q18중YPSY5A03</vt:lpstr>
      <vt:lpstr>q18중YPSY5A04</vt:lpstr>
      <vt:lpstr>q18중YPSY5A05</vt:lpstr>
      <vt:lpstr>q18중YPSY5A06</vt:lpstr>
      <vt:lpstr>q18중YPSY5A07</vt:lpstr>
      <vt:lpstr>q18중YPSY5A08</vt:lpstr>
      <vt:lpstr>q18중YPSY5A09</vt:lpstr>
      <vt:lpstr>q18중YPSY5A10</vt:lpstr>
      <vt:lpstr>q18중YPSY5A11</vt:lpstr>
      <vt:lpstr>q18중YPSY5A12</vt:lpstr>
      <vt:lpstr>q18중YPSY5A13</vt:lpstr>
      <vt:lpstr>q18중YPSY5A14</vt:lpstr>
      <vt:lpstr>q18중YPSY6A01</vt:lpstr>
      <vt:lpstr>q18중YPSY6A02</vt:lpstr>
      <vt:lpstr>q18중YPSY6A03</vt:lpstr>
      <vt:lpstr>q18중YPSY6A04</vt:lpstr>
      <vt:lpstr>q18중YPSY6A05</vt:lpstr>
      <vt:lpstr>q18중YPSY6A06</vt:lpstr>
      <vt:lpstr>q18중YPSY6A07</vt:lpstr>
      <vt:lpstr>q18중YPSY6A08</vt:lpstr>
      <vt:lpstr>q18중YPSY6A09</vt:lpstr>
      <vt:lpstr>q18중YPSY6A10</vt:lpstr>
      <vt:lpstr>q18중YPSY6A11</vt:lpstr>
      <vt:lpstr>q18중YPSY6A12</vt:lpstr>
      <vt:lpstr>q18중YPSY6A13</vt:lpstr>
      <vt:lpstr>q18중YPSY6A14</vt:lpstr>
      <vt:lpstr>q18중YPSY6A15</vt:lpstr>
      <vt:lpstr>q18중YPSY6A16</vt:lpstr>
      <vt:lpstr>q18중YPSY6A17</vt:lpstr>
      <vt:lpstr>q18중YPSY6A18</vt:lpstr>
      <vt:lpstr>q18중YPSY6A19</vt:lpstr>
      <vt:lpstr>q18중YPSY6A20</vt:lpstr>
      <vt:lpstr>q18중YPSY6A21</vt:lpstr>
      <vt:lpstr>q18중YPSY6A22</vt:lpstr>
      <vt:lpstr>q18중YPSY6A23</vt:lpstr>
      <vt:lpstr>q18중YPSY6A24</vt:lpstr>
      <vt:lpstr>q18중YPSY6A25</vt:lpstr>
      <vt:lpstr>q18중YPSY6A26</vt:lpstr>
      <vt:lpstr>q18중YPSY6A27</vt:lpstr>
      <vt:lpstr>q18중YPSY6A28</vt:lpstr>
      <vt:lpstr>q18중YPSY6A29</vt:lpstr>
      <vt:lpstr>q18중YPSY6A30</vt:lpstr>
      <vt:lpstr>q18중YPSY7A01</vt:lpstr>
      <vt:lpstr>q18중YPSY7A02</vt:lpstr>
      <vt:lpstr>q18중YPSY7A03</vt:lpstr>
      <vt:lpstr>q18중YPSY7A04</vt:lpstr>
      <vt:lpstr>q18중YPSY7A05</vt:lpstr>
      <vt:lpstr>q18중YPSY7A06</vt:lpstr>
      <vt:lpstr>q18중YPSY7A07</vt:lpstr>
      <vt:lpstr>q18중YPSY7A08</vt:lpstr>
      <vt:lpstr>q18중YTIM1A01</vt:lpstr>
      <vt:lpstr>q18중YTIM1A02</vt:lpstr>
      <vt:lpstr>q18중YTIM1A03</vt:lpstr>
      <vt:lpstr>q18중YTIM1A04</vt:lpstr>
      <vt:lpstr>q18중YTIM1B01</vt:lpstr>
      <vt:lpstr>q18중YTIM1B02</vt:lpstr>
      <vt:lpstr>q18중YTIM1B03</vt:lpstr>
      <vt:lpstr>q18중YTIM1B04</vt:lpstr>
      <vt:lpstr>q18중YTIM1C01</vt:lpstr>
      <vt:lpstr>q18중YTIM1C02</vt:lpstr>
      <vt:lpstr>q18중YTIM1D01</vt:lpstr>
      <vt:lpstr>q18중YTIM1D02</vt:lpstr>
      <vt:lpstr>q18중YTIM1E01</vt:lpstr>
      <vt:lpstr>q18중YTIM1E02</vt:lpstr>
      <vt:lpstr>q18중YTIM1F01</vt:lpstr>
      <vt:lpstr>q18중YTIM1F02</vt:lpstr>
      <vt:lpstr>q18중YTIM1G01</vt:lpstr>
      <vt:lpstr>q18중YTIM1G02</vt:lpstr>
      <vt:lpstr>q18중YTIM1H01</vt:lpstr>
      <vt:lpstr>q18중YTIM1H02</vt:lpstr>
      <vt:lpstr>q18중YTIM1I01</vt:lpstr>
      <vt:lpstr>q18중YTIM1I02</vt:lpstr>
      <vt:lpstr>q18중YTIM1J01</vt:lpstr>
      <vt:lpstr>q18중YTIM1J02</vt:lpstr>
      <vt:lpstr>q18중YTIM1K01</vt:lpstr>
      <vt:lpstr>q18중YTIM1K02</vt:lpstr>
      <vt:lpstr>q18중YTIM1L01</vt:lpstr>
      <vt:lpstr>q18중YTIM1L02</vt:lpstr>
      <vt:lpstr>q18중YTIM1M01</vt:lpstr>
      <vt:lpstr>q18중YTIM1M02</vt:lpstr>
      <vt:lpstr>q18중YTIM1N01</vt:lpstr>
      <vt:lpstr>q18중YTIM1N02</vt:lpstr>
      <vt:lpstr>q18초YBRT1A</vt:lpstr>
      <vt:lpstr>q18초YBRT1B</vt:lpstr>
      <vt:lpstr>q18초YEDU1A00</vt:lpstr>
      <vt:lpstr>q18초YEDU2A01</vt:lpstr>
      <vt:lpstr>q18초YEDU2A02</vt:lpstr>
      <vt:lpstr>q18초YEDU2A03</vt:lpstr>
      <vt:lpstr>q18초YEDU2A04</vt:lpstr>
      <vt:lpstr>q18초YEDU2A05</vt:lpstr>
      <vt:lpstr>q18초YEDU2A06</vt:lpstr>
      <vt:lpstr>q18초YEDU2A07</vt:lpstr>
      <vt:lpstr>q18초YEDU2A08</vt:lpstr>
      <vt:lpstr>q18초YEDU2A09</vt:lpstr>
      <vt:lpstr>q18초YEDU2A10</vt:lpstr>
      <vt:lpstr>q18초YEDU2A11</vt:lpstr>
      <vt:lpstr>q18초YEDU2A12</vt:lpstr>
      <vt:lpstr>q18초YEDU2A13</vt:lpstr>
      <vt:lpstr>q18초YEDU3A01</vt:lpstr>
      <vt:lpstr>q18초YEDU3A02</vt:lpstr>
      <vt:lpstr>q18초YEDU3A03</vt:lpstr>
      <vt:lpstr>q18초YEDU3A04</vt:lpstr>
      <vt:lpstr>q18초YEDU3A05</vt:lpstr>
      <vt:lpstr>q18초YEDU3A06</vt:lpstr>
      <vt:lpstr>q18초YEDU3A07</vt:lpstr>
      <vt:lpstr>q18초YEDU3A08</vt:lpstr>
      <vt:lpstr>q18초YEDU3A09</vt:lpstr>
      <vt:lpstr>q18초YEDU3A10</vt:lpstr>
      <vt:lpstr>q18초YEDU3A11</vt:lpstr>
      <vt:lpstr>q18초YEDU3A12</vt:lpstr>
      <vt:lpstr>q18초YEDU3A13</vt:lpstr>
      <vt:lpstr>q18초YEDU3A14</vt:lpstr>
      <vt:lpstr>q18초YFAM1A01</vt:lpstr>
      <vt:lpstr>q18초YFAM1A02</vt:lpstr>
      <vt:lpstr>q18초YFAM1A03</vt:lpstr>
      <vt:lpstr>q18초YFAM1A04</vt:lpstr>
      <vt:lpstr>q18초YFAM2A01</vt:lpstr>
      <vt:lpstr>q18초YFAM2A02</vt:lpstr>
      <vt:lpstr>q18초YFAM2A03</vt:lpstr>
      <vt:lpstr>q18초YFAM2A04</vt:lpstr>
      <vt:lpstr>q18초YFAM2B01</vt:lpstr>
      <vt:lpstr>q18초YFAM2B02</vt:lpstr>
      <vt:lpstr>q18초YFAM2B03</vt:lpstr>
      <vt:lpstr>q18초YFAM2B04</vt:lpstr>
      <vt:lpstr>q18초YFAM2C01</vt:lpstr>
      <vt:lpstr>q18초YFAM2C02</vt:lpstr>
      <vt:lpstr>q18초YFAM2C03</vt:lpstr>
      <vt:lpstr>q18초YFAM2C04</vt:lpstr>
      <vt:lpstr>q18초YFAM2D01</vt:lpstr>
      <vt:lpstr>q18초YFAM2D02</vt:lpstr>
      <vt:lpstr>q18초YFAM2D03</vt:lpstr>
      <vt:lpstr>q18초YFAM2D04</vt:lpstr>
      <vt:lpstr>q18초YFAM2E01</vt:lpstr>
      <vt:lpstr>q18초YFAM2E02</vt:lpstr>
      <vt:lpstr>q18초YFAM2E03</vt:lpstr>
      <vt:lpstr>q18초YFAM2E04</vt:lpstr>
      <vt:lpstr>q18초YFAM2F01</vt:lpstr>
      <vt:lpstr>q18초YFAM2F02</vt:lpstr>
      <vt:lpstr>q18초YFAM2F03</vt:lpstr>
      <vt:lpstr>q18초YFAM2F04</vt:lpstr>
      <vt:lpstr>q18초YFUR2A01</vt:lpstr>
      <vt:lpstr>q18초YFUR2A02</vt:lpstr>
      <vt:lpstr>q18초YFUR2A03</vt:lpstr>
      <vt:lpstr>q18초YFUR2A04</vt:lpstr>
      <vt:lpstr>q18초YFUR2A05</vt:lpstr>
      <vt:lpstr>q18초YFUR2A06</vt:lpstr>
      <vt:lpstr>q18초YFUR2A07</vt:lpstr>
      <vt:lpstr>q18초YFUR2A08</vt:lpstr>
      <vt:lpstr>q18초YFUR2A08_T</vt:lpstr>
      <vt:lpstr>q18초YGENDER</vt:lpstr>
      <vt:lpstr>q18초YINT1A00</vt:lpstr>
      <vt:lpstr>q18초YINT1B00</vt:lpstr>
      <vt:lpstr>q18초YINT2A01</vt:lpstr>
      <vt:lpstr>q18초YINT2A02</vt:lpstr>
      <vt:lpstr>q18초YINT2A03</vt:lpstr>
      <vt:lpstr>q18초YINT2A04</vt:lpstr>
      <vt:lpstr>q18초YINT2A05</vt:lpstr>
      <vt:lpstr>q18초YINT2A06</vt:lpstr>
      <vt:lpstr>q18초YINT2A07</vt:lpstr>
      <vt:lpstr>q18초YINT2A08</vt:lpstr>
      <vt:lpstr>q18초YINT2A09</vt:lpstr>
      <vt:lpstr>q18초YINT2A10</vt:lpstr>
      <vt:lpstr>q18초YINT2A11</vt:lpstr>
      <vt:lpstr>q18초YINT2A12</vt:lpstr>
      <vt:lpstr>q18초YINT2A13</vt:lpstr>
      <vt:lpstr>q18초YINT2A14</vt:lpstr>
      <vt:lpstr>q18초YINT2A15</vt:lpstr>
      <vt:lpstr>q18초YINT2A16</vt:lpstr>
      <vt:lpstr>q18초YMDA1A00</vt:lpstr>
      <vt:lpstr>q18초YMDA1B01</vt:lpstr>
      <vt:lpstr>q18초YMDA1B02</vt:lpstr>
      <vt:lpstr>q18초YMDA1B03</vt:lpstr>
      <vt:lpstr>q18초YMDA1B04</vt:lpstr>
      <vt:lpstr>q18초YMDA1B05</vt:lpstr>
      <vt:lpstr>q18초YMDA1B06</vt:lpstr>
      <vt:lpstr>q18초YMDA1B07</vt:lpstr>
      <vt:lpstr>q18초YMDA1B08</vt:lpstr>
      <vt:lpstr>q18초YMDA1B09</vt:lpstr>
      <vt:lpstr>q18초YMDA1B10</vt:lpstr>
      <vt:lpstr>q18초YMDA1B11</vt:lpstr>
      <vt:lpstr>q18초YMDA1B12</vt:lpstr>
      <vt:lpstr>q18초YMDA1B13</vt:lpstr>
      <vt:lpstr>q18초YMDA1B13_T</vt:lpstr>
      <vt:lpstr>q18초YMDA1C01</vt:lpstr>
      <vt:lpstr>q18초YMDA1C02</vt:lpstr>
      <vt:lpstr>q18초YMDA1C03</vt:lpstr>
      <vt:lpstr>q18초YMDA1C04</vt:lpstr>
      <vt:lpstr>q18초YMDA1C05</vt:lpstr>
      <vt:lpstr>q18초YMDA1C06</vt:lpstr>
      <vt:lpstr>q18초YMDA1C07</vt:lpstr>
      <vt:lpstr>q18초YMDA1C08</vt:lpstr>
      <vt:lpstr>q18초YMDA1C09</vt:lpstr>
      <vt:lpstr>q18초YMDA1C10</vt:lpstr>
      <vt:lpstr>q18초YMDA1C11</vt:lpstr>
      <vt:lpstr>q18초YMDA1C12</vt:lpstr>
      <vt:lpstr>q18초YMDA1C13</vt:lpstr>
      <vt:lpstr>q18초YMDA1C14</vt:lpstr>
      <vt:lpstr>q18초YMDA1C15</vt:lpstr>
      <vt:lpstr>q18초YPHY1A00</vt:lpstr>
      <vt:lpstr>q18초YPHY1B00</vt:lpstr>
      <vt:lpstr>q18초YPHY1C00</vt:lpstr>
      <vt:lpstr>q18초YPHY2A00</vt:lpstr>
      <vt:lpstr>q18초YPHY2B00</vt:lpstr>
      <vt:lpstr>q18초YPSY1A01</vt:lpstr>
      <vt:lpstr>q18초YPSY1A02</vt:lpstr>
      <vt:lpstr>q18초YPSY1A03</vt:lpstr>
      <vt:lpstr>q18초YPSY1A04</vt:lpstr>
      <vt:lpstr>q18초YPSY1A05</vt:lpstr>
      <vt:lpstr>q18초YPSY2A01</vt:lpstr>
      <vt:lpstr>q18초YPSY2A02</vt:lpstr>
      <vt:lpstr>q18초YPSY2A03</vt:lpstr>
      <vt:lpstr>q18초YPSY2A04</vt:lpstr>
      <vt:lpstr>q18초YPSY3A01</vt:lpstr>
      <vt:lpstr>q18초YPSY3A02</vt:lpstr>
      <vt:lpstr>q18초YPSY3A03</vt:lpstr>
      <vt:lpstr>q18초YPSY3A04</vt:lpstr>
      <vt:lpstr>q18초YPSY3A05</vt:lpstr>
      <vt:lpstr>q18초YPSY3A06</vt:lpstr>
      <vt:lpstr>q18초YPSY3A07</vt:lpstr>
      <vt:lpstr>q18초YPSY3A08</vt:lpstr>
      <vt:lpstr>q18초YPSY3A09</vt:lpstr>
      <vt:lpstr>q18초YPSY3A10</vt:lpstr>
      <vt:lpstr>q18초YPSY4A01</vt:lpstr>
      <vt:lpstr>q18초YPSY4A02</vt:lpstr>
      <vt:lpstr>q18초YPSY4A03</vt:lpstr>
      <vt:lpstr>q18초YPSY4A04</vt:lpstr>
      <vt:lpstr>q18초YPSY4A05</vt:lpstr>
      <vt:lpstr>q18초YPSY4A06</vt:lpstr>
      <vt:lpstr>q18초YPSY4A07</vt:lpstr>
      <vt:lpstr>q18초YPSY4B01</vt:lpstr>
      <vt:lpstr>q18초YPSY4B02</vt:lpstr>
      <vt:lpstr>q18초YPSY4B03</vt:lpstr>
      <vt:lpstr>q18초YPSY4B04</vt:lpstr>
      <vt:lpstr>q18초YPSY4B05</vt:lpstr>
      <vt:lpstr>q18초YPSY4B06</vt:lpstr>
      <vt:lpstr>q18초YPSY4C01</vt:lpstr>
      <vt:lpstr>q18초YPSY4C02</vt:lpstr>
      <vt:lpstr>q18초YPSY4C03</vt:lpstr>
      <vt:lpstr>q18초YPSY4C04</vt:lpstr>
      <vt:lpstr>q18초YPSY4C05</vt:lpstr>
      <vt:lpstr>q18초YPSY4C06</vt:lpstr>
      <vt:lpstr>q18초YPSY4C07</vt:lpstr>
      <vt:lpstr>q18초YPSY4C08</vt:lpstr>
      <vt:lpstr>q18초YPSY4D01</vt:lpstr>
      <vt:lpstr>q18초YPSY4D02</vt:lpstr>
      <vt:lpstr>q18초YPSY4D03</vt:lpstr>
      <vt:lpstr>q18초YPSY4D04</vt:lpstr>
      <vt:lpstr>q18초YPSY4D05</vt:lpstr>
      <vt:lpstr>q18초YPSY4E01</vt:lpstr>
      <vt:lpstr>q18초YPSY4E02</vt:lpstr>
      <vt:lpstr>q18초YPSY4E03</vt:lpstr>
      <vt:lpstr>q18초YPSY4E04</vt:lpstr>
      <vt:lpstr>q18초YPSY4E05</vt:lpstr>
      <vt:lpstr>q18초YPSY4E06</vt:lpstr>
      <vt:lpstr>q18초YPSY4E07</vt:lpstr>
      <vt:lpstr>q18초YPSY4E08</vt:lpstr>
      <vt:lpstr>q18초YPSY4E09</vt:lpstr>
      <vt:lpstr>q18초YPSY4E10</vt:lpstr>
      <vt:lpstr>q18초YPSY5A01</vt:lpstr>
      <vt:lpstr>q18초YPSY5A02</vt:lpstr>
      <vt:lpstr>q18초YPSY5A03</vt:lpstr>
      <vt:lpstr>q18초YPSY5A04</vt:lpstr>
      <vt:lpstr>q18초YPSY5A05</vt:lpstr>
      <vt:lpstr>q18초YPSY5A06</vt:lpstr>
      <vt:lpstr>q18초YPSY5A07</vt:lpstr>
      <vt:lpstr>q18초YPSY5A08</vt:lpstr>
      <vt:lpstr>q18초YPSY5A09</vt:lpstr>
      <vt:lpstr>q18초YPSY5A10</vt:lpstr>
      <vt:lpstr>q18초YPSY5A11</vt:lpstr>
      <vt:lpstr>q18초YPSY5A12</vt:lpstr>
      <vt:lpstr>q18초YPSY5A13</vt:lpstr>
      <vt:lpstr>q18초YPSY5A14</vt:lpstr>
      <vt:lpstr>q18초YPSY7A01</vt:lpstr>
      <vt:lpstr>q18초YPSY7A02</vt:lpstr>
      <vt:lpstr>q18초YPSY7A03</vt:lpstr>
      <vt:lpstr>q18초YPSY7A04</vt:lpstr>
      <vt:lpstr>q18초YPSY7A05</vt:lpstr>
      <vt:lpstr>q18초YPSY7A06</vt:lpstr>
      <vt:lpstr>q18초YPSY7A07</vt:lpstr>
      <vt:lpstr>q18초YPSY7A08</vt:lpstr>
      <vt:lpstr>q18초YTIM1A01</vt:lpstr>
      <vt:lpstr>q18초YTIM1A02</vt:lpstr>
      <vt:lpstr>q18초YTIM1A03</vt:lpstr>
      <vt:lpstr>q18초YTIM1A04</vt:lpstr>
      <vt:lpstr>q18초YTIM1B01</vt:lpstr>
      <vt:lpstr>q18초YTIM1B02</vt:lpstr>
      <vt:lpstr>q18초YTIM1B03</vt:lpstr>
      <vt:lpstr>q18초YTIM1B04</vt:lpstr>
      <vt:lpstr>q18초YTIM1C01</vt:lpstr>
      <vt:lpstr>q18초YTIM1C02</vt:lpstr>
      <vt:lpstr>q18초YTIM1D01</vt:lpstr>
      <vt:lpstr>q18초YTIM1D02</vt:lpstr>
      <vt:lpstr>q18초YTIM1E01</vt:lpstr>
      <vt:lpstr>q18초YTIM1E02</vt:lpstr>
      <vt:lpstr>q18초YTIM1F01</vt:lpstr>
      <vt:lpstr>q18초YTIM1F02</vt:lpstr>
      <vt:lpstr>q18초YTIM1G01</vt:lpstr>
      <vt:lpstr>q18초YTIM1G02</vt:lpstr>
      <vt:lpstr>q18초YTIM1H01</vt:lpstr>
      <vt:lpstr>q18초YTIM1H02</vt:lpstr>
      <vt:lpstr>q18초YTIM1I01</vt:lpstr>
      <vt:lpstr>q18초YTIM1I02</vt:lpstr>
      <vt:lpstr>q18초YTIM1J01</vt:lpstr>
      <vt:lpstr>q18초YTIM1J02</vt:lpstr>
      <vt:lpstr>q18초YTIM1K01</vt:lpstr>
      <vt:lpstr>q18초YTIM1K02</vt:lpstr>
      <vt:lpstr>q18초YTIM1L01</vt:lpstr>
      <vt:lpstr>q18초YTIM1L02</vt:lpstr>
      <vt:lpstr>q18초YTIM1M01</vt:lpstr>
      <vt:lpstr>q18초YTIM1M02</vt:lpstr>
      <vt:lpstr>q18초YTIM1N01</vt:lpstr>
      <vt:lpstr>q18초YTIM1N02</vt:lpstr>
      <vt:lpstr>q19보PARENT</vt:lpstr>
      <vt:lpstr>q19보PBRP1</vt:lpstr>
      <vt:lpstr>q19보PBRP2</vt:lpstr>
      <vt:lpstr>q19보PBRP3</vt:lpstr>
      <vt:lpstr>q19보PEDU1A00</vt:lpstr>
      <vt:lpstr>q19보PEDU1B01</vt:lpstr>
      <vt:lpstr>q19보PEDU1B02</vt:lpstr>
      <vt:lpstr>q19보PEDU1B02_T</vt:lpstr>
      <vt:lpstr>q19보PEDU1B03</vt:lpstr>
      <vt:lpstr>q19보PEDU1B04</vt:lpstr>
      <vt:lpstr>q19보PEDU1B04_T</vt:lpstr>
      <vt:lpstr>q19보PEDU1C00</vt:lpstr>
      <vt:lpstr>q19보PFAM1A00</vt:lpstr>
      <vt:lpstr>q19보PFAM1A00_T</vt:lpstr>
      <vt:lpstr>q19보PFAM2A01</vt:lpstr>
      <vt:lpstr>q19보PFAM2A01_T</vt:lpstr>
      <vt:lpstr>q19보PFAM2A02</vt:lpstr>
      <vt:lpstr>q19보PFAM2A02_T</vt:lpstr>
      <vt:lpstr>q19보PFAM2A03</vt:lpstr>
      <vt:lpstr>q19보PFAM2A03_T</vt:lpstr>
      <vt:lpstr>q19보PFAM2A04</vt:lpstr>
      <vt:lpstr>q19보PFAM2A04_T</vt:lpstr>
      <vt:lpstr>q19보PFAM3A00</vt:lpstr>
      <vt:lpstr>q19보PFAM3B00</vt:lpstr>
      <vt:lpstr>q19보PFAM3C00</vt:lpstr>
      <vt:lpstr>q19보PFAM3D00</vt:lpstr>
      <vt:lpstr>q19보PFAM5A01</vt:lpstr>
      <vt:lpstr>q19보PFAM5A02</vt:lpstr>
      <vt:lpstr>q19보PFAM5A03</vt:lpstr>
      <vt:lpstr>q19보PFAM5A04</vt:lpstr>
      <vt:lpstr>q19보PFAM5B01</vt:lpstr>
      <vt:lpstr>q19보PFAM5B02</vt:lpstr>
      <vt:lpstr>q19보PFAM5B03</vt:lpstr>
      <vt:lpstr>q19보PFAM5B04</vt:lpstr>
      <vt:lpstr>q19보PFAM5C01</vt:lpstr>
      <vt:lpstr>q19보PFAM5C02</vt:lpstr>
      <vt:lpstr>q19보PFAM5C03</vt:lpstr>
      <vt:lpstr>q19보PFAM5C04</vt:lpstr>
      <vt:lpstr>q19보PFAM5D01</vt:lpstr>
      <vt:lpstr>q19보PFAM5D02</vt:lpstr>
      <vt:lpstr>q19보PFAM5D03</vt:lpstr>
      <vt:lpstr>q19보PFAM5D04</vt:lpstr>
      <vt:lpstr>q19보PFAM5E01</vt:lpstr>
      <vt:lpstr>q19보PFAM5E02</vt:lpstr>
      <vt:lpstr>q19보PFAM5E03</vt:lpstr>
      <vt:lpstr>q19보PFAM5E04</vt:lpstr>
      <vt:lpstr>q19보PFAM6A00</vt:lpstr>
      <vt:lpstr>q19보PFAM6B00</vt:lpstr>
      <vt:lpstr>q19보PFRELATION1___PFBRTB1</vt:lpstr>
      <vt:lpstr>q19보PFRELATION2___PFBRTB2</vt:lpstr>
      <vt:lpstr>q19보PFRELATION3___PFBRTB3</vt:lpstr>
      <vt:lpstr>q19보PFRELATION4___PFBRTB4</vt:lpstr>
      <vt:lpstr>q19보PFRELATION5___PFBRTB5</vt:lpstr>
      <vt:lpstr>q19보PFRELATION6___PFBRTB6</vt:lpstr>
      <vt:lpstr>q19보PFRELATION7___PFBRTB7</vt:lpstr>
      <vt:lpstr>q19보PFRELATION8___PFBRTB8</vt:lpstr>
      <vt:lpstr>q19보PHOMPOP</vt:lpstr>
      <vt:lpstr>q19보PINCOME</vt:lpstr>
      <vt:lpstr>q19보PINCOME1</vt:lpstr>
      <vt:lpstr>q19보PJOB1</vt:lpstr>
      <vt:lpstr>q19보PJOB1_T</vt:lpstr>
      <vt:lpstr>q19보PJOB2</vt:lpstr>
      <vt:lpstr>q19보PJOB2_T</vt:lpstr>
      <vt:lpstr>q19보PJOB3</vt:lpstr>
      <vt:lpstr>q19보PJOB3_T</vt:lpstr>
      <vt:lpstr>q19보PMDA1A00</vt:lpstr>
      <vt:lpstr>q19보PMDA1B01</vt:lpstr>
      <vt:lpstr>q19보PMDA1B02</vt:lpstr>
      <vt:lpstr>q19보PMDA1B03</vt:lpstr>
      <vt:lpstr>q19보PMDA1B04</vt:lpstr>
      <vt:lpstr>q19보PMDA1B05</vt:lpstr>
      <vt:lpstr>q19보PMDA1B06</vt:lpstr>
      <vt:lpstr>q19보PMDA1B07</vt:lpstr>
      <vt:lpstr>q19보PMDA1B08</vt:lpstr>
      <vt:lpstr>q19보PMDA1B09</vt:lpstr>
      <vt:lpstr>q19보PMDA1B10</vt:lpstr>
      <vt:lpstr>q19보PMDA1B11</vt:lpstr>
      <vt:lpstr>q19보PMDA1B12</vt:lpstr>
      <vt:lpstr>q19보PMDA1B13</vt:lpstr>
      <vt:lpstr>q19보PMDA1B13_T</vt:lpstr>
      <vt:lpstr>q19보PMDA1C01</vt:lpstr>
      <vt:lpstr>q19보PMDA1C02</vt:lpstr>
      <vt:lpstr>q19보PMDA1C03</vt:lpstr>
      <vt:lpstr>q19보PMDA1C04</vt:lpstr>
      <vt:lpstr>q19보PMDA1C05</vt:lpstr>
      <vt:lpstr>q19보PMDA1C06</vt:lpstr>
      <vt:lpstr>q19보PMDA1C07</vt:lpstr>
      <vt:lpstr>q19보PMDA1C08</vt:lpstr>
      <vt:lpstr>q19보PMDA1C09</vt:lpstr>
      <vt:lpstr>q19보PMDA1C10</vt:lpstr>
      <vt:lpstr>q19보PMDA1C11</vt:lpstr>
      <vt:lpstr>q19보PMDA1C12</vt:lpstr>
      <vt:lpstr>q19보PMDA1C13</vt:lpstr>
      <vt:lpstr>q19보PMDA1C14</vt:lpstr>
      <vt:lpstr>q19보PMDA1C15</vt:lpstr>
      <vt:lpstr>q19보PPHY1A00</vt:lpstr>
      <vt:lpstr>q19보PPHY1B00</vt:lpstr>
      <vt:lpstr>q19보PPHY1C00</vt:lpstr>
      <vt:lpstr>q19보PPHY2A00</vt:lpstr>
      <vt:lpstr>q19보PPHY2B00</vt:lpstr>
      <vt:lpstr>q19보PPSY1A01</vt:lpstr>
      <vt:lpstr>q19보PPSY1A02</vt:lpstr>
      <vt:lpstr>q19보PPSY1A03</vt:lpstr>
      <vt:lpstr>q19보PPSY1A04</vt:lpstr>
      <vt:lpstr>q19보PPSY1A05</vt:lpstr>
      <vt:lpstr>q19보PPSY2A01</vt:lpstr>
      <vt:lpstr>q19보PPSY2A02</vt:lpstr>
      <vt:lpstr>q19보PPSY2A03</vt:lpstr>
      <vt:lpstr>q19보PPSY2A04</vt:lpstr>
      <vt:lpstr>q19보PPSY3A01</vt:lpstr>
      <vt:lpstr>q19보PPSY3A02</vt:lpstr>
      <vt:lpstr>q19보PPSY3A03</vt:lpstr>
      <vt:lpstr>q19보PPSY3A04</vt:lpstr>
      <vt:lpstr>q19보PPSY3A05</vt:lpstr>
      <vt:lpstr>q19보PPSY3A06</vt:lpstr>
      <vt:lpstr>q19보PPSY3A07</vt:lpstr>
      <vt:lpstr>q19보PPSY3A08</vt:lpstr>
      <vt:lpstr>q19보PPSY3A09</vt:lpstr>
      <vt:lpstr>q19보PPSY3A10</vt:lpstr>
      <vt:lpstr>q19보PPSY4A01</vt:lpstr>
      <vt:lpstr>q19보PPSY4A02</vt:lpstr>
      <vt:lpstr>q19보PPSY4A03</vt:lpstr>
      <vt:lpstr>q19보PPSY4A04</vt:lpstr>
      <vt:lpstr>q19보PPSY4A05</vt:lpstr>
      <vt:lpstr>q19보PPSY4A06</vt:lpstr>
      <vt:lpstr>q19보PPSY4A07</vt:lpstr>
      <vt:lpstr>q19보PPSY4A08</vt:lpstr>
      <vt:lpstr>q19보PPSY4A09</vt:lpstr>
      <vt:lpstr>q19보PPSY4A10</vt:lpstr>
      <vt:lpstr>q19보PPSY4A11</vt:lpstr>
      <vt:lpstr>q19보PPSY4A12</vt:lpstr>
      <vt:lpstr>q19보PPSY4A13</vt:lpstr>
      <vt:lpstr>q19보PPSY4A14</vt:lpstr>
      <vt:lpstr>q19보PPSY4A15</vt:lpstr>
      <vt:lpstr>q19보PPSY4A16</vt:lpstr>
      <vt:lpstr>q19보PPSY4A17</vt:lpstr>
      <vt:lpstr>q19보PPSY4A18</vt:lpstr>
      <vt:lpstr>q19보PPSY4A19</vt:lpstr>
      <vt:lpstr>q19보PPSY4A20</vt:lpstr>
      <vt:lpstr>q19보PPSY4A21</vt:lpstr>
      <vt:lpstr>q19보PPSY4A22</vt:lpstr>
      <vt:lpstr>q19보PPSY4A23</vt:lpstr>
      <vt:lpstr>q19보PPSY4A24</vt:lpstr>
      <vt:lpstr>q19보PPSY4A25</vt:lpstr>
      <vt:lpstr>q19보PPSY4A26</vt:lpstr>
      <vt:lpstr>q19보PPSY4A27</vt:lpstr>
      <vt:lpstr>q19보PPSY4A28</vt:lpstr>
      <vt:lpstr>q19보PPSY4A29</vt:lpstr>
      <vt:lpstr>q19보PPSY4A30</vt:lpstr>
      <vt:lpstr>q19보PPSY5A01</vt:lpstr>
      <vt:lpstr>q19보PPSY5A02</vt:lpstr>
      <vt:lpstr>q19보PPSY5A03</vt:lpstr>
      <vt:lpstr>q19보PPSY5A04</vt:lpstr>
      <vt:lpstr>q19보PPSY5A05</vt:lpstr>
      <vt:lpstr>q19보PPSY5A06</vt:lpstr>
      <vt:lpstr>q19보PPSY5A07</vt:lpstr>
      <vt:lpstr>q19보PPSY5A08</vt:lpstr>
      <vt:lpstr>q19보PSCHOOL1</vt:lpstr>
      <vt:lpstr>q19보PSCHOOL2</vt:lpstr>
      <vt:lpstr>q19보PSCHOOL3</vt:lpstr>
      <vt:lpstr>q19보PWORKW1</vt:lpstr>
      <vt:lpstr>q19보PWORKW2</vt:lpstr>
      <vt:lpstr>q19보PWORKW3</vt:lpstr>
      <vt:lpstr>q19보PYBRP1</vt:lpstr>
      <vt:lpstr>q19보PYBRP2</vt:lpstr>
      <vt:lpstr>q19보PYBRP3</vt:lpstr>
      <vt:lpstr>q19보PYBRT1A</vt:lpstr>
      <vt:lpstr>q19보PYBRT1B</vt:lpstr>
      <vt:lpstr>q19보PYGENDER</vt:lpstr>
      <vt:lpstr>q19중YACT1A01</vt:lpstr>
      <vt:lpstr>q19중YACT1A02</vt:lpstr>
      <vt:lpstr>q19중YACT1A03</vt:lpstr>
      <vt:lpstr>q19중YACT1A04</vt:lpstr>
      <vt:lpstr>q19중YACT1A05</vt:lpstr>
      <vt:lpstr>q19중YACT1A06</vt:lpstr>
      <vt:lpstr>q19중YACT1A07</vt:lpstr>
      <vt:lpstr>q19중YACT1A08</vt:lpstr>
      <vt:lpstr>q19중YACT1A09</vt:lpstr>
      <vt:lpstr>q19중YACT1B01</vt:lpstr>
      <vt:lpstr>q19중YACT1B02</vt:lpstr>
      <vt:lpstr>q19중YACT1B03</vt:lpstr>
      <vt:lpstr>q19중YACT1B04</vt:lpstr>
      <vt:lpstr>q19중YACT1B05</vt:lpstr>
      <vt:lpstr>q19중YACT1B06</vt:lpstr>
      <vt:lpstr>q19중YACT1B07</vt:lpstr>
      <vt:lpstr>q19중YACT1B08</vt:lpstr>
      <vt:lpstr>q19중YACT1B09</vt:lpstr>
      <vt:lpstr>q19중YACT2A01</vt:lpstr>
      <vt:lpstr>q19중YACT2A02</vt:lpstr>
      <vt:lpstr>q19중YACT2B01</vt:lpstr>
      <vt:lpstr>q19중YACT2B02</vt:lpstr>
      <vt:lpstr>q19중YACT3A00</vt:lpstr>
      <vt:lpstr>q19중YACT3B01</vt:lpstr>
      <vt:lpstr>q19중YACT3B02</vt:lpstr>
      <vt:lpstr>q19중YACT3B03</vt:lpstr>
      <vt:lpstr>q19중YACT3B04</vt:lpstr>
      <vt:lpstr>q19중YACT3B05</vt:lpstr>
      <vt:lpstr>q19중YACT3B06</vt:lpstr>
      <vt:lpstr>q19중YACT3B07</vt:lpstr>
      <vt:lpstr>q19중YACT3B08</vt:lpstr>
      <vt:lpstr>q19중YACT3B09</vt:lpstr>
      <vt:lpstr>q19중YBRT1A</vt:lpstr>
      <vt:lpstr>q19중YBRT1B</vt:lpstr>
      <vt:lpstr>q19중YDLQ1A01</vt:lpstr>
      <vt:lpstr>q19중YDLQ1A02</vt:lpstr>
      <vt:lpstr>q19중YDLQ1A03</vt:lpstr>
      <vt:lpstr>q19중YDLQ1A04</vt:lpstr>
      <vt:lpstr>q19중YDLQ1A05</vt:lpstr>
      <vt:lpstr>q19중YDLQ1A06</vt:lpstr>
      <vt:lpstr>q19중YDLQ1A07</vt:lpstr>
      <vt:lpstr>q19중YDLQ1A08</vt:lpstr>
      <vt:lpstr>q19중YDLQ1A09</vt:lpstr>
      <vt:lpstr>q19중YDLQ1A10</vt:lpstr>
      <vt:lpstr>q19중YDLQ1A11</vt:lpstr>
      <vt:lpstr>q19중YDLQ1A12</vt:lpstr>
      <vt:lpstr>q19중YDLQ1A13</vt:lpstr>
      <vt:lpstr>q19중YDLQ1A14</vt:lpstr>
      <vt:lpstr>q19중YDLQ1A15</vt:lpstr>
      <vt:lpstr>q19중YDLQ2A01</vt:lpstr>
      <vt:lpstr>q19중YDLQ2A02</vt:lpstr>
      <vt:lpstr>q19중YDLQ2A03</vt:lpstr>
      <vt:lpstr>q19중YDLQ2A04</vt:lpstr>
      <vt:lpstr>q19중YDLQ2A05</vt:lpstr>
      <vt:lpstr>q19중YDLQ2A06</vt:lpstr>
      <vt:lpstr>q19중YDLQ2A07</vt:lpstr>
      <vt:lpstr>q19중YDLQ2A08</vt:lpstr>
      <vt:lpstr>q19중YDLQ2A09</vt:lpstr>
      <vt:lpstr>q19중YDLQ2A10</vt:lpstr>
      <vt:lpstr>q19중YDLQ2A11</vt:lpstr>
      <vt:lpstr>q19중YDLQ2A12</vt:lpstr>
      <vt:lpstr>q19중YDLQ2A13</vt:lpstr>
      <vt:lpstr>q19중YDLQ2A14</vt:lpstr>
      <vt:lpstr>q19중YDLQ2A15</vt:lpstr>
      <vt:lpstr>q19중YEDU1A00</vt:lpstr>
      <vt:lpstr>q19중YEDU2A01</vt:lpstr>
      <vt:lpstr>q19중YEDU2A02</vt:lpstr>
      <vt:lpstr>q19중YEDU2A03</vt:lpstr>
      <vt:lpstr>q19중YEDU2A04</vt:lpstr>
      <vt:lpstr>q19중YEDU2A05</vt:lpstr>
      <vt:lpstr>q19중YEDU2A06</vt:lpstr>
      <vt:lpstr>q19중YEDU2A07</vt:lpstr>
      <vt:lpstr>q19중YEDU2A08</vt:lpstr>
      <vt:lpstr>q19중YEDU2A09</vt:lpstr>
      <vt:lpstr>q19중YEDU2A10</vt:lpstr>
      <vt:lpstr>q19중YEDU2A11</vt:lpstr>
      <vt:lpstr>q19중YEDU2A12</vt:lpstr>
      <vt:lpstr>q19중YEDU2A13</vt:lpstr>
      <vt:lpstr>q19중YEDU3A01</vt:lpstr>
      <vt:lpstr>q19중YEDU3A02</vt:lpstr>
      <vt:lpstr>q19중YEDU3A03</vt:lpstr>
      <vt:lpstr>q19중YEDU3A04</vt:lpstr>
      <vt:lpstr>q19중YEDU3A05</vt:lpstr>
      <vt:lpstr>q19중YEDU3A06</vt:lpstr>
      <vt:lpstr>q19중YEDU3A07</vt:lpstr>
      <vt:lpstr>q19중YEDU3A08</vt:lpstr>
      <vt:lpstr>q19중YEDU3A09</vt:lpstr>
      <vt:lpstr>q19중YEDU3A10</vt:lpstr>
      <vt:lpstr>q19중YEDU3A11</vt:lpstr>
      <vt:lpstr>q19중YEDU3A12</vt:lpstr>
      <vt:lpstr>q19중YEDU3A13</vt:lpstr>
      <vt:lpstr>q19중YEDU3A14</vt:lpstr>
      <vt:lpstr>q19중YFAM1A01</vt:lpstr>
      <vt:lpstr>q19중YFAM1A02</vt:lpstr>
      <vt:lpstr>q19중YFAM1A03</vt:lpstr>
      <vt:lpstr>q19중YFAM1A04</vt:lpstr>
      <vt:lpstr>q19중YFAM1B01</vt:lpstr>
      <vt:lpstr>q19중YFAM1B02</vt:lpstr>
      <vt:lpstr>q19중YFAM1B03</vt:lpstr>
      <vt:lpstr>q19중YFAM1B04</vt:lpstr>
      <vt:lpstr>q19중YFAM1C01</vt:lpstr>
      <vt:lpstr>q19중YFAM1C02</vt:lpstr>
      <vt:lpstr>q19중YFAM1C03</vt:lpstr>
      <vt:lpstr>q19중YFAM1C04</vt:lpstr>
      <vt:lpstr>q19중YFAM1D01</vt:lpstr>
      <vt:lpstr>q19중YFAM1D02</vt:lpstr>
      <vt:lpstr>q19중YFAM1D03</vt:lpstr>
      <vt:lpstr>q19중YFAM1D04</vt:lpstr>
      <vt:lpstr>q19중YFAM1E01</vt:lpstr>
      <vt:lpstr>q19중YFAM1E02</vt:lpstr>
      <vt:lpstr>q19중YFAM1E03</vt:lpstr>
      <vt:lpstr>q19중YFAM1E04</vt:lpstr>
      <vt:lpstr>q19중YFAM1F01</vt:lpstr>
      <vt:lpstr>q19중YFAM1F02</vt:lpstr>
      <vt:lpstr>q19중YFAM1F03</vt:lpstr>
      <vt:lpstr>q19중YFAM1F04</vt:lpstr>
      <vt:lpstr>q19중YFAM2A01</vt:lpstr>
      <vt:lpstr>q19중YFAM2A02</vt:lpstr>
      <vt:lpstr>q19중YFAM2A03</vt:lpstr>
      <vt:lpstr>q19중YFAM2A04</vt:lpstr>
      <vt:lpstr>q19중YFAM2B01</vt:lpstr>
      <vt:lpstr>q19중YFAM2B02</vt:lpstr>
      <vt:lpstr>q19중YFAM2B03</vt:lpstr>
      <vt:lpstr>q19중YFAM2B04</vt:lpstr>
      <vt:lpstr>q19중YFAM2C01</vt:lpstr>
      <vt:lpstr>q19중YFAM2C02</vt:lpstr>
      <vt:lpstr>q19중YFAM2C03</vt:lpstr>
      <vt:lpstr>q19중YFAM2C04</vt:lpstr>
      <vt:lpstr>q19중YFAM2D01</vt:lpstr>
      <vt:lpstr>q19중YFAM2D02</vt:lpstr>
      <vt:lpstr>q19중YFAM2D03</vt:lpstr>
      <vt:lpstr>q19중YFAM2D04</vt:lpstr>
      <vt:lpstr>q19중YFAM2E01</vt:lpstr>
      <vt:lpstr>q19중YFAM2E02</vt:lpstr>
      <vt:lpstr>q19중YFAM2E03</vt:lpstr>
      <vt:lpstr>q19중YFAM2E04</vt:lpstr>
      <vt:lpstr>q19중YFAM2F01</vt:lpstr>
      <vt:lpstr>q19중YFAM2F02</vt:lpstr>
      <vt:lpstr>q19중YFAM2F03</vt:lpstr>
      <vt:lpstr>q19중YFAM2F04</vt:lpstr>
      <vt:lpstr>q19중YFAM3A00</vt:lpstr>
      <vt:lpstr>q19중YFAM3B00</vt:lpstr>
      <vt:lpstr>q19중YFUR1A00</vt:lpstr>
      <vt:lpstr>q19중YFUR1B00</vt:lpstr>
      <vt:lpstr>q19중YFUR2A01</vt:lpstr>
      <vt:lpstr>q19중YFUR2A02</vt:lpstr>
      <vt:lpstr>q19중YFUR2A03</vt:lpstr>
      <vt:lpstr>q19중YFUR2A04</vt:lpstr>
      <vt:lpstr>q19중YFUR2A05</vt:lpstr>
      <vt:lpstr>q19중YFUR2A06</vt:lpstr>
      <vt:lpstr>q19중YFUR2A07</vt:lpstr>
      <vt:lpstr>q19중YFUR2A08</vt:lpstr>
      <vt:lpstr>q19중YFUR2A08_T</vt:lpstr>
      <vt:lpstr>q19중YGENDER</vt:lpstr>
      <vt:lpstr>q19중YINT1A00</vt:lpstr>
      <vt:lpstr>q19중YINT1B00</vt:lpstr>
      <vt:lpstr>q19중YINT2A01</vt:lpstr>
      <vt:lpstr>q19중YINT2A02</vt:lpstr>
      <vt:lpstr>q19중YINT2A03</vt:lpstr>
      <vt:lpstr>q19중YINT2A04</vt:lpstr>
      <vt:lpstr>q19중YINT2A05</vt:lpstr>
      <vt:lpstr>q19중YINT2A06</vt:lpstr>
      <vt:lpstr>q19중YINT2A07</vt:lpstr>
      <vt:lpstr>q19중YINT2A08</vt:lpstr>
      <vt:lpstr>q19중YINT2A09</vt:lpstr>
      <vt:lpstr>q19중YINT2A10</vt:lpstr>
      <vt:lpstr>q19중YINT2A11</vt:lpstr>
      <vt:lpstr>q19중YINT2A12</vt:lpstr>
      <vt:lpstr>q19중YINT2A13</vt:lpstr>
      <vt:lpstr>q19중YINT2A14</vt:lpstr>
      <vt:lpstr>q19중YINT2A15</vt:lpstr>
      <vt:lpstr>q19중YINT2A16</vt:lpstr>
      <vt:lpstr>q19중YINT2B01</vt:lpstr>
      <vt:lpstr>q19중YINT2B02</vt:lpstr>
      <vt:lpstr>q19중YINT2B03</vt:lpstr>
      <vt:lpstr>q19중YINT2B04</vt:lpstr>
      <vt:lpstr>q19중YINT2B05</vt:lpstr>
      <vt:lpstr>q19중YINT2B06</vt:lpstr>
      <vt:lpstr>q19중YINT2B07</vt:lpstr>
      <vt:lpstr>q19중YINT2B08</vt:lpstr>
      <vt:lpstr>q19중YINT2B09</vt:lpstr>
      <vt:lpstr>q19중YINT2B10</vt:lpstr>
      <vt:lpstr>q19중YINT2B11</vt:lpstr>
      <vt:lpstr>q19중YINT2B12</vt:lpstr>
      <vt:lpstr>q19중YINT2B13</vt:lpstr>
      <vt:lpstr>q19중YINT2B14</vt:lpstr>
      <vt:lpstr>q19중YINT2B15</vt:lpstr>
      <vt:lpstr>q19중YINT2B16</vt:lpstr>
      <vt:lpstr>q19중YMDA1A00</vt:lpstr>
      <vt:lpstr>q19중YMDA1B01</vt:lpstr>
      <vt:lpstr>q19중YMDA1B02</vt:lpstr>
      <vt:lpstr>q19중YMDA1B03</vt:lpstr>
      <vt:lpstr>q19중YMDA1B04</vt:lpstr>
      <vt:lpstr>q19중YMDA1B05</vt:lpstr>
      <vt:lpstr>q19중YMDA1B06</vt:lpstr>
      <vt:lpstr>q19중YMDA1B07</vt:lpstr>
      <vt:lpstr>q19중YMDA1B08</vt:lpstr>
      <vt:lpstr>q19중YMDA1B09</vt:lpstr>
      <vt:lpstr>q19중YMDA1B10</vt:lpstr>
      <vt:lpstr>q19중YMDA1B11</vt:lpstr>
      <vt:lpstr>q19중YMDA1B12</vt:lpstr>
      <vt:lpstr>q19중YMDA1B13</vt:lpstr>
      <vt:lpstr>q19중YMDA1B13_T</vt:lpstr>
      <vt:lpstr>q19중YMDA1C01</vt:lpstr>
      <vt:lpstr>q19중YMDA1C02</vt:lpstr>
      <vt:lpstr>q19중YMDA1C03</vt:lpstr>
      <vt:lpstr>q19중YMDA1C04</vt:lpstr>
      <vt:lpstr>q19중YMDA1C05</vt:lpstr>
      <vt:lpstr>q19중YMDA1C06</vt:lpstr>
      <vt:lpstr>q19중YMDA1C07</vt:lpstr>
      <vt:lpstr>q19중YMDA1C08</vt:lpstr>
      <vt:lpstr>q19중YMDA1C09</vt:lpstr>
      <vt:lpstr>q19중YMDA1C10</vt:lpstr>
      <vt:lpstr>q19중YMDA1C11</vt:lpstr>
      <vt:lpstr>q19중YMDA1C12</vt:lpstr>
      <vt:lpstr>q19중YMDA1C13</vt:lpstr>
      <vt:lpstr>q19중YMDA1C14</vt:lpstr>
      <vt:lpstr>q19중YMDA1C15</vt:lpstr>
      <vt:lpstr>q19중YPHY1A00</vt:lpstr>
      <vt:lpstr>q19중YPHY1B00</vt:lpstr>
      <vt:lpstr>q19중YPHY1C00</vt:lpstr>
      <vt:lpstr>q19중YPHY2A00</vt:lpstr>
      <vt:lpstr>q19중YPHY2B00</vt:lpstr>
      <vt:lpstr>q19중YPHY2C00</vt:lpstr>
      <vt:lpstr>q19중YPSY1A01</vt:lpstr>
      <vt:lpstr>q19중YPSY1A02</vt:lpstr>
      <vt:lpstr>q19중YPSY1A03</vt:lpstr>
      <vt:lpstr>q19중YPSY1A04</vt:lpstr>
      <vt:lpstr>q19중YPSY1A05</vt:lpstr>
      <vt:lpstr>q19중YPSY2A01</vt:lpstr>
      <vt:lpstr>q19중YPSY2A02</vt:lpstr>
      <vt:lpstr>q19중YPSY2A03</vt:lpstr>
      <vt:lpstr>q19중YPSY2A04</vt:lpstr>
      <vt:lpstr>q19중YPSY3A01</vt:lpstr>
      <vt:lpstr>q19중YPSY3A02</vt:lpstr>
      <vt:lpstr>q19중YPSY3A03</vt:lpstr>
      <vt:lpstr>q19중YPSY3A04</vt:lpstr>
      <vt:lpstr>q19중YPSY3A05</vt:lpstr>
      <vt:lpstr>q19중YPSY3A06</vt:lpstr>
      <vt:lpstr>q19중YPSY3A07</vt:lpstr>
      <vt:lpstr>q19중YPSY3A08</vt:lpstr>
      <vt:lpstr>q19중YPSY3A09</vt:lpstr>
      <vt:lpstr>q19중YPSY3A10</vt:lpstr>
      <vt:lpstr>q19중YPSY4A01</vt:lpstr>
      <vt:lpstr>q19중YPSY4A02</vt:lpstr>
      <vt:lpstr>q19중YPSY4A03</vt:lpstr>
      <vt:lpstr>q19중YPSY4A04</vt:lpstr>
      <vt:lpstr>q19중YPSY4A05</vt:lpstr>
      <vt:lpstr>q19중YPSY4A06</vt:lpstr>
      <vt:lpstr>q19중YPSY4A07</vt:lpstr>
      <vt:lpstr>q19중YPSY4B01</vt:lpstr>
      <vt:lpstr>q19중YPSY4B02</vt:lpstr>
      <vt:lpstr>q19중YPSY4B03</vt:lpstr>
      <vt:lpstr>q19중YPSY4B04</vt:lpstr>
      <vt:lpstr>q19중YPSY4B05</vt:lpstr>
      <vt:lpstr>q19중YPSY4B06</vt:lpstr>
      <vt:lpstr>q19중YPSY4C01</vt:lpstr>
      <vt:lpstr>q19중YPSY4C02</vt:lpstr>
      <vt:lpstr>q19중YPSY4C03</vt:lpstr>
      <vt:lpstr>q19중YPSY4C04</vt:lpstr>
      <vt:lpstr>q19중YPSY4C05</vt:lpstr>
      <vt:lpstr>q19중YPSY4C06</vt:lpstr>
      <vt:lpstr>q19중YPSY4C07</vt:lpstr>
      <vt:lpstr>q19중YPSY4C08</vt:lpstr>
      <vt:lpstr>q19중YPSY4D01</vt:lpstr>
      <vt:lpstr>q19중YPSY4D02</vt:lpstr>
      <vt:lpstr>q19중YPSY4D03</vt:lpstr>
      <vt:lpstr>q19중YPSY4D04</vt:lpstr>
      <vt:lpstr>q19중YPSY4D05</vt:lpstr>
      <vt:lpstr>q19중YPSY4E01</vt:lpstr>
      <vt:lpstr>q19중YPSY4E02</vt:lpstr>
      <vt:lpstr>q19중YPSY4E03</vt:lpstr>
      <vt:lpstr>q19중YPSY4E04</vt:lpstr>
      <vt:lpstr>q19중YPSY4E05</vt:lpstr>
      <vt:lpstr>q19중YPSY4E06</vt:lpstr>
      <vt:lpstr>q19중YPSY4E07</vt:lpstr>
      <vt:lpstr>q19중YPSY4E08</vt:lpstr>
      <vt:lpstr>q19중YPSY4E09</vt:lpstr>
      <vt:lpstr>q19중YPSY4E10</vt:lpstr>
      <vt:lpstr>q19중YPSY5A01</vt:lpstr>
      <vt:lpstr>q19중YPSY5A02</vt:lpstr>
      <vt:lpstr>q19중YPSY5A03</vt:lpstr>
      <vt:lpstr>q19중YPSY5A04</vt:lpstr>
      <vt:lpstr>q19중YPSY5A05</vt:lpstr>
      <vt:lpstr>q19중YPSY5A06</vt:lpstr>
      <vt:lpstr>q19중YPSY5A07</vt:lpstr>
      <vt:lpstr>q19중YPSY5A08</vt:lpstr>
      <vt:lpstr>q19중YPSY5A09</vt:lpstr>
      <vt:lpstr>q19중YPSY5A10</vt:lpstr>
      <vt:lpstr>q19중YPSY5A11</vt:lpstr>
      <vt:lpstr>q19중YPSY5A12</vt:lpstr>
      <vt:lpstr>q19중YPSY5A13</vt:lpstr>
      <vt:lpstr>q19중YPSY5A14</vt:lpstr>
      <vt:lpstr>q19중YPSY6A01</vt:lpstr>
      <vt:lpstr>q19중YPSY6A02</vt:lpstr>
      <vt:lpstr>q19중YPSY6A03</vt:lpstr>
      <vt:lpstr>q19중YPSY6A04</vt:lpstr>
      <vt:lpstr>q19중YPSY6A05</vt:lpstr>
      <vt:lpstr>q19중YPSY6A06</vt:lpstr>
      <vt:lpstr>q19중YPSY6A07</vt:lpstr>
      <vt:lpstr>q19중YPSY6A08</vt:lpstr>
      <vt:lpstr>q19중YPSY6A09</vt:lpstr>
      <vt:lpstr>q19중YPSY6A10</vt:lpstr>
      <vt:lpstr>q19중YPSY6A11</vt:lpstr>
      <vt:lpstr>q19중YPSY6A12</vt:lpstr>
      <vt:lpstr>q19중YPSY6A13</vt:lpstr>
      <vt:lpstr>q19중YPSY6A14</vt:lpstr>
      <vt:lpstr>q19중YPSY6A15</vt:lpstr>
      <vt:lpstr>q19중YPSY6A16</vt:lpstr>
      <vt:lpstr>q19중YPSY6A17</vt:lpstr>
      <vt:lpstr>q19중YPSY6A18</vt:lpstr>
      <vt:lpstr>q19중YPSY6A19</vt:lpstr>
      <vt:lpstr>q19중YPSY6A20</vt:lpstr>
      <vt:lpstr>q19중YPSY6A21</vt:lpstr>
      <vt:lpstr>q19중YPSY6A22</vt:lpstr>
      <vt:lpstr>q19중YPSY6A23</vt:lpstr>
      <vt:lpstr>q19중YPSY6A24</vt:lpstr>
      <vt:lpstr>q19중YPSY6A25</vt:lpstr>
      <vt:lpstr>q19중YPSY6A26</vt:lpstr>
      <vt:lpstr>q19중YPSY6A27</vt:lpstr>
      <vt:lpstr>q19중YPSY6A28</vt:lpstr>
      <vt:lpstr>q19중YPSY6A29</vt:lpstr>
      <vt:lpstr>q19중YPSY6A30</vt:lpstr>
      <vt:lpstr>q19중YPSY7A01</vt:lpstr>
      <vt:lpstr>q19중YPSY7A02</vt:lpstr>
      <vt:lpstr>q19중YPSY7A03</vt:lpstr>
      <vt:lpstr>q19중YPSY7A04</vt:lpstr>
      <vt:lpstr>q19중YPSY7A05</vt:lpstr>
      <vt:lpstr>q19중YPSY7A06</vt:lpstr>
      <vt:lpstr>q19중YPSY7A07</vt:lpstr>
      <vt:lpstr>q19중YPSY7A08</vt:lpstr>
      <vt:lpstr>q19중YTIM1A01</vt:lpstr>
      <vt:lpstr>q19중YTIM1A02</vt:lpstr>
      <vt:lpstr>q19중YTIM1A03</vt:lpstr>
      <vt:lpstr>q19중YTIM1A04</vt:lpstr>
      <vt:lpstr>q19중YTIM1B01</vt:lpstr>
      <vt:lpstr>q19중YTIM1B02</vt:lpstr>
      <vt:lpstr>q19중YTIM1B03</vt:lpstr>
      <vt:lpstr>q19중YTIM1B04</vt:lpstr>
      <vt:lpstr>q19중YTIM1C01</vt:lpstr>
      <vt:lpstr>q19중YTIM1C02</vt:lpstr>
      <vt:lpstr>q19중YTIM1D01</vt:lpstr>
      <vt:lpstr>q19중YTIM1D02</vt:lpstr>
      <vt:lpstr>q19중YTIM1E01</vt:lpstr>
      <vt:lpstr>q19중YTIM1E02</vt:lpstr>
      <vt:lpstr>q19중YTIM1F01</vt:lpstr>
      <vt:lpstr>q19중YTIM1F02</vt:lpstr>
      <vt:lpstr>q19중YTIM1G01</vt:lpstr>
      <vt:lpstr>q19중YTIM1G02</vt:lpstr>
      <vt:lpstr>q19중YTIM1H01</vt:lpstr>
      <vt:lpstr>q19중YTIM1H02</vt:lpstr>
      <vt:lpstr>q19중YTIM1I01</vt:lpstr>
      <vt:lpstr>q19중YTIM1I02</vt:lpstr>
      <vt:lpstr>q19중YTIM1J01</vt:lpstr>
      <vt:lpstr>q19중YTIM1J02</vt:lpstr>
      <vt:lpstr>q19중YTIM1K01</vt:lpstr>
      <vt:lpstr>q19중YTIM1K02</vt:lpstr>
      <vt:lpstr>q19중YTIM1L01</vt:lpstr>
      <vt:lpstr>q19중YTIM1L02</vt:lpstr>
      <vt:lpstr>q19중YTIM1M01</vt:lpstr>
      <vt:lpstr>q19중YTIM1M02</vt:lpstr>
      <vt:lpstr>q19중YTIM1N01</vt:lpstr>
      <vt:lpstr>q19중YTIM1N02</vt:lpstr>
      <vt:lpstr>q19초YBRT1A</vt:lpstr>
      <vt:lpstr>q19초YBRT1B</vt:lpstr>
      <vt:lpstr>q19초YEDU1A00</vt:lpstr>
      <vt:lpstr>q19초YEDU2A01</vt:lpstr>
      <vt:lpstr>q19초YEDU2A02</vt:lpstr>
      <vt:lpstr>q19초YEDU2A03</vt:lpstr>
      <vt:lpstr>q19초YEDU2A04</vt:lpstr>
      <vt:lpstr>q19초YEDU2A05</vt:lpstr>
      <vt:lpstr>q19초YEDU2A06</vt:lpstr>
      <vt:lpstr>q19초YEDU2A07</vt:lpstr>
      <vt:lpstr>q19초YEDU2A08</vt:lpstr>
      <vt:lpstr>q19초YEDU2A09</vt:lpstr>
      <vt:lpstr>q19초YEDU2A10</vt:lpstr>
      <vt:lpstr>q19초YEDU2A11</vt:lpstr>
      <vt:lpstr>q19초YEDU2A12</vt:lpstr>
      <vt:lpstr>q19초YEDU2A13</vt:lpstr>
      <vt:lpstr>q19초YEDU3A01</vt:lpstr>
      <vt:lpstr>q19초YEDU3A02</vt:lpstr>
      <vt:lpstr>q19초YEDU3A03</vt:lpstr>
      <vt:lpstr>q19초YEDU3A04</vt:lpstr>
      <vt:lpstr>q19초YEDU3A05</vt:lpstr>
      <vt:lpstr>q19초YEDU3A06</vt:lpstr>
      <vt:lpstr>q19초YEDU3A07</vt:lpstr>
      <vt:lpstr>q19초YEDU3A08</vt:lpstr>
      <vt:lpstr>q19초YEDU3A09</vt:lpstr>
      <vt:lpstr>q19초YEDU3A10</vt:lpstr>
      <vt:lpstr>q19초YEDU3A11</vt:lpstr>
      <vt:lpstr>q19초YEDU3A12</vt:lpstr>
      <vt:lpstr>q19초YEDU3A13</vt:lpstr>
      <vt:lpstr>q19초YEDU3A14</vt:lpstr>
      <vt:lpstr>q19초YFAM1A01</vt:lpstr>
      <vt:lpstr>q19초YFAM1A02</vt:lpstr>
      <vt:lpstr>q19초YFAM1A03</vt:lpstr>
      <vt:lpstr>q19초YFAM1A04</vt:lpstr>
      <vt:lpstr>q19초YFAM1B01</vt:lpstr>
      <vt:lpstr>q19초YFAM1B02</vt:lpstr>
      <vt:lpstr>q19초YFAM1B03</vt:lpstr>
      <vt:lpstr>q19초YFAM1B04</vt:lpstr>
      <vt:lpstr>q19초YFAM1C01</vt:lpstr>
      <vt:lpstr>q19초YFAM1C02</vt:lpstr>
      <vt:lpstr>q19초YFAM1C03</vt:lpstr>
      <vt:lpstr>q19초YFAM1C04</vt:lpstr>
      <vt:lpstr>q19초YFAM1D01</vt:lpstr>
      <vt:lpstr>q19초YFAM1D02</vt:lpstr>
      <vt:lpstr>q19초YFAM1D03</vt:lpstr>
      <vt:lpstr>q19초YFAM1D04</vt:lpstr>
      <vt:lpstr>q19초YFAM1E01</vt:lpstr>
      <vt:lpstr>q19초YFAM1E02</vt:lpstr>
      <vt:lpstr>q19초YFAM1E03</vt:lpstr>
      <vt:lpstr>q19초YFAM1E04</vt:lpstr>
      <vt:lpstr>q19초YFAM1F01</vt:lpstr>
      <vt:lpstr>q19초YFAM1F02</vt:lpstr>
      <vt:lpstr>q19초YFAM1F03</vt:lpstr>
      <vt:lpstr>q19초YFAM1F04</vt:lpstr>
      <vt:lpstr>q19초YFAM2A01</vt:lpstr>
      <vt:lpstr>q19초YFAM2A02</vt:lpstr>
      <vt:lpstr>q19초YFAM2A03</vt:lpstr>
      <vt:lpstr>q19초YFAM2A04</vt:lpstr>
      <vt:lpstr>q19초YFAM2B01</vt:lpstr>
      <vt:lpstr>q19초YFAM2B02</vt:lpstr>
      <vt:lpstr>q19초YFAM2B03</vt:lpstr>
      <vt:lpstr>q19초YFAM2B04</vt:lpstr>
      <vt:lpstr>q19초YFAM2C01</vt:lpstr>
      <vt:lpstr>q19초YFAM2C02</vt:lpstr>
      <vt:lpstr>q19초YFAM2C03</vt:lpstr>
      <vt:lpstr>q19초YFAM2C04</vt:lpstr>
      <vt:lpstr>q19초YFAM2D01</vt:lpstr>
      <vt:lpstr>q19초YFAM2D02</vt:lpstr>
      <vt:lpstr>q19초YFAM2D03</vt:lpstr>
      <vt:lpstr>q19초YFAM2D04</vt:lpstr>
      <vt:lpstr>q19초YFAM2E01</vt:lpstr>
      <vt:lpstr>q19초YFAM2E02</vt:lpstr>
      <vt:lpstr>q19초YFAM2E03</vt:lpstr>
      <vt:lpstr>q19초YFAM2E04</vt:lpstr>
      <vt:lpstr>q19초YFAM2F01</vt:lpstr>
      <vt:lpstr>q19초YFAM2F02</vt:lpstr>
      <vt:lpstr>q19초YFAM2F03</vt:lpstr>
      <vt:lpstr>q19초YFAM2F04</vt:lpstr>
      <vt:lpstr>q19초YFAM3A00</vt:lpstr>
      <vt:lpstr>q19초YFAM3B00</vt:lpstr>
      <vt:lpstr>q19초YFUR2A01</vt:lpstr>
      <vt:lpstr>q19초YFUR2A02</vt:lpstr>
      <vt:lpstr>q19초YFUR2A03</vt:lpstr>
      <vt:lpstr>q19초YFUR2A04</vt:lpstr>
      <vt:lpstr>q19초YFUR2A05</vt:lpstr>
      <vt:lpstr>q19초YFUR2A06</vt:lpstr>
      <vt:lpstr>q19초YFUR2A07</vt:lpstr>
      <vt:lpstr>q19초YFUR2A08</vt:lpstr>
      <vt:lpstr>q19초YFUR2A08_T</vt:lpstr>
      <vt:lpstr>q19초YGENDER</vt:lpstr>
      <vt:lpstr>q19초YINT1A00</vt:lpstr>
      <vt:lpstr>q19초YINT1B00</vt:lpstr>
      <vt:lpstr>q19초YINT2A01</vt:lpstr>
      <vt:lpstr>q19초YINT2A02</vt:lpstr>
      <vt:lpstr>q19초YINT2A03</vt:lpstr>
      <vt:lpstr>q19초YINT2A04</vt:lpstr>
      <vt:lpstr>q19초YINT2A05</vt:lpstr>
      <vt:lpstr>q19초YINT2A06</vt:lpstr>
      <vt:lpstr>q19초YINT2A07</vt:lpstr>
      <vt:lpstr>q19초YINT2A08</vt:lpstr>
      <vt:lpstr>q19초YINT2A09</vt:lpstr>
      <vt:lpstr>q19초YINT2A10</vt:lpstr>
      <vt:lpstr>q19초YINT2A11</vt:lpstr>
      <vt:lpstr>q19초YINT2A12</vt:lpstr>
      <vt:lpstr>q19초YINT2A13</vt:lpstr>
      <vt:lpstr>q19초YINT2A14</vt:lpstr>
      <vt:lpstr>q19초YINT2A15</vt:lpstr>
      <vt:lpstr>q19초YINT2A16</vt:lpstr>
      <vt:lpstr>q19초YMDA1A00</vt:lpstr>
      <vt:lpstr>q19초YMDA1B01</vt:lpstr>
      <vt:lpstr>q19초YMDA1B02</vt:lpstr>
      <vt:lpstr>q19초YMDA1B03</vt:lpstr>
      <vt:lpstr>q19초YMDA1B04</vt:lpstr>
      <vt:lpstr>q19초YMDA1B05</vt:lpstr>
      <vt:lpstr>q19초YMDA1B06</vt:lpstr>
      <vt:lpstr>q19초YMDA1B07</vt:lpstr>
      <vt:lpstr>q19초YMDA1B08</vt:lpstr>
      <vt:lpstr>q19초YMDA1B09</vt:lpstr>
      <vt:lpstr>q19초YMDA1B10</vt:lpstr>
      <vt:lpstr>q19초YMDA1B11</vt:lpstr>
      <vt:lpstr>q19초YMDA1B12</vt:lpstr>
      <vt:lpstr>q19초YMDA1B13</vt:lpstr>
      <vt:lpstr>q19초YMDA1B13_T</vt:lpstr>
      <vt:lpstr>q19초YMDA1C01</vt:lpstr>
      <vt:lpstr>q19초YMDA1C02</vt:lpstr>
      <vt:lpstr>q19초YMDA1C03</vt:lpstr>
      <vt:lpstr>q19초YMDA1C04</vt:lpstr>
      <vt:lpstr>q19초YMDA1C05</vt:lpstr>
      <vt:lpstr>q19초YMDA1C06</vt:lpstr>
      <vt:lpstr>q19초YMDA1C07</vt:lpstr>
      <vt:lpstr>q19초YMDA1C08</vt:lpstr>
      <vt:lpstr>q19초YMDA1C09</vt:lpstr>
      <vt:lpstr>q19초YMDA1C10</vt:lpstr>
      <vt:lpstr>q19초YMDA1C11</vt:lpstr>
      <vt:lpstr>q19초YMDA1C12</vt:lpstr>
      <vt:lpstr>q19초YMDA1C13</vt:lpstr>
      <vt:lpstr>q19초YMDA1C14</vt:lpstr>
      <vt:lpstr>q19초YMDA1C15</vt:lpstr>
      <vt:lpstr>q19초YPHY1A00</vt:lpstr>
      <vt:lpstr>q19초YPHY1B00</vt:lpstr>
      <vt:lpstr>q19초YPHY1C00</vt:lpstr>
      <vt:lpstr>q19초YPHY2A00</vt:lpstr>
      <vt:lpstr>q19초YPHY2B00</vt:lpstr>
      <vt:lpstr>q19초YPSY1A01</vt:lpstr>
      <vt:lpstr>q19초YPSY1A02</vt:lpstr>
      <vt:lpstr>q19초YPSY1A03</vt:lpstr>
      <vt:lpstr>q19초YPSY1A04</vt:lpstr>
      <vt:lpstr>q19초YPSY1A05</vt:lpstr>
      <vt:lpstr>q19초YPSY2A01</vt:lpstr>
      <vt:lpstr>q19초YPSY2A02</vt:lpstr>
      <vt:lpstr>q19초YPSY2A03</vt:lpstr>
      <vt:lpstr>q19초YPSY2A04</vt:lpstr>
      <vt:lpstr>q19초YPSY3A01</vt:lpstr>
      <vt:lpstr>q19초YPSY3A02</vt:lpstr>
      <vt:lpstr>q19초YPSY3A03</vt:lpstr>
      <vt:lpstr>q19초YPSY3A04</vt:lpstr>
      <vt:lpstr>q19초YPSY3A05</vt:lpstr>
      <vt:lpstr>q19초YPSY3A06</vt:lpstr>
      <vt:lpstr>q19초YPSY3A07</vt:lpstr>
      <vt:lpstr>q19초YPSY3A08</vt:lpstr>
      <vt:lpstr>q19초YPSY3A09</vt:lpstr>
      <vt:lpstr>q19초YPSY3A10</vt:lpstr>
      <vt:lpstr>q19초YPSY4A01</vt:lpstr>
      <vt:lpstr>q19초YPSY4A02</vt:lpstr>
      <vt:lpstr>q19초YPSY4A03</vt:lpstr>
      <vt:lpstr>q19초YPSY4A04</vt:lpstr>
      <vt:lpstr>q19초YPSY4A05</vt:lpstr>
      <vt:lpstr>q19초YPSY4A06</vt:lpstr>
      <vt:lpstr>q19초YPSY4A07</vt:lpstr>
      <vt:lpstr>q19초YPSY4B01</vt:lpstr>
      <vt:lpstr>q19초YPSY4B02</vt:lpstr>
      <vt:lpstr>q19초YPSY4B03</vt:lpstr>
      <vt:lpstr>q19초YPSY4B04</vt:lpstr>
      <vt:lpstr>q19초YPSY4B05</vt:lpstr>
      <vt:lpstr>q19초YPSY4B06</vt:lpstr>
      <vt:lpstr>q19초YPSY4C01</vt:lpstr>
      <vt:lpstr>q19초YPSY4C02</vt:lpstr>
      <vt:lpstr>q19초YPSY4C03</vt:lpstr>
      <vt:lpstr>q19초YPSY4C04</vt:lpstr>
      <vt:lpstr>q19초YPSY4C05</vt:lpstr>
      <vt:lpstr>q19초YPSY4C06</vt:lpstr>
      <vt:lpstr>q19초YPSY4C07</vt:lpstr>
      <vt:lpstr>q19초YPSY4C08</vt:lpstr>
      <vt:lpstr>q19초YPSY4D01</vt:lpstr>
      <vt:lpstr>q19초YPSY4D02</vt:lpstr>
      <vt:lpstr>q19초YPSY4D03</vt:lpstr>
      <vt:lpstr>q19초YPSY4D04</vt:lpstr>
      <vt:lpstr>q19초YPSY4D05</vt:lpstr>
      <vt:lpstr>q19초YPSY4E01</vt:lpstr>
      <vt:lpstr>q19초YPSY4E02</vt:lpstr>
      <vt:lpstr>q19초YPSY4E03</vt:lpstr>
      <vt:lpstr>q19초YPSY4E04</vt:lpstr>
      <vt:lpstr>q19초YPSY4E05</vt:lpstr>
      <vt:lpstr>q19초YPSY4E06</vt:lpstr>
      <vt:lpstr>q19초YPSY4E07</vt:lpstr>
      <vt:lpstr>q19초YPSY4E08</vt:lpstr>
      <vt:lpstr>q19초YPSY4E09</vt:lpstr>
      <vt:lpstr>q19초YPSY4E10</vt:lpstr>
      <vt:lpstr>q19초YPSY5A01</vt:lpstr>
      <vt:lpstr>q19초YPSY5A02</vt:lpstr>
      <vt:lpstr>q19초YPSY5A03</vt:lpstr>
      <vt:lpstr>q19초YPSY5A04</vt:lpstr>
      <vt:lpstr>q19초YPSY5A05</vt:lpstr>
      <vt:lpstr>q19초YPSY5A06</vt:lpstr>
      <vt:lpstr>q19초YPSY5A07</vt:lpstr>
      <vt:lpstr>q19초YPSY5A08</vt:lpstr>
      <vt:lpstr>q19초YPSY5A09</vt:lpstr>
      <vt:lpstr>q19초YPSY5A10</vt:lpstr>
      <vt:lpstr>q19초YPSY5A11</vt:lpstr>
      <vt:lpstr>q19초YPSY5A12</vt:lpstr>
      <vt:lpstr>q19초YPSY5A13</vt:lpstr>
      <vt:lpstr>q19초YPSY5A14</vt:lpstr>
      <vt:lpstr>q19초YPSY7A01</vt:lpstr>
      <vt:lpstr>q19초YPSY7A02</vt:lpstr>
      <vt:lpstr>q19초YPSY7A03</vt:lpstr>
      <vt:lpstr>q19초YPSY7A04</vt:lpstr>
      <vt:lpstr>q19초YPSY7A05</vt:lpstr>
      <vt:lpstr>q19초YPSY7A06</vt:lpstr>
      <vt:lpstr>q19초YPSY7A07</vt:lpstr>
      <vt:lpstr>q19초YPSY7A08</vt:lpstr>
      <vt:lpstr>q19초YTIM1A01</vt:lpstr>
      <vt:lpstr>q19초YTIM1A02</vt:lpstr>
      <vt:lpstr>q19초YTIM1A03</vt:lpstr>
      <vt:lpstr>q19초YTIM1A04</vt:lpstr>
      <vt:lpstr>q19초YTIM1B01</vt:lpstr>
      <vt:lpstr>q19초YTIM1B02</vt:lpstr>
      <vt:lpstr>q19초YTIM1B03</vt:lpstr>
      <vt:lpstr>q19초YTIM1B04</vt:lpstr>
      <vt:lpstr>q19초YTIM1C01</vt:lpstr>
      <vt:lpstr>q19초YTIM1C02</vt:lpstr>
      <vt:lpstr>q19초YTIM1D01</vt:lpstr>
      <vt:lpstr>q19초YTIM1D02</vt:lpstr>
      <vt:lpstr>q19초YTIM1E01</vt:lpstr>
      <vt:lpstr>q19초YTIM1E02</vt:lpstr>
      <vt:lpstr>q19초YTIM1F01</vt:lpstr>
      <vt:lpstr>q19초YTIM1F02</vt:lpstr>
      <vt:lpstr>q19초YTIM1G01</vt:lpstr>
      <vt:lpstr>q19초YTIM1G02</vt:lpstr>
      <vt:lpstr>q19초YTIM1H01</vt:lpstr>
      <vt:lpstr>q19초YTIM1H02</vt:lpstr>
      <vt:lpstr>q19초YTIM1I01</vt:lpstr>
      <vt:lpstr>q19초YTIM1I02</vt:lpstr>
      <vt:lpstr>q19초YTIM1J01</vt:lpstr>
      <vt:lpstr>q19초YTIM1J02</vt:lpstr>
      <vt:lpstr>q19초YTIM1K01</vt:lpstr>
      <vt:lpstr>q19초YTIM1K02</vt:lpstr>
      <vt:lpstr>q19초YTIM1L01</vt:lpstr>
      <vt:lpstr>q19초YTIM1L02</vt:lpstr>
      <vt:lpstr>q19초YTIM1M01</vt:lpstr>
      <vt:lpstr>q19초YTIM1M02</vt:lpstr>
      <vt:lpstr>q19초YTIM1N01</vt:lpstr>
      <vt:lpstr>q19초YTIM1N02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NYPI</cp:lastModifiedBy>
  <cp:lastPrinted>2020-02-17T07:45:26Z</cp:lastPrinted>
  <dcterms:created xsi:type="dcterms:W3CDTF">2019-01-28T05:43:38Z</dcterms:created>
  <dcterms:modified xsi:type="dcterms:W3CDTF">2020-11-30T08:47:20Z</dcterms:modified>
</cp:coreProperties>
</file>