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1\"/>
    </mc:Choice>
  </mc:AlternateContent>
  <xr:revisionPtr revIDLastSave="0" documentId="8_{BA681098-9D11-41CB-A6D4-79E178A1AB1B}" xr6:coauthVersionLast="31" xr6:coauthVersionMax="31" xr10:uidLastSave="{00000000-0000-0000-0000-000000000000}"/>
  <bookViews>
    <workbookView xWindow="0" yWindow="0" windowWidth="28395" windowHeight="12210" tabRatio="535" xr2:uid="{00000000-000D-0000-FFFF-FFFF00000000}"/>
  </bookViews>
  <sheets>
    <sheet name="개요" sheetId="1" r:id="rId1"/>
    <sheet name="개별기초자료" sheetId="2" r:id="rId2"/>
    <sheet name="통합경력증명" sheetId="3" r:id="rId3"/>
    <sheet name="전보내신카드" sheetId="4" r:id="rId4"/>
    <sheet name="교육경력조서" sheetId="5" r:id="rId5"/>
    <sheet name="조견표" sheetId="6" state="hidden" r:id="rId6"/>
    <sheet name="참고자료" sheetId="7" r:id="rId7"/>
    <sheet name="DATA" sheetId="8" r:id="rId8"/>
  </sheets>
  <externalReferences>
    <externalReference r:id="rId9"/>
    <externalReference r:id="rId10"/>
  </externalReferences>
  <definedNames>
    <definedName name="_xlnm._FilterDatabase" localSheetId="5" hidden="1">조견표!$A$132:$AB$247</definedName>
    <definedName name="_xlnm.Print_Area" localSheetId="7">DATA!$A$1:$AB$3</definedName>
    <definedName name="_xlnm.Print_Area" localSheetId="1">개별기초자료!$B$3:$N$31</definedName>
    <definedName name="_xlnm.Print_Area" localSheetId="0">개요!$B$2:$J$17</definedName>
    <definedName name="_xlnm.Print_Area" localSheetId="4">교육경력조서!$B$1:$O$98</definedName>
    <definedName name="_xlnm.Print_Area" localSheetId="3">전보내신카드!$B$2:$Y$24</definedName>
    <definedName name="_xlnm.Print_Area" localSheetId="2">통합경력증명!$B$2:$O$71</definedName>
    <definedName name="_xlnm.Print_Titles" localSheetId="7">DATA!$1:$2</definedName>
    <definedName name="갑지유치원">조견표!$Y$39:$Y$60</definedName>
    <definedName name="갑지학교" localSheetId="4">[1]조견표!$W$5:$W$37</definedName>
    <definedName name="갑지학교">조견표!$Y$5:$Y$38</definedName>
    <definedName name="교육청" localSheetId="0">개요!$C$2:$C$13</definedName>
    <definedName name="교육청명" localSheetId="0">개요!$C$2:$I$13</definedName>
    <definedName name="내신자" localSheetId="0">[2]파일취합!$A$6:$AR$27</definedName>
    <definedName name="내신자" localSheetId="4">[1]DATA!$A$3:$AR$3</definedName>
    <definedName name="내신자" localSheetId="3">DATA!$A$3:$AV$3</definedName>
    <definedName name="내신자">DATA!$A$3:$AV$3</definedName>
    <definedName name="소속">DATA!$BD$3:$BD$30</definedName>
    <definedName name="우대조항" localSheetId="4">[1]조견표!$Q$44:$R$52</definedName>
    <definedName name="우대조항">조견표!$T$44:$U$53</definedName>
    <definedName name="유치원" localSheetId="4">[1]조견표1!$A$4:$A$44</definedName>
    <definedName name="유치원">조견표!$A$61:$A$100</definedName>
    <definedName name="유치원선택">조견표!$A$60:$A$100</definedName>
    <definedName name="유치원학교" localSheetId="4">[1]조견표1!$A$5:$K$44</definedName>
    <definedName name="유치원학교">조견표!$A$61:$R$100</definedName>
    <definedName name="유치원희망교" localSheetId="4">[1]조견표1!$B$4:$B$44</definedName>
    <definedName name="유치원희망교">조견표!$B$61:$B$100</definedName>
    <definedName name="전보유형">조견표!$T$69:$U$74</definedName>
    <definedName name="지역변경">조견표!$A$132:$I$259</definedName>
    <definedName name="직위">조견표!$T$55:$U$66</definedName>
    <definedName name="특기사항" localSheetId="4">[1]조견표!$R$33:$R$40</definedName>
    <definedName name="특기사항">조견표!$U$33:$U$42</definedName>
    <definedName name="학교" localSheetId="0">[2]조견표!$A$2:$J$58</definedName>
    <definedName name="학교" localSheetId="4">[1]조견표!$A$2:$O$71</definedName>
    <definedName name="학교">조견표!$A$2:$R$126</definedName>
    <definedName name="학교명">조견표!$A$5:$A$59</definedName>
    <definedName name="학교선택" localSheetId="4">[1]조견표!$A$4:$A$59</definedName>
    <definedName name="학교선택">조견표!$A$4:$A$59</definedName>
    <definedName name="희망교" localSheetId="4">[1]조견표!$B$4:$B$56</definedName>
    <definedName name="희망교">조견표!$B$4:$B$59</definedName>
  </definedNames>
  <calcPr calcId="179017"/>
</workbook>
</file>

<file path=xl/calcChain.xml><?xml version="1.0" encoding="utf-8"?>
<calcChain xmlns="http://schemas.openxmlformats.org/spreadsheetml/2006/main">
  <c r="AU3" i="8" l="1"/>
  <c r="AT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Z3" i="8"/>
  <c r="T19" i="4" s="1"/>
  <c r="Y3" i="8"/>
  <c r="X3" i="8"/>
  <c r="W3" i="8"/>
  <c r="I3" i="8"/>
  <c r="G3" i="8"/>
  <c r="F3" i="8"/>
  <c r="E3" i="8"/>
  <c r="B3" i="8"/>
  <c r="H11" i="4" s="1"/>
  <c r="A3" i="8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K98" i="5"/>
  <c r="K97" i="5"/>
  <c r="L91" i="5"/>
  <c r="L90" i="5"/>
  <c r="L89" i="5"/>
  <c r="L88" i="5"/>
  <c r="L87" i="5"/>
  <c r="L85" i="5"/>
  <c r="L84" i="5"/>
  <c r="L83" i="5"/>
  <c r="L82" i="5"/>
  <c r="L81" i="5"/>
  <c r="L79" i="5"/>
  <c r="L78" i="5"/>
  <c r="L77" i="5"/>
  <c r="L76" i="5"/>
  <c r="L75" i="5"/>
  <c r="L74" i="5"/>
  <c r="L73" i="5"/>
  <c r="L72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7" i="5"/>
  <c r="L46" i="5"/>
  <c r="L45" i="5"/>
  <c r="L44" i="5"/>
  <c r="L43" i="5"/>
  <c r="L42" i="5"/>
  <c r="L41" i="5"/>
  <c r="M6" i="5"/>
  <c r="D6" i="5"/>
  <c r="D97" i="5" s="1"/>
  <c r="M24" i="4"/>
  <c r="M23" i="4"/>
  <c r="M22" i="4"/>
  <c r="N20" i="4"/>
  <c r="L20" i="4"/>
  <c r="M20" i="4" s="1"/>
  <c r="N19" i="4"/>
  <c r="M19" i="4"/>
  <c r="L19" i="4"/>
  <c r="Q18" i="4"/>
  <c r="N18" i="4"/>
  <c r="L18" i="4"/>
  <c r="M18" i="4" s="1"/>
  <c r="K13" i="4"/>
  <c r="H13" i="4"/>
  <c r="J13" i="4" s="1"/>
  <c r="E13" i="4"/>
  <c r="D13" i="4"/>
  <c r="Y12" i="4"/>
  <c r="E12" i="4"/>
  <c r="D12" i="4"/>
  <c r="J11" i="4"/>
  <c r="E11" i="4"/>
  <c r="D11" i="4"/>
  <c r="S7" i="4"/>
  <c r="M7" i="4"/>
  <c r="I7" i="4"/>
  <c r="X4" i="4"/>
  <c r="D4" i="4"/>
  <c r="X3" i="4"/>
  <c r="D3" i="4"/>
  <c r="X2" i="4"/>
  <c r="D2" i="4"/>
  <c r="B70" i="3"/>
  <c r="N68" i="3"/>
  <c r="K68" i="3"/>
  <c r="R65" i="3"/>
  <c r="M65" i="3"/>
  <c r="R64" i="3"/>
  <c r="M64" i="3"/>
  <c r="R63" i="3"/>
  <c r="M63" i="3"/>
  <c r="R62" i="3"/>
  <c r="M62" i="3"/>
  <c r="M66" i="3" s="1"/>
  <c r="R61" i="3"/>
  <c r="M61" i="3"/>
  <c r="R59" i="3"/>
  <c r="R58" i="3"/>
  <c r="M58" i="3"/>
  <c r="L58" i="3"/>
  <c r="R57" i="3"/>
  <c r="M57" i="3"/>
  <c r="L57" i="3"/>
  <c r="R56" i="3"/>
  <c r="M56" i="3"/>
  <c r="L56" i="3"/>
  <c r="R55" i="3"/>
  <c r="M55" i="3"/>
  <c r="L55" i="3"/>
  <c r="L59" i="3" s="1"/>
  <c r="M53" i="3"/>
  <c r="G53" i="3"/>
  <c r="J50" i="3"/>
  <c r="K9" i="2" s="1"/>
  <c r="M3" i="8" s="1"/>
  <c r="O11" i="4" s="1"/>
  <c r="D50" i="3"/>
  <c r="L46" i="3"/>
  <c r="G46" i="3"/>
  <c r="L45" i="3"/>
  <c r="G45" i="3"/>
  <c r="P44" i="3"/>
  <c r="L44" i="3"/>
  <c r="L47" i="3" s="1"/>
  <c r="N11" i="2" s="1"/>
  <c r="Q3" i="8" s="1"/>
  <c r="S11" i="4" s="1"/>
  <c r="G44" i="3"/>
  <c r="L42" i="3"/>
  <c r="G42" i="3"/>
  <c r="L41" i="3"/>
  <c r="G41" i="3"/>
  <c r="P40" i="3"/>
  <c r="L40" i="3"/>
  <c r="L43" i="3" s="1"/>
  <c r="N9" i="2" s="1"/>
  <c r="T3" i="8" s="1"/>
  <c r="V11" i="4" s="1"/>
  <c r="G40" i="3"/>
  <c r="R38" i="3"/>
  <c r="Q38" i="3"/>
  <c r="L38" i="3"/>
  <c r="G38" i="3"/>
  <c r="R37" i="3"/>
  <c r="Q37" i="3"/>
  <c r="L37" i="3"/>
  <c r="G37" i="3"/>
  <c r="R36" i="3"/>
  <c r="Q36" i="3"/>
  <c r="G36" i="3"/>
  <c r="R35" i="3"/>
  <c r="Q35" i="3"/>
  <c r="L35" i="3"/>
  <c r="G35" i="3"/>
  <c r="R34" i="3"/>
  <c r="Q34" i="3"/>
  <c r="G34" i="3"/>
  <c r="R33" i="3"/>
  <c r="Q33" i="3"/>
  <c r="R32" i="3"/>
  <c r="Q32" i="3"/>
  <c r="L32" i="3"/>
  <c r="G32" i="3"/>
  <c r="R31" i="3"/>
  <c r="Q31" i="3"/>
  <c r="L31" i="3"/>
  <c r="G31" i="3"/>
  <c r="R30" i="3"/>
  <c r="Q30" i="3"/>
  <c r="L30" i="3"/>
  <c r="G30" i="3"/>
  <c r="R29" i="3"/>
  <c r="Q29" i="3"/>
  <c r="L29" i="3"/>
  <c r="G29" i="3"/>
  <c r="R28" i="3"/>
  <c r="Q28" i="3"/>
  <c r="L28" i="3"/>
  <c r="L33" i="3" s="1"/>
  <c r="G28" i="3"/>
  <c r="R27" i="3"/>
  <c r="Q27" i="3"/>
  <c r="R26" i="3"/>
  <c r="Q26" i="3"/>
  <c r="P26" i="3"/>
  <c r="L26" i="3"/>
  <c r="G26" i="3"/>
  <c r="R25" i="3"/>
  <c r="Q25" i="3"/>
  <c r="P25" i="3"/>
  <c r="L25" i="3"/>
  <c r="G25" i="3"/>
  <c r="R24" i="3"/>
  <c r="Q24" i="3"/>
  <c r="P24" i="3"/>
  <c r="G24" i="3"/>
  <c r="R23" i="3"/>
  <c r="Q23" i="3"/>
  <c r="P23" i="3"/>
  <c r="L23" i="3"/>
  <c r="G23" i="3"/>
  <c r="R22" i="3"/>
  <c r="Q22" i="3"/>
  <c r="P22" i="3"/>
  <c r="L22" i="3"/>
  <c r="G22" i="3"/>
  <c r="R21" i="3"/>
  <c r="Q21" i="3"/>
  <c r="L21" i="3"/>
  <c r="R20" i="3"/>
  <c r="Q20" i="3"/>
  <c r="L20" i="3"/>
  <c r="G20" i="3"/>
  <c r="R19" i="3"/>
  <c r="Q19" i="3"/>
  <c r="L19" i="3"/>
  <c r="G19" i="3"/>
  <c r="R18" i="3"/>
  <c r="Q18" i="3"/>
  <c r="L18" i="3"/>
  <c r="G18" i="3"/>
  <c r="R17" i="3"/>
  <c r="Q17" i="3"/>
  <c r="L17" i="3"/>
  <c r="G17" i="3"/>
  <c r="R16" i="3"/>
  <c r="Q16" i="3"/>
  <c r="L16" i="3"/>
  <c r="G16" i="3"/>
  <c r="R15" i="3"/>
  <c r="Q15" i="3"/>
  <c r="R14" i="3"/>
  <c r="L14" i="3"/>
  <c r="G14" i="3"/>
  <c r="Q14" i="3" s="1"/>
  <c r="L13" i="3"/>
  <c r="G13" i="3"/>
  <c r="Q13" i="3" s="1"/>
  <c r="Q12" i="3"/>
  <c r="L12" i="3"/>
  <c r="G12" i="3"/>
  <c r="Q11" i="3"/>
  <c r="L11" i="3"/>
  <c r="L15" i="3" s="1"/>
  <c r="K10" i="2" s="1"/>
  <c r="N3" i="8" s="1"/>
  <c r="P11" i="4" s="1"/>
  <c r="G11" i="3"/>
  <c r="L10" i="3"/>
  <c r="G10" i="3"/>
  <c r="Q10" i="3" s="1"/>
  <c r="D5" i="3"/>
  <c r="M4" i="3"/>
  <c r="E4" i="3"/>
  <c r="M27" i="2"/>
  <c r="AV3" i="8" s="1"/>
  <c r="M13" i="4" s="1"/>
  <c r="J25" i="2"/>
  <c r="C21" i="2"/>
  <c r="J20" i="2"/>
  <c r="E20" i="2"/>
  <c r="L24" i="3" s="1"/>
  <c r="J19" i="2"/>
  <c r="W18" i="2"/>
  <c r="T18" i="2"/>
  <c r="J18" i="2"/>
  <c r="E18" i="2"/>
  <c r="L34" i="3" s="1"/>
  <c r="W17" i="2"/>
  <c r="X17" i="2" s="1"/>
  <c r="Y16" i="2"/>
  <c r="W16" i="2"/>
  <c r="J16" i="2"/>
  <c r="X15" i="2"/>
  <c r="W15" i="2"/>
  <c r="U15" i="2"/>
  <c r="K15" i="2"/>
  <c r="U3" i="8" s="1"/>
  <c r="W11" i="4" s="1"/>
  <c r="E15" i="2"/>
  <c r="W14" i="2"/>
  <c r="Z13" i="2" s="1"/>
  <c r="U14" i="2"/>
  <c r="K14" i="2"/>
  <c r="S3" i="8" s="1"/>
  <c r="U11" i="4" s="1"/>
  <c r="X13" i="2"/>
  <c r="W13" i="2"/>
  <c r="V13" i="2"/>
  <c r="U13" i="2"/>
  <c r="V14" i="2" s="1"/>
  <c r="K13" i="2"/>
  <c r="R3" i="8" s="1"/>
  <c r="T11" i="4" s="1"/>
  <c r="E9" i="2"/>
  <c r="U10" i="4" s="1"/>
  <c r="V8" i="2"/>
  <c r="U8" i="2"/>
  <c r="Y6" i="2"/>
  <c r="Y4" i="2"/>
  <c r="C4" i="2"/>
  <c r="L2" i="2"/>
  <c r="H10" i="2" s="1"/>
  <c r="H3" i="8" s="1"/>
  <c r="C2" i="2"/>
  <c r="R1" i="2"/>
  <c r="Q1" i="2"/>
  <c r="P1" i="2"/>
  <c r="O1" i="2"/>
  <c r="S1" i="2" s="1"/>
  <c r="AA3" i="8" s="1"/>
  <c r="B23" i="4" s="1"/>
  <c r="N90" i="5"/>
  <c r="I90" i="5"/>
  <c r="M89" i="5"/>
  <c r="H89" i="5"/>
  <c r="O87" i="5"/>
  <c r="J87" i="5"/>
  <c r="O84" i="5"/>
  <c r="J84" i="5"/>
  <c r="N83" i="5"/>
  <c r="I83" i="5"/>
  <c r="M82" i="5"/>
  <c r="H82" i="5"/>
  <c r="O77" i="5"/>
  <c r="J77" i="5"/>
  <c r="N76" i="5"/>
  <c r="I76" i="5"/>
  <c r="M75" i="5"/>
  <c r="H75" i="5"/>
  <c r="O73" i="5"/>
  <c r="J73" i="5"/>
  <c r="N72" i="5"/>
  <c r="I72" i="5"/>
  <c r="N69" i="5"/>
  <c r="I69" i="5"/>
  <c r="M68" i="5"/>
  <c r="H68" i="5"/>
  <c r="O66" i="5"/>
  <c r="J66" i="5"/>
  <c r="N65" i="5"/>
  <c r="I65" i="5"/>
  <c r="M64" i="5"/>
  <c r="H64" i="5"/>
  <c r="O62" i="5"/>
  <c r="J62" i="5"/>
  <c r="N61" i="5"/>
  <c r="I61" i="5"/>
  <c r="M60" i="5"/>
  <c r="H60" i="5"/>
  <c r="O58" i="5"/>
  <c r="J58" i="5"/>
  <c r="N57" i="5"/>
  <c r="I57" i="5"/>
  <c r="M56" i="5"/>
  <c r="H56" i="5"/>
  <c r="O54" i="5"/>
  <c r="J54" i="5"/>
  <c r="N53" i="5"/>
  <c r="I53" i="5"/>
  <c r="M52" i="5"/>
  <c r="H52" i="5"/>
  <c r="O50" i="5"/>
  <c r="J50" i="5"/>
  <c r="N49" i="5"/>
  <c r="I49" i="5"/>
  <c r="N46" i="5"/>
  <c r="I46" i="5"/>
  <c r="M45" i="5"/>
  <c r="H45" i="5"/>
  <c r="O43" i="5"/>
  <c r="J43" i="5"/>
  <c r="N42" i="5"/>
  <c r="I42" i="5"/>
  <c r="M41" i="5"/>
  <c r="H41" i="5"/>
  <c r="M90" i="5"/>
  <c r="H90" i="5"/>
  <c r="O88" i="5"/>
  <c r="J88" i="5"/>
  <c r="N87" i="5"/>
  <c r="I87" i="5"/>
  <c r="N84" i="5"/>
  <c r="I84" i="5"/>
  <c r="M83" i="5"/>
  <c r="H83" i="5"/>
  <c r="O81" i="5"/>
  <c r="J81" i="5"/>
  <c r="O78" i="5"/>
  <c r="J78" i="5"/>
  <c r="N77" i="5"/>
  <c r="I77" i="5"/>
  <c r="M76" i="5"/>
  <c r="H76" i="5"/>
  <c r="O74" i="5"/>
  <c r="J74" i="5"/>
  <c r="N73" i="5"/>
  <c r="I73" i="5"/>
  <c r="M72" i="5"/>
  <c r="H72" i="5"/>
  <c r="M69" i="5"/>
  <c r="H69" i="5"/>
  <c r="O67" i="5"/>
  <c r="J67" i="5"/>
  <c r="N66" i="5"/>
  <c r="I66" i="5"/>
  <c r="M65" i="5"/>
  <c r="H65" i="5"/>
  <c r="O63" i="5"/>
  <c r="J63" i="5"/>
  <c r="N62" i="5"/>
  <c r="I62" i="5"/>
  <c r="M61" i="5"/>
  <c r="H61" i="5"/>
  <c r="O59" i="5"/>
  <c r="J59" i="5"/>
  <c r="N58" i="5"/>
  <c r="I58" i="5"/>
  <c r="M57" i="5"/>
  <c r="H57" i="5"/>
  <c r="O55" i="5"/>
  <c r="J55" i="5"/>
  <c r="N54" i="5"/>
  <c r="I54" i="5"/>
  <c r="M53" i="5"/>
  <c r="H53" i="5"/>
  <c r="O51" i="5"/>
  <c r="J51" i="5"/>
  <c r="N50" i="5"/>
  <c r="I50" i="5"/>
  <c r="M49" i="5"/>
  <c r="H49" i="5"/>
  <c r="M46" i="5"/>
  <c r="H46" i="5"/>
  <c r="O44" i="5"/>
  <c r="J44" i="5"/>
  <c r="N43" i="5"/>
  <c r="I43" i="5"/>
  <c r="M42" i="5"/>
  <c r="H42" i="5"/>
  <c r="O89" i="5"/>
  <c r="J89" i="5"/>
  <c r="N88" i="5"/>
  <c r="I88" i="5"/>
  <c r="M87" i="5"/>
  <c r="H87" i="5"/>
  <c r="M84" i="5"/>
  <c r="H84" i="5"/>
  <c r="O82" i="5"/>
  <c r="J82" i="5"/>
  <c r="N81" i="5"/>
  <c r="I81" i="5"/>
  <c r="N78" i="5"/>
  <c r="I78" i="5"/>
  <c r="M77" i="5"/>
  <c r="H77" i="5"/>
  <c r="O75" i="5"/>
  <c r="J75" i="5"/>
  <c r="N74" i="5"/>
  <c r="I74" i="5"/>
  <c r="M73" i="5"/>
  <c r="H73" i="5"/>
  <c r="O68" i="5"/>
  <c r="J68" i="5"/>
  <c r="N67" i="5"/>
  <c r="I67" i="5"/>
  <c r="M66" i="5"/>
  <c r="H66" i="5"/>
  <c r="O64" i="5"/>
  <c r="J64" i="5"/>
  <c r="N63" i="5"/>
  <c r="I63" i="5"/>
  <c r="M62" i="5"/>
  <c r="H62" i="5"/>
  <c r="O60" i="5"/>
  <c r="J60" i="5"/>
  <c r="N59" i="5"/>
  <c r="I59" i="5"/>
  <c r="M58" i="5"/>
  <c r="H58" i="5"/>
  <c r="O56" i="5"/>
  <c r="J56" i="5"/>
  <c r="N55" i="5"/>
  <c r="I55" i="5"/>
  <c r="M54" i="5"/>
  <c r="H54" i="5"/>
  <c r="O52" i="5"/>
  <c r="J52" i="5"/>
  <c r="N51" i="5"/>
  <c r="I51" i="5"/>
  <c r="M50" i="5"/>
  <c r="H50" i="5"/>
  <c r="O45" i="5"/>
  <c r="J45" i="5"/>
  <c r="N44" i="5"/>
  <c r="I44" i="5"/>
  <c r="M43" i="5"/>
  <c r="H43" i="5"/>
  <c r="O41" i="5"/>
  <c r="J41" i="5"/>
  <c r="O90" i="5"/>
  <c r="J90" i="5"/>
  <c r="N89" i="5"/>
  <c r="I89" i="5"/>
  <c r="M88" i="5"/>
  <c r="H88" i="5"/>
  <c r="O83" i="5"/>
  <c r="J83" i="5"/>
  <c r="N82" i="5"/>
  <c r="I82" i="5"/>
  <c r="M81" i="5"/>
  <c r="H81" i="5"/>
  <c r="M78" i="5"/>
  <c r="H78" i="5"/>
  <c r="O76" i="5"/>
  <c r="J76" i="5"/>
  <c r="N75" i="5"/>
  <c r="I75" i="5"/>
  <c r="M74" i="5"/>
  <c r="H74" i="5"/>
  <c r="O72" i="5"/>
  <c r="J72" i="5"/>
  <c r="O69" i="5"/>
  <c r="J69" i="5"/>
  <c r="N68" i="5"/>
  <c r="I68" i="5"/>
  <c r="M67" i="5"/>
  <c r="H67" i="5"/>
  <c r="O65" i="5"/>
  <c r="J65" i="5"/>
  <c r="N64" i="5"/>
  <c r="I64" i="5"/>
  <c r="M63" i="5"/>
  <c r="H63" i="5"/>
  <c r="O61" i="5"/>
  <c r="J61" i="5"/>
  <c r="N60" i="5"/>
  <c r="I60" i="5"/>
  <c r="M59" i="5"/>
  <c r="H59" i="5"/>
  <c r="O57" i="5"/>
  <c r="J57" i="5"/>
  <c r="N56" i="5"/>
  <c r="I56" i="5"/>
  <c r="M55" i="5"/>
  <c r="H55" i="5"/>
  <c r="O53" i="5"/>
  <c r="J53" i="5"/>
  <c r="N52" i="5"/>
  <c r="I52" i="5"/>
  <c r="M51" i="5"/>
  <c r="H51" i="5"/>
  <c r="O49" i="5"/>
  <c r="J49" i="5"/>
  <c r="O46" i="5"/>
  <c r="J46" i="5"/>
  <c r="N45" i="5"/>
  <c r="I45" i="5"/>
  <c r="M44" i="5"/>
  <c r="H44" i="5"/>
  <c r="O42" i="5"/>
  <c r="J42" i="5"/>
  <c r="N41" i="5"/>
  <c r="I41" i="5"/>
  <c r="I47" i="5" l="1"/>
  <c r="N47" i="5"/>
  <c r="J70" i="5"/>
  <c r="J71" i="5" s="1"/>
  <c r="O70" i="5"/>
  <c r="O71" i="5" s="1"/>
  <c r="J79" i="5"/>
  <c r="J80" i="5" s="1"/>
  <c r="O79" i="5"/>
  <c r="O80" i="5" s="1"/>
  <c r="H85" i="5"/>
  <c r="M85" i="5"/>
  <c r="J47" i="5"/>
  <c r="J48" i="5" s="1"/>
  <c r="O47" i="5"/>
  <c r="O48" i="5" s="1"/>
  <c r="I85" i="5"/>
  <c r="N85" i="5"/>
  <c r="H91" i="5"/>
  <c r="M91" i="5"/>
  <c r="H70" i="5"/>
  <c r="H71" i="5" s="1"/>
  <c r="M70" i="5"/>
  <c r="H79" i="5"/>
  <c r="M79" i="5"/>
  <c r="J85" i="5"/>
  <c r="J86" i="5" s="1"/>
  <c r="O85" i="5"/>
  <c r="O86" i="5" s="1"/>
  <c r="I91" i="5"/>
  <c r="N91" i="5"/>
  <c r="H47" i="5"/>
  <c r="H48" i="5" s="1"/>
  <c r="M47" i="5"/>
  <c r="M48" i="5" s="1"/>
  <c r="I70" i="5"/>
  <c r="I71" i="5" s="1"/>
  <c r="N70" i="5"/>
  <c r="I79" i="5"/>
  <c r="I80" i="5" s="1"/>
  <c r="N79" i="5"/>
  <c r="N80" i="5" s="1"/>
  <c r="J91" i="5"/>
  <c r="J92" i="5" s="1"/>
  <c r="O91" i="5"/>
  <c r="O92" i="5" s="1"/>
  <c r="L27" i="3"/>
  <c r="K11" i="2" s="1"/>
  <c r="O3" i="8" s="1"/>
  <c r="Q11" i="4" s="1"/>
  <c r="P58" i="3"/>
  <c r="P57" i="3"/>
  <c r="P56" i="3"/>
  <c r="P55" i="3"/>
  <c r="V3" i="4"/>
  <c r="AQ3" i="8"/>
  <c r="K12" i="4"/>
  <c r="U18" i="2"/>
  <c r="E16" i="2" s="1"/>
  <c r="J23" i="2"/>
  <c r="D3" i="8"/>
  <c r="G7" i="4" s="1"/>
  <c r="C4" i="4"/>
  <c r="K67" i="3"/>
  <c r="V4" i="4"/>
  <c r="V2" i="4"/>
  <c r="H6" i="5"/>
  <c r="B71" i="3"/>
  <c r="N67" i="3"/>
  <c r="J24" i="2"/>
  <c r="H13" i="2"/>
  <c r="Y13" i="2"/>
  <c r="Y14" i="2" s="1"/>
  <c r="T14" i="2" s="1"/>
  <c r="T15" i="2" s="1"/>
  <c r="T22" i="2" s="1"/>
  <c r="AR3" i="8"/>
  <c r="L36" i="3"/>
  <c r="L39" i="3" s="1"/>
  <c r="K12" i="2" s="1"/>
  <c r="P3" i="8" s="1"/>
  <c r="R11" i="4" s="1"/>
  <c r="V19" i="4"/>
  <c r="K11" i="4"/>
  <c r="B15" i="2"/>
  <c r="J14" i="2"/>
  <c r="Y15" i="2"/>
  <c r="J22" i="2"/>
  <c r="G15" i="3"/>
  <c r="C16" i="3"/>
  <c r="F4" i="4"/>
  <c r="T20" i="2"/>
  <c r="D98" i="5"/>
  <c r="J3" i="8"/>
  <c r="C19" i="4"/>
  <c r="N71" i="5" l="1"/>
  <c r="M80" i="5"/>
  <c r="H19" i="4"/>
  <c r="F19" i="4"/>
  <c r="B19" i="4"/>
  <c r="D19" i="4"/>
  <c r="E19" i="4"/>
  <c r="U6" i="2"/>
  <c r="V6" i="2"/>
  <c r="M71" i="5"/>
  <c r="N86" i="5"/>
  <c r="M86" i="5"/>
  <c r="M93" i="5" s="1"/>
  <c r="K3" i="8"/>
  <c r="M11" i="4" s="1"/>
  <c r="U20" i="2"/>
  <c r="U21" i="2" s="1"/>
  <c r="P22" i="2"/>
  <c r="B16" i="2"/>
  <c r="I86" i="5"/>
  <c r="H86" i="5"/>
  <c r="C3" i="8"/>
  <c r="D7" i="4"/>
  <c r="T13" i="2"/>
  <c r="T12" i="2" s="1"/>
  <c r="T21" i="2" s="1"/>
  <c r="T23" i="2" s="1"/>
  <c r="N92" i="5"/>
  <c r="M92" i="5"/>
  <c r="O93" i="5"/>
  <c r="O94" i="5" s="1"/>
  <c r="N48" i="5"/>
  <c r="N93" i="5" s="1"/>
  <c r="N94" i="5" s="1"/>
  <c r="I92" i="5"/>
  <c r="H80" i="5"/>
  <c r="H92" i="5"/>
  <c r="J93" i="5"/>
  <c r="J94" i="5" s="1"/>
  <c r="I48" i="5"/>
  <c r="M94" i="5" l="1"/>
  <c r="I93" i="5"/>
  <c r="H93" i="5"/>
  <c r="H94" i="5" s="1"/>
  <c r="I94" i="5"/>
  <c r="V9" i="2"/>
  <c r="U9" i="2"/>
  <c r="W9" i="2" s="1"/>
  <c r="V21" i="2"/>
  <c r="U22" i="2"/>
  <c r="K8" i="2" s="1"/>
  <c r="L3" i="8" l="1"/>
  <c r="N11" i="4" s="1"/>
  <c r="N13" i="2"/>
  <c r="V3" i="8" l="1"/>
  <c r="X11" i="4" s="1"/>
  <c r="N15" i="2"/>
  <c r="Y11" i="4" s="1"/>
  <c r="AW3" i="8" s="1"/>
</calcChain>
</file>

<file path=xl/sharedStrings.xml><?xml version="1.0" encoding="utf-8"?>
<sst xmlns="http://schemas.openxmlformats.org/spreadsheetml/2006/main" count="2195" uniqueCount="622">
  <si>
    <r>
      <rPr>
        <b/>
        <sz val="12"/>
        <color rgb="FF000000"/>
        <rFont val="HY중고딕"/>
        <family val="1"/>
        <charset val="129"/>
      </rPr>
      <t xml:space="preserve">  </t>
    </r>
    <r>
      <rPr>
        <b/>
        <sz val="12"/>
        <color rgb="FF000000"/>
        <rFont val="돋움"/>
        <family val="3"/>
        <charset val="129"/>
      </rPr>
      <t>만</t>
    </r>
    <r>
      <rPr>
        <b/>
        <sz val="12"/>
        <color rgb="FF000000"/>
        <rFont val="HY중고딕"/>
        <family val="1"/>
        <charset val="129"/>
      </rPr>
      <t xml:space="preserve">  </t>
    </r>
    <r>
      <rPr>
        <b/>
        <sz val="12"/>
        <color rgb="FF000000"/>
        <rFont val="돋움"/>
        <family val="3"/>
        <charset val="129"/>
      </rPr>
      <t>기</t>
    </r>
    <r>
      <rPr>
        <b/>
        <sz val="12"/>
        <color rgb="FF000000"/>
        <rFont val="HY중고딕"/>
        <family val="1"/>
        <charset val="129"/>
      </rPr>
      <t xml:space="preserve"> : </t>
    </r>
    <r>
      <rPr>
        <b/>
        <sz val="12"/>
        <color rgb="FF000000"/>
        <rFont val="돋움"/>
        <family val="3"/>
        <charset val="129"/>
      </rPr>
      <t>노랑</t>
    </r>
    <r>
      <rPr>
        <b/>
        <sz val="12"/>
        <color rgb="FF000000"/>
        <rFont val="HY중고딕"/>
        <family val="1"/>
        <charset val="129"/>
      </rPr>
      <t xml:space="preserve">, </t>
    </r>
    <r>
      <rPr>
        <b/>
        <sz val="12"/>
        <color rgb="FF000000"/>
        <rFont val="돋움"/>
        <family val="3"/>
        <charset val="129"/>
      </rPr>
      <t>일반</t>
    </r>
    <r>
      <rPr>
        <b/>
        <sz val="12"/>
        <color rgb="FF000000"/>
        <rFont val="HY중고딕"/>
        <family val="1"/>
        <charset val="129"/>
      </rPr>
      <t xml:space="preserve"> : </t>
    </r>
    <r>
      <rPr>
        <b/>
        <sz val="12"/>
        <color rgb="FF000000"/>
        <rFont val="돋움"/>
        <family val="3"/>
        <charset val="129"/>
      </rPr>
      <t>하늘</t>
    </r>
    <r>
      <rPr>
        <b/>
        <sz val="12"/>
        <color rgb="FF000000"/>
        <rFont val="HY중고딕"/>
        <family val="1"/>
        <charset val="129"/>
      </rPr>
      <t xml:space="preserve">, </t>
    </r>
    <r>
      <rPr>
        <b/>
        <sz val="12"/>
        <color rgb="FF000000"/>
        <rFont val="돋움"/>
        <family val="3"/>
        <charset val="129"/>
      </rPr>
      <t>초빙</t>
    </r>
    <r>
      <rPr>
        <b/>
        <sz val="12"/>
        <color rgb="FF000000"/>
        <rFont val="HY중고딕"/>
        <family val="1"/>
        <charset val="129"/>
      </rPr>
      <t xml:space="preserve"> : </t>
    </r>
    <r>
      <rPr>
        <b/>
        <sz val="12"/>
        <color rgb="FF000000"/>
        <rFont val="돋움"/>
        <family val="3"/>
        <charset val="129"/>
      </rPr>
      <t>분홍 
  비정기 : 흰색  색지인쇄</t>
    </r>
  </si>
  <si>
    <t>갑 구역 만기자 근무 년수 확인
(7조1항 해당자만 입력)</t>
  </si>
  <si>
    <t>경기도안산교육지원청 초등교육지원과</t>
  </si>
  <si>
    <t>010-1234-1234</t>
  </si>
  <si>
    <t>안산시 단원구 초지동</t>
  </si>
  <si>
    <t>근무기간
(제외기간)</t>
  </si>
  <si>
    <t>당해경력 30%</t>
  </si>
  <si>
    <t>현임교 6개월이상</t>
  </si>
  <si>
    <t>일반전보(현임교)</t>
  </si>
  <si>
    <t>2011년도 근무</t>
  </si>
  <si>
    <t>유치원 방과후 과정반</t>
  </si>
  <si>
    <t>2012년도 이후</t>
  </si>
  <si>
    <t>보건교사 과대학급</t>
  </si>
  <si>
    <t>가족 및 친인척</t>
  </si>
  <si>
    <t>가산년수 및 가산점</t>
  </si>
  <si>
    <t>우대 및 비정기 사항</t>
  </si>
  <si>
    <t>내신 특이 사항</t>
  </si>
  <si>
    <r>
      <t xml:space="preserve">☑ </t>
    </r>
    <r>
      <rPr>
        <sz val="8"/>
        <color rgb="FF000000"/>
        <rFont val="맑은 고딕"/>
        <family val="3"/>
        <charset val="129"/>
      </rPr>
      <t xml:space="preserve">나이스인사기록카드에 기재되어 있지 않은 사항에 대해서는 </t>
    </r>
    <r>
      <rPr>
        <b/>
        <u/>
        <sz val="8"/>
        <color rgb="FF000000"/>
        <rFont val="맑은 고딕"/>
        <family val="3"/>
        <charset val="129"/>
      </rPr>
      <t>별도의 증빙서 사본 제출(교감원본대조필)</t>
    </r>
  </si>
  <si>
    <t>※ 현임교    : 현재 학교에 근무한 실제 총 기간을 의미함 (예 : 4년이면 48개월)</t>
  </si>
  <si>
    <t>초등교사</t>
  </si>
  <si>
    <t>대부도(구역)</t>
  </si>
  <si>
    <t>대남초풍도분교</t>
  </si>
  <si>
    <t>교육연구사</t>
  </si>
  <si>
    <t>전보유형</t>
  </si>
  <si>
    <t>교육청명</t>
  </si>
  <si>
    <t>생활근거지</t>
  </si>
  <si>
    <t>전보희망지</t>
  </si>
  <si>
    <t>안산교육지원청</t>
  </si>
  <si>
    <t>주민등록번호</t>
  </si>
  <si>
    <t>내신 특이사항</t>
  </si>
  <si>
    <t>발령일자</t>
  </si>
  <si>
    <t>우대.특례사항</t>
  </si>
  <si>
    <t>통합
학급</t>
  </si>
  <si>
    <t>교과
전담</t>
  </si>
  <si>
    <t>6학년담임</t>
  </si>
  <si>
    <t>본인 휴대폰</t>
  </si>
  <si>
    <t>근무
년수</t>
  </si>
  <si>
    <t>방과후담당</t>
  </si>
  <si>
    <t>우대내용</t>
  </si>
  <si>
    <t>증빙서류</t>
  </si>
  <si>
    <t>만기전보</t>
  </si>
  <si>
    <t>일반전보</t>
  </si>
  <si>
    <t>교감휴대폰</t>
  </si>
  <si>
    <t>년 0.5점</t>
  </si>
  <si>
    <t>지역가산</t>
  </si>
  <si>
    <t>전전전임교</t>
  </si>
  <si>
    <t>개인휴대폰</t>
  </si>
  <si>
    <t>교무실전화</t>
  </si>
  <si>
    <t>(미기재)</t>
  </si>
  <si>
    <t>만기전보(년)</t>
  </si>
  <si>
    <t>구역만기</t>
  </si>
  <si>
    <t>증빙 서류</t>
  </si>
  <si>
    <t>참고 사항</t>
  </si>
  <si>
    <t>실근무년수</t>
  </si>
  <si>
    <t>희
망
교</t>
  </si>
  <si>
    <t>전전임교</t>
  </si>
  <si>
    <t>참고사항</t>
  </si>
  <si>
    <t>소지자격</t>
  </si>
  <si>
    <t>전보 유형</t>
  </si>
  <si>
    <t>제외기간</t>
  </si>
  <si>
    <t>전보년수</t>
  </si>
  <si>
    <t>갑구역만기자</t>
  </si>
  <si>
    <t>근무년수</t>
  </si>
  <si>
    <t>학교만기</t>
  </si>
  <si>
    <t>친인척교원</t>
  </si>
  <si>
    <t>인적
사항</t>
  </si>
  <si>
    <t>년 1개월</t>
  </si>
  <si>
    <t>안산양지초</t>
  </si>
  <si>
    <t>통합학급</t>
  </si>
  <si>
    <t>해당없음</t>
  </si>
  <si>
    <t>순회담당</t>
  </si>
  <si>
    <t>6학년담임교사</t>
  </si>
  <si>
    <t>안산부곡초</t>
  </si>
  <si>
    <t>방과후 담당</t>
  </si>
  <si>
    <t>년 3.0점</t>
  </si>
  <si>
    <t>근무년도</t>
  </si>
  <si>
    <t>안산광덕초</t>
  </si>
  <si>
    <t>안산대월초</t>
  </si>
  <si>
    <t>안산서초</t>
  </si>
  <si>
    <t>1년에 3월</t>
  </si>
  <si>
    <t>교과전담</t>
  </si>
  <si>
    <t>안산원곡초</t>
  </si>
  <si>
    <t>안산창촌초</t>
  </si>
  <si>
    <t>안산청석초</t>
  </si>
  <si>
    <t>안산해양초</t>
  </si>
  <si>
    <t>안산호원초</t>
  </si>
  <si>
    <t>특수재택학급</t>
  </si>
  <si>
    <t>세 자녀 이상</t>
  </si>
  <si>
    <t>43학급이상</t>
  </si>
  <si>
    <t>안산석수초</t>
  </si>
  <si>
    <t>안산중앙초</t>
  </si>
  <si>
    <t>안산진흥초</t>
  </si>
  <si>
    <t>안산화정초</t>
  </si>
  <si>
    <t>가산년수</t>
  </si>
  <si>
    <t>교육실습</t>
  </si>
  <si>
    <t>실습학교</t>
  </si>
  <si>
    <t>근무성적</t>
  </si>
  <si>
    <t>※ 당해경력 : 1년간 근무한 기간을 의미함(예:1년이면 12개월)</t>
  </si>
  <si>
    <t>나이</t>
  </si>
  <si>
    <t>발령일</t>
  </si>
  <si>
    <t>혁신</t>
  </si>
  <si>
    <t>일반</t>
  </si>
  <si>
    <t>고잔초</t>
  </si>
  <si>
    <t>나교장</t>
  </si>
  <si>
    <t/>
  </si>
  <si>
    <t>나교감</t>
  </si>
  <si>
    <t>교장</t>
  </si>
  <si>
    <t>준교사</t>
  </si>
  <si>
    <t>원장</t>
  </si>
  <si>
    <t>원감</t>
  </si>
  <si>
    <t>장학사</t>
  </si>
  <si>
    <t>교육장</t>
  </si>
  <si>
    <t>교감</t>
  </si>
  <si>
    <t>2희망</t>
  </si>
  <si>
    <t>3희망</t>
  </si>
  <si>
    <t>직위</t>
  </si>
  <si>
    <t>1희망</t>
  </si>
  <si>
    <t>성
별</t>
  </si>
  <si>
    <t>현임교</t>
  </si>
  <si>
    <t>지역</t>
  </si>
  <si>
    <t>성명</t>
  </si>
  <si>
    <t>표창</t>
  </si>
  <si>
    <t>확인자</t>
  </si>
  <si>
    <t>전보</t>
  </si>
  <si>
    <t>비고</t>
  </si>
  <si>
    <t>각골초</t>
  </si>
  <si>
    <t>남부</t>
  </si>
  <si>
    <t>구분</t>
  </si>
  <si>
    <t>초빙</t>
  </si>
  <si>
    <t>세자녀</t>
  </si>
  <si>
    <t>본인</t>
  </si>
  <si>
    <t>인</t>
  </si>
  <si>
    <t>성</t>
  </si>
  <si>
    <t>학교명</t>
  </si>
  <si>
    <t>급지</t>
  </si>
  <si>
    <t>계</t>
  </si>
  <si>
    <t>작</t>
  </si>
  <si>
    <t>학급수</t>
  </si>
  <si>
    <t>성 명</t>
  </si>
  <si>
    <t>희망</t>
  </si>
  <si>
    <t>연번</t>
  </si>
  <si>
    <t>전임교</t>
  </si>
  <si>
    <t>우대</t>
  </si>
  <si>
    <t>내 용</t>
  </si>
  <si>
    <t>비정기</t>
  </si>
  <si>
    <t>부장</t>
  </si>
  <si>
    <t>자</t>
  </si>
  <si>
    <t>확</t>
  </si>
  <si>
    <t>전임</t>
  </si>
  <si>
    <t>갑</t>
  </si>
  <si>
    <t>권역</t>
  </si>
  <si>
    <t>공단</t>
  </si>
  <si>
    <t>조 항</t>
  </si>
  <si>
    <t>별망초</t>
  </si>
  <si>
    <t>덕성초</t>
  </si>
  <si>
    <t>을</t>
  </si>
  <si>
    <t>삼일초</t>
  </si>
  <si>
    <t>내용</t>
  </si>
  <si>
    <t>서부</t>
  </si>
  <si>
    <t>선일초</t>
  </si>
  <si>
    <t>성안초</t>
  </si>
  <si>
    <t>성포초</t>
  </si>
  <si>
    <t>반월초</t>
  </si>
  <si>
    <t>송호초</t>
  </si>
  <si>
    <t>슬기초</t>
  </si>
  <si>
    <t>중부</t>
  </si>
  <si>
    <t>시곡초</t>
  </si>
  <si>
    <t>능길초</t>
  </si>
  <si>
    <t>석호초</t>
  </si>
  <si>
    <t>병가</t>
  </si>
  <si>
    <t>대남초</t>
  </si>
  <si>
    <t>선부초</t>
  </si>
  <si>
    <t>본원초</t>
  </si>
  <si>
    <t>병</t>
  </si>
  <si>
    <t>본오초</t>
  </si>
  <si>
    <t>덕인초</t>
  </si>
  <si>
    <t>상록초</t>
  </si>
  <si>
    <t>경일초</t>
  </si>
  <si>
    <t>대동초</t>
  </si>
  <si>
    <t>경수초</t>
  </si>
  <si>
    <t>대부초</t>
  </si>
  <si>
    <t>북부</t>
  </si>
  <si>
    <t>병라</t>
  </si>
  <si>
    <t>관산초</t>
  </si>
  <si>
    <t>매화초</t>
  </si>
  <si>
    <t>정재초</t>
  </si>
  <si>
    <t>정지초</t>
  </si>
  <si>
    <t>초당초</t>
  </si>
  <si>
    <t>시랑초</t>
  </si>
  <si>
    <t>초지초</t>
  </si>
  <si>
    <t>호동초</t>
  </si>
  <si>
    <t>학현초</t>
  </si>
  <si>
    <t>화랑초</t>
  </si>
  <si>
    <t>이호초</t>
  </si>
  <si>
    <t>팔곡초</t>
  </si>
  <si>
    <t>안산초</t>
  </si>
  <si>
    <t>신길초</t>
  </si>
  <si>
    <t>와동초</t>
  </si>
  <si>
    <t>원일초</t>
  </si>
  <si>
    <r>
      <t>(</t>
    </r>
    <r>
      <rPr>
        <sz val="12"/>
        <color rgb="FF000000"/>
        <rFont val="돋움"/>
        <family val="3"/>
        <charset val="129"/>
      </rPr>
      <t>미기재</t>
    </r>
    <r>
      <rPr>
        <sz val="12"/>
        <color rgb="FF000000"/>
        <rFont val="HY중고딕"/>
        <family val="1"/>
        <charset val="129"/>
      </rPr>
      <t>)</t>
    </r>
  </si>
  <si>
    <r>
      <t xml:space="preserve">☑ </t>
    </r>
    <r>
      <rPr>
        <sz val="8"/>
        <color rgb="FF000000"/>
        <rFont val="맑은 고딕"/>
        <family val="3"/>
        <charset val="129"/>
      </rPr>
      <t>방과후 가산점 대상자는 방과후부장과 중복 미인정</t>
    </r>
  </si>
  <si>
    <t>영재교육원 및 특수교육지원센터 2년 이상 파견 근무</t>
  </si>
  <si>
    <r>
      <t>☚</t>
    </r>
    <r>
      <rPr>
        <sz val="14"/>
        <color rgb="FF000000"/>
        <rFont val="HY중고딕"/>
        <family val="1"/>
        <charset val="129"/>
      </rPr>
      <t xml:space="preserve"> </t>
    </r>
    <r>
      <rPr>
        <sz val="14"/>
        <color rgb="FF000000"/>
        <rFont val="돋움"/>
        <family val="3"/>
        <charset val="129"/>
      </rPr>
      <t>전임교는 신설</t>
    </r>
    <r>
      <rPr>
        <sz val="14"/>
        <color rgb="FF000000"/>
        <rFont val="HY중고딕"/>
        <family val="1"/>
        <charset val="129"/>
      </rPr>
      <t xml:space="preserve">, </t>
    </r>
    <r>
      <rPr>
        <sz val="14"/>
        <color rgb="FF000000"/>
        <rFont val="돋움"/>
        <family val="3"/>
        <charset val="129"/>
      </rPr>
      <t>폐교</t>
    </r>
    <r>
      <rPr>
        <sz val="14"/>
        <color rgb="FF000000"/>
        <rFont val="HY중고딕"/>
        <family val="1"/>
        <charset val="129"/>
      </rPr>
      <t xml:space="preserve">, </t>
    </r>
    <r>
      <rPr>
        <sz val="14"/>
        <color rgb="FF000000"/>
        <rFont val="돋움"/>
        <family val="3"/>
        <charset val="129"/>
      </rPr>
      <t>학급감축 등으로 본인 의사와 반하여 전보된 경우만 입력</t>
    </r>
  </si>
  <si>
    <r>
      <t xml:space="preserve">☑ </t>
    </r>
    <r>
      <rPr>
        <sz val="8"/>
        <color rgb="FF000000"/>
        <rFont val="맑은 고딕"/>
        <family val="3"/>
        <charset val="129"/>
      </rPr>
      <t xml:space="preserve">위 항목에 제시되지 않은 제13조 전보우대 해당자는 </t>
    </r>
    <r>
      <rPr>
        <b/>
        <u/>
        <sz val="8"/>
        <color rgb="FF000000"/>
        <rFont val="맑은 고딕"/>
        <family val="3"/>
        <charset val="129"/>
      </rPr>
      <t>별도의 증빙서류 제출</t>
    </r>
  </si>
  <si>
    <r>
      <t xml:space="preserve">☑ </t>
    </r>
    <r>
      <rPr>
        <sz val="8"/>
        <color rgb="FF000000"/>
        <rFont val="맑은 고딕"/>
        <family val="3"/>
        <charset val="129"/>
      </rPr>
      <t xml:space="preserve">모든 가산점과 표창은 </t>
    </r>
    <r>
      <rPr>
        <b/>
        <u/>
        <sz val="8"/>
        <color rgb="FF000000"/>
        <rFont val="맑은 고딕"/>
        <family val="3"/>
        <charset val="129"/>
      </rPr>
      <t>현임교만 해당(유예 기간동안 받은 표창은 제외)</t>
    </r>
  </si>
  <si>
    <r>
      <rPr>
        <b/>
        <sz val="8"/>
        <color rgb="FF000000"/>
        <rFont val="맑은 고딕"/>
        <family val="3"/>
        <charset val="129"/>
      </rPr>
      <t>ⓛ</t>
    </r>
    <r>
      <rPr>
        <b/>
        <sz val="8"/>
        <color rgb="FF0000FF"/>
        <rFont val="맑은 고딕"/>
        <family val="3"/>
        <charset val="129"/>
      </rPr>
      <t xml:space="preserve"> </t>
    </r>
    <r>
      <rPr>
        <b/>
        <sz val="8"/>
        <color rgb="FF000000"/>
        <rFont val="맑은 고딕"/>
        <family val="3"/>
        <charset val="129"/>
      </rPr>
      <t xml:space="preserve">부 장
</t>
    </r>
    <r>
      <rPr>
        <b/>
        <sz val="7"/>
        <color rgb="FF0000FF"/>
        <rFont val="맑은 고딕"/>
        <family val="3"/>
        <charset val="129"/>
      </rPr>
      <t>지역승진가산점부여 대상이 
아닌 현임교 경력만해당
(2007이후에만해당)</t>
    </r>
  </si>
  <si>
    <r>
      <t xml:space="preserve">③ 교과전담교사
</t>
    </r>
    <r>
      <rPr>
        <b/>
        <sz val="8"/>
        <color rgb="FF0000FF"/>
        <rFont val="맑은 고딕"/>
        <family val="3"/>
        <charset val="129"/>
      </rPr>
      <t>(2014이후 체육전담 50%)
(2015이후 체육12시간이상)</t>
    </r>
  </si>
  <si>
    <r>
      <t xml:space="preserve">☑ </t>
    </r>
    <r>
      <rPr>
        <b/>
        <u/>
        <sz val="8"/>
        <color rgb="FF000000"/>
        <rFont val="맑은 고딕"/>
        <family val="3"/>
        <charset val="129"/>
      </rPr>
      <t>ⓛ②④⑥⑦ 사항은 일반전보,만기전보 모두 해당, ③⑤ 사항은 일반전보자만 해당</t>
    </r>
  </si>
  <si>
    <r>
      <t xml:space="preserve">⑥ 혁신학교
</t>
    </r>
    <r>
      <rPr>
        <b/>
        <sz val="8"/>
        <color rgb="FF0000CC"/>
        <rFont val="맑은 고딕"/>
        <family val="3"/>
        <charset val="129"/>
      </rPr>
      <t>(2017이전 3년 이상 100%)
(2017이후 1년 이상 50%)</t>
    </r>
  </si>
  <si>
    <r>
      <t xml:space="preserve">☑ </t>
    </r>
    <r>
      <rPr>
        <sz val="8"/>
        <color rgb="FF000000"/>
        <rFont val="맑은 고딕"/>
        <family val="3"/>
        <charset val="129"/>
      </rPr>
      <t xml:space="preserve">본인 날인, 학교 관리자(교장, 교감)는 </t>
    </r>
    <r>
      <rPr>
        <b/>
        <u/>
        <sz val="8"/>
        <color rgb="FF000000"/>
        <rFont val="맑은 고딕"/>
        <family val="3"/>
        <charset val="129"/>
      </rPr>
      <t>반드시 내용을 확인한 후 날인</t>
    </r>
    <r>
      <rPr>
        <sz val="8"/>
        <color rgb="FF000000"/>
        <rFont val="맑은 고딕"/>
        <family val="3"/>
        <charset val="129"/>
      </rPr>
      <t>하시기 바람</t>
    </r>
  </si>
  <si>
    <t>※ 현임교에서 휴직, 파견 등 경력이 끊어지는 경우에만 입력하고 제출
※ 구역만기자는 전임교 근무경력(구역만기까지)까지 모두 입력</t>
  </si>
  <si>
    <r>
      <rPr>
        <b/>
        <sz val="8"/>
        <color rgb="FF000000"/>
        <rFont val="맑은 고딕"/>
        <family val="3"/>
        <charset val="129"/>
      </rPr>
      <t>⑤</t>
    </r>
    <r>
      <rPr>
        <b/>
        <sz val="8"/>
        <color rgb="FF0000FF"/>
        <rFont val="맑은 고딕"/>
        <family val="3"/>
        <charset val="129"/>
      </rPr>
      <t xml:space="preserve"> </t>
    </r>
    <r>
      <rPr>
        <b/>
        <sz val="8"/>
        <color rgb="FF000000"/>
        <rFont val="맑은 고딕"/>
        <family val="3"/>
        <charset val="129"/>
      </rPr>
      <t xml:space="preserve">통합학급/순회학급
</t>
    </r>
    <r>
      <rPr>
        <b/>
        <sz val="7"/>
        <color rgb="FF0000FF"/>
        <rFont val="맑은 고딕"/>
        <family val="3"/>
        <charset val="129"/>
      </rPr>
      <t xml:space="preserve">(2010이후에만해당)
</t>
    </r>
    <r>
      <rPr>
        <b/>
        <sz val="8"/>
        <color rgb="FF000000"/>
        <rFont val="맑은 고딕"/>
        <family val="3"/>
        <charset val="129"/>
      </rPr>
      <t>특수재택</t>
    </r>
    <r>
      <rPr>
        <b/>
        <sz val="7"/>
        <color rgb="FF0000FF"/>
        <rFont val="맑은 고딕"/>
        <family val="3"/>
        <charset val="129"/>
      </rPr>
      <t>(2007 이후)</t>
    </r>
  </si>
  <si>
    <r>
      <t xml:space="preserve">⑨ 지역가산점
</t>
    </r>
    <r>
      <rPr>
        <b/>
        <sz val="8"/>
        <color rgb="FF0000FF"/>
        <rFont val="맑은 고딕"/>
        <family val="3"/>
        <charset val="129"/>
      </rPr>
      <t>(지역가산점이 다를경우에만
급지별로 직접 입력하기)</t>
    </r>
  </si>
  <si>
    <r>
      <t xml:space="preserve">☑ </t>
    </r>
    <r>
      <rPr>
        <b/>
        <u/>
        <sz val="8"/>
        <color rgb="FF000000"/>
        <rFont val="맑은 고딕"/>
        <family val="3"/>
        <charset val="129"/>
      </rPr>
      <t>ⓛ 사항은 지역승진가산점 부여대상이 아닌 학교 소속교원만 해당</t>
    </r>
  </si>
  <si>
    <r>
      <t xml:space="preserve">☑ </t>
    </r>
    <r>
      <rPr>
        <sz val="8"/>
        <color rgb="FF000000"/>
        <rFont val="맑은 고딕"/>
        <family val="3"/>
        <charset val="129"/>
      </rPr>
      <t>다자녀, 만 58세이상 고령교사는 주민등록등본 제출 바람</t>
    </r>
  </si>
  <si>
    <t>1. 콘텐츠사용 또는 매크로를 포함해서 파일을 열어야합니다.</t>
  </si>
  <si>
    <t>안산부곡초등학교을</t>
  </si>
  <si>
    <t>현임교 1년에 3월</t>
  </si>
  <si>
    <t>슬기초병설유치원갑</t>
  </si>
  <si>
    <t>시랑초병설유치원</t>
  </si>
  <si>
    <t>안산진흥초등학교갑</t>
  </si>
  <si>
    <t>당해경력 50%</t>
  </si>
  <si>
    <t>2017이전만기</t>
  </si>
  <si>
    <t>현임교 근무년수</t>
  </si>
  <si>
    <t>※ 경기도교육청</t>
  </si>
  <si>
    <t>현임교
근무기간</t>
  </si>
  <si>
    <t>안산중앙초등학교갑</t>
  </si>
  <si>
    <t>선일초병설유치원</t>
  </si>
  <si>
    <t>대동초병설유치원</t>
  </si>
  <si>
    <t>매화초병설유치원</t>
  </si>
  <si>
    <t>안산광덕초등학교을</t>
  </si>
  <si>
    <t>2017년도 이전</t>
  </si>
  <si>
    <t>능길초병설유치원</t>
  </si>
  <si>
    <t>학현초병설유치원갑</t>
  </si>
  <si>
    <t>반월초병설유치원을</t>
  </si>
  <si>
    <t>본오초병설유치원갑</t>
  </si>
  <si>
    <t>대부초병설유치원</t>
  </si>
  <si>
    <t>경수초병설유치원갑</t>
  </si>
  <si>
    <t>석호초병설유치원갑</t>
  </si>
  <si>
    <t>대남초병설유치원을</t>
  </si>
  <si>
    <t>석호초병설유치원</t>
  </si>
  <si>
    <t>안산창촌초등학교을</t>
  </si>
  <si>
    <t>안산원곡초등학교갑</t>
  </si>
  <si>
    <t>현임교 년 3.0점</t>
  </si>
  <si>
    <t>대남초풍도분교장</t>
  </si>
  <si>
    <t>고잔초병설유치원</t>
  </si>
  <si>
    <t>능길초병설유치원을</t>
  </si>
  <si>
    <t>현임교 년 0.5점</t>
  </si>
  <si>
    <t>안산양지초병설유치원</t>
  </si>
  <si>
    <t>안산대월초등학교을</t>
  </si>
  <si>
    <t>팔곡초병설유치원</t>
  </si>
  <si>
    <t>세자녀,
영유아</t>
  </si>
  <si>
    <t>안산창촌초병설유치원</t>
  </si>
  <si>
    <t>가산년수 또는 가산점</t>
  </si>
  <si>
    <t>덕성초병설유치원</t>
  </si>
  <si>
    <t>유치원(특수) 2정</t>
  </si>
  <si>
    <t xml:space="preserve"> 2. 경력 평정</t>
  </si>
  <si>
    <t>현임교 1년에 2월</t>
  </si>
  <si>
    <t>안산대월초등학교갑</t>
  </si>
  <si>
    <t>만기(급지변경후)</t>
  </si>
  <si>
    <t>일반(급지변경전)</t>
  </si>
  <si>
    <t xml:space="preserve"> 1. 조사 대상자</t>
  </si>
  <si>
    <t>유치원(특수) 1정</t>
  </si>
  <si>
    <t>관산초병설유치원갑</t>
  </si>
  <si>
    <t>대남초병설유치원</t>
  </si>
  <si>
    <t>안산서초병설유치원</t>
  </si>
  <si>
    <t>안산화정초병설유치원을</t>
  </si>
  <si>
    <t>대부초병설유치원을</t>
  </si>
  <si>
    <t>안산광덕초병설유치원을</t>
  </si>
  <si>
    <t>안산서초병설유치원을</t>
  </si>
  <si>
    <t>지역가산점 받는 갑지</t>
  </si>
  <si>
    <t>고잔초병설유치원갑</t>
  </si>
  <si>
    <t>지역가산점 없는 을지</t>
  </si>
  <si>
    <t>안산청석초등학교갑</t>
  </si>
  <si>
    <t>정지초병설유치원을</t>
  </si>
  <si>
    <t>안산대월초병설유치원갑</t>
  </si>
  <si>
    <t>안산양지초등학교갑</t>
  </si>
  <si>
    <t>안산창촌초등학교갑</t>
  </si>
  <si>
    <t>6개월이상 1년미만</t>
  </si>
  <si>
    <t>[입력 오류 확인]</t>
  </si>
  <si>
    <t>대동초병설유치원을</t>
  </si>
  <si>
    <t>정지초병설유치원갑</t>
  </si>
  <si>
    <t>안산원곡초_변경</t>
  </si>
  <si>
    <t>안산대월초_변경</t>
  </si>
  <si>
    <t>안산석수초병설유치원을</t>
  </si>
  <si>
    <t>신길초병설유치원갑</t>
  </si>
  <si>
    <t>성안초병설유치원갑</t>
  </si>
  <si>
    <t>안산진흥초병설유치원갑</t>
  </si>
  <si>
    <t>안산양지초병설유치원갑</t>
  </si>
  <si>
    <t>호동초병설유치원갑</t>
  </si>
  <si>
    <t>2018년도 이후</t>
  </si>
  <si>
    <t>2017이후만기</t>
  </si>
  <si>
    <t>지역가산점 받는 을지</t>
  </si>
  <si>
    <t>안산창촌초_변경</t>
  </si>
  <si>
    <t>각골초병설유치원갑</t>
  </si>
  <si>
    <t>총리이상(우대증빙용)</t>
  </si>
  <si>
    <t>이호초병설유치원을</t>
  </si>
  <si>
    <t>안산진흥초병설유치원</t>
  </si>
  <si>
    <t>소      속</t>
  </si>
  <si>
    <t>일반(급지변경후)</t>
  </si>
  <si>
    <t>반월초병설유치원갑</t>
  </si>
  <si>
    <t>1969.01.01</t>
  </si>
  <si>
    <t>안산서초등학교을</t>
  </si>
  <si>
    <t>관내 전보 경력증명용</t>
  </si>
  <si>
    <t>호동초병설유치원</t>
  </si>
  <si>
    <t>본오초병설유치원</t>
  </si>
  <si>
    <t>안산원곡유치원갑</t>
  </si>
  <si>
    <t>지역가산점 없는 갑지</t>
  </si>
  <si>
    <t>원일초병설유치원갑</t>
  </si>
  <si>
    <t>2. 작성 방법</t>
  </si>
  <si>
    <t>현임교 년1.0점</t>
  </si>
  <si>
    <t>⑤ 서류 확인자</t>
  </si>
  <si>
    <t>원일초병설유치원</t>
  </si>
  <si>
    <t>총 가산년수(가산점)</t>
  </si>
  <si>
    <t>반월초병설유치원</t>
  </si>
  <si>
    <t>덕성초병설유치원갑</t>
  </si>
  <si>
    <t>2017이후일반</t>
  </si>
  <si>
    <t>성안초병설유치원</t>
  </si>
  <si>
    <t>와동초병설유치원</t>
  </si>
  <si>
    <t>안산광덕초병설유치원</t>
  </si>
  <si>
    <t>현 소 속 학 교</t>
  </si>
  <si>
    <t>2017이전일반</t>
  </si>
  <si>
    <t>경수초병설유치원</t>
  </si>
  <si>
    <t>안산창촌초병설유치원갑</t>
  </si>
  <si>
    <t>2017년도 이후</t>
  </si>
  <si>
    <t>선일초병설유치원을</t>
  </si>
  <si>
    <t>관산초병설유치원</t>
  </si>
  <si>
    <t>안산화정초등학교을</t>
  </si>
  <si>
    <t>별망초병설유치원</t>
  </si>
  <si>
    <t>안산초병설유치원</t>
  </si>
  <si>
    <t>안산원곡초등학교을</t>
  </si>
  <si>
    <t>경기도안산교육지원청</t>
  </si>
  <si>
    <t>안산석수초등학교을</t>
  </si>
  <si>
    <t>신길초병설유치원</t>
  </si>
  <si>
    <t>안산호원초등학교갑</t>
  </si>
  <si>
    <t>안산초병설유치원을</t>
  </si>
  <si>
    <t>안산화정초병설유치원</t>
  </si>
  <si>
    <t>현임교 1년에 1월</t>
  </si>
  <si>
    <t>안산대월초병설유치원</t>
  </si>
  <si>
    <t>송호초병설유치원갑</t>
  </si>
  <si>
    <t>팔곡초병설유치원갑</t>
  </si>
  <si>
    <t>석호초병설유치원을</t>
  </si>
  <si>
    <t>근무
년수
(A)</t>
  </si>
  <si>
    <t>송호초병설유치원</t>
  </si>
  <si>
    <t>안산원곡유치원을</t>
  </si>
  <si>
    <t>초지초병설유치원갑</t>
  </si>
  <si>
    <t>가산년수
(B)</t>
  </si>
  <si>
    <t>학현초병설유치원</t>
  </si>
  <si>
    <t>안산해양초등학교갑</t>
  </si>
  <si>
    <t>기간 계(○년○개월)</t>
  </si>
  <si>
    <t>매화초병설유치원갑</t>
  </si>
  <si>
    <t>이호초병설유치원</t>
  </si>
  <si>
    <t>만기(급지변경전)</t>
  </si>
  <si>
    <t>슬기초병설유치원</t>
  </si>
  <si>
    <t>와동초병설유치원을</t>
  </si>
  <si>
    <t>각골초병설유치원</t>
  </si>
  <si>
    <t>초지초병설유치원</t>
  </si>
  <si>
    <t>별망초병설유치원갑</t>
  </si>
  <si>
    <t>신길초병설유치원을</t>
  </si>
  <si>
    <t>안산석수초병설유치원</t>
  </si>
  <si>
    <t>안산대월초병설유치원을</t>
  </si>
  <si>
    <t>원일초병설유치원을</t>
  </si>
  <si>
    <t>시랑초병설유치원을</t>
  </si>
  <si>
    <t>정지초병설유치원</t>
  </si>
  <si>
    <t>대동초등학교병</t>
  </si>
  <si>
    <t>팔곡초_변경</t>
  </si>
  <si>
    <t>대남초등학교병</t>
  </si>
  <si>
    <t>시랑초등학교을</t>
  </si>
  <si>
    <t>정지초등학교을</t>
  </si>
  <si>
    <t>대부도 지역</t>
  </si>
  <si>
    <t>근무경력</t>
  </si>
  <si>
    <t>신길초등학교갑</t>
  </si>
  <si>
    <t>초등교감</t>
  </si>
  <si>
    <t>초등교장</t>
  </si>
  <si>
    <t>원일초등학교을</t>
  </si>
  <si>
    <t>과학 전담</t>
  </si>
  <si>
    <t>이호초등학교을</t>
  </si>
  <si>
    <t>교육실습학교</t>
  </si>
  <si>
    <t>성안초등학교갑</t>
  </si>
  <si>
    <t>유치원교사</t>
  </si>
  <si>
    <t>세자녀
영유아</t>
  </si>
  <si>
    <t>반월초등학교을</t>
  </si>
  <si>
    <t>팔곡초등학교갑</t>
  </si>
  <si>
    <t>우대조항</t>
  </si>
  <si>
    <t>학 교 명</t>
  </si>
  <si>
    <t>교사 경력</t>
  </si>
  <si>
    <t>유치원특수교사</t>
  </si>
  <si>
    <t>영양교사</t>
  </si>
  <si>
    <t>학현초등학교갑</t>
  </si>
  <si>
    <t>2017이전</t>
  </si>
  <si>
    <t>본인휴대전화</t>
  </si>
  <si>
    <t>구    분</t>
  </si>
  <si>
    <t>각골초등학교갑</t>
  </si>
  <si>
    <t>송호초등학교갑</t>
  </si>
  <si>
    <t>특수교사</t>
  </si>
  <si>
    <t>구
분</t>
  </si>
  <si>
    <t>특수교감</t>
  </si>
  <si>
    <t>급지변경</t>
  </si>
  <si>
    <t>신길초_변경</t>
  </si>
  <si>
    <t>혁신학교</t>
  </si>
  <si>
    <t>한들유치원</t>
  </si>
  <si>
    <t>영어 전담</t>
  </si>
  <si>
    <t>유치원2정</t>
  </si>
  <si>
    <t>석호초_변경</t>
  </si>
  <si>
    <t>현재급지</t>
  </si>
  <si>
    <t>안산초등학교을</t>
  </si>
  <si>
    <t>희망학교</t>
  </si>
  <si>
    <t>근무성적평정</t>
  </si>
  <si>
    <t>한들유치원갑</t>
  </si>
  <si>
    <t>유치원감</t>
  </si>
  <si>
    <t>반월초_변경</t>
  </si>
  <si>
    <t>석호초등학교갑</t>
  </si>
  <si>
    <t>정재초등학교을</t>
  </si>
  <si>
    <t>대부초등학교을</t>
  </si>
  <si>
    <t>유치원1정</t>
  </si>
  <si>
    <t>특수1정</t>
  </si>
  <si>
    <t>정지초등학교갑</t>
  </si>
  <si>
    <t>덕인초등학교을</t>
  </si>
  <si>
    <t>소  계</t>
  </si>
  <si>
    <t>호동초등학교갑</t>
  </si>
  <si>
    <t>확 인 자</t>
  </si>
  <si>
    <t>초등2정</t>
  </si>
  <si>
    <t>정지초_변경</t>
  </si>
  <si>
    <t>관산초등학교갑</t>
  </si>
  <si>
    <t>초지초등학교갑</t>
  </si>
  <si>
    <t>혁신가산</t>
  </si>
  <si>
    <t>대동초등학교을</t>
  </si>
  <si>
    <t>대남초등학교을</t>
  </si>
  <si>
    <t>환산년수</t>
  </si>
  <si>
    <t>와동초등학교을</t>
  </si>
  <si>
    <t>보건교사</t>
  </si>
  <si>
    <t>수석교사</t>
  </si>
  <si>
    <t>원일초_변경</t>
  </si>
  <si>
    <t>초등1정</t>
  </si>
  <si>
    <t>대동초_변경</t>
  </si>
  <si>
    <t>대부초_변경</t>
  </si>
  <si>
    <t>초당초등학교갑</t>
  </si>
  <si>
    <t>슬기초등학교갑</t>
  </si>
  <si>
    <t>영양1급</t>
  </si>
  <si>
    <t>생년월일</t>
  </si>
  <si>
    <t>전문상담교사</t>
  </si>
  <si>
    <t>화랑초등학교갑</t>
  </si>
  <si>
    <t>현임교발령일자</t>
  </si>
  <si>
    <t>조 사 자</t>
  </si>
  <si>
    <t>대부초등학교병</t>
  </si>
  <si>
    <t>경일초등학교갑</t>
  </si>
  <si>
    <t>체육교과전담</t>
  </si>
  <si>
    <t>교감 경력</t>
  </si>
  <si>
    <t>근무 기관</t>
  </si>
  <si>
    <t>다자녀/영유아</t>
  </si>
  <si>
    <t>임용전 경력</t>
  </si>
  <si>
    <t>특수2정</t>
  </si>
  <si>
    <t>교육 총경력</t>
  </si>
  <si>
    <t>[작업 순서]</t>
  </si>
  <si>
    <t>신길초등학교을</t>
  </si>
  <si>
    <t>교 무 실</t>
  </si>
  <si>
    <t>급지변경기준일</t>
  </si>
  <si>
    <t>사서1급</t>
  </si>
  <si>
    <t>보건1급</t>
  </si>
  <si>
    <t>2017이후</t>
  </si>
  <si>
    <t>영양2급</t>
  </si>
  <si>
    <t>선부초등학교갑</t>
  </si>
  <si>
    <t>부장경력 가산</t>
  </si>
  <si>
    <t>전문직 경력</t>
  </si>
  <si>
    <t>부장교사</t>
  </si>
  <si>
    <t>상록초등학교갑</t>
  </si>
  <si>
    <t>사서2급</t>
  </si>
  <si>
    <t>대남초_변경</t>
  </si>
  <si>
    <t>특수교장</t>
  </si>
  <si>
    <t>교장 경력</t>
  </si>
  <si>
    <t>시곡초등학교갑</t>
  </si>
  <si>
    <t>사서교사</t>
  </si>
  <si>
    <t>덕성초등학교갑</t>
  </si>
  <si>
    <t>선일초등학교을</t>
  </si>
  <si>
    <t>고잔초등학교갑</t>
  </si>
  <si>
    <t>유치원장</t>
  </si>
  <si>
    <t>경력증명내용</t>
  </si>
  <si>
    <t>석호초등학교을</t>
  </si>
  <si>
    <t>근무 경력</t>
  </si>
  <si>
    <t>능길초등학교을</t>
  </si>
  <si>
    <t>반월초등학교갑</t>
  </si>
  <si>
    <t>안산원곡유치원</t>
  </si>
  <si>
    <t>[가산점]</t>
  </si>
  <si>
    <t>본오초등학교갑</t>
  </si>
  <si>
    <t>년 1월</t>
  </si>
  <si>
    <t>별망초등학교갑</t>
  </si>
  <si>
    <t xml:space="preserve">인적 사항 </t>
  </si>
  <si>
    <t>※ 기  타</t>
  </si>
  <si>
    <t>본원초등학교갑</t>
  </si>
  <si>
    <t>재직 기간</t>
  </si>
  <si>
    <t>원일초등학교갑</t>
  </si>
  <si>
    <t>인쇄 용지</t>
  </si>
  <si>
    <t>지역급지</t>
  </si>
  <si>
    <t>매화초등학교갑</t>
  </si>
  <si>
    <t>성포초등학교갑</t>
  </si>
  <si>
    <t>팔곡초등학교을</t>
  </si>
  <si>
    <t>보건2급</t>
  </si>
  <si>
    <t>※ 직속기관</t>
  </si>
  <si>
    <t>직  위</t>
  </si>
  <si>
    <t>소속기관</t>
  </si>
  <si>
    <t>삼일초등학교갑</t>
  </si>
  <si>
    <t>경수초등학교갑</t>
  </si>
  <si>
    <t>1. 개별기초자료 흰색셀에
    내용을 입력한다.
  ① ② ⑤ 는 모두 입력 
  ④ ⑥ 은 해당자만 입력
  ⑦ 은 해당사항만 입력
  ⑧ 은 관내 친인척교원 입력
  ⑨ 는 승진, 갑만기 유예 등
2. 노란색부분은 통합경력
    증명에 내용을 입력하면      
    자동으로 값이 갱신된다.
3. 기초자료와 통합경력
    증명을 모두 기록하였으면 
    전보내신카드와 통합경력
    증명서를 확인한다.
4. 제출 파일 생성하기 클릭
5. 파일과 출력물을 
    교감선생님께 제출한다.</t>
  </si>
  <si>
    <r>
      <t xml:space="preserve">☑ </t>
    </r>
    <r>
      <rPr>
        <b/>
        <u/>
        <sz val="8"/>
        <color rgb="FF000000"/>
        <rFont val="맑은 고딕"/>
        <family val="3"/>
        <charset val="129"/>
      </rPr>
      <t>ⓛ 사항은 현임교 1년 단위 인정, ②③④⑤ 사항은 당해년도 6월 이상부터 해당 (단, ② 사항은 2011학년도는 1년미만 불인정, )</t>
    </r>
  </si>
  <si>
    <t>************** 아래의 사항을 반드시 확인하시고 작성 제출하시기 바랍니다 **************</t>
  </si>
  <si>
    <t>사 유</t>
  </si>
  <si>
    <t>소 계</t>
  </si>
  <si>
    <t>가산계</t>
  </si>
  <si>
    <t>장 관</t>
  </si>
  <si>
    <t>교육감</t>
  </si>
  <si>
    <t>장관</t>
  </si>
  <si>
    <t>(인)</t>
  </si>
  <si>
    <t>나교사</t>
  </si>
  <si>
    <t>소속교</t>
  </si>
  <si>
    <t>용도</t>
  </si>
  <si>
    <t>환산율</t>
  </si>
  <si>
    <t>연락처</t>
  </si>
  <si>
    <t>부터</t>
  </si>
  <si>
    <t>희망교</t>
  </si>
  <si>
    <t>영유아</t>
  </si>
  <si>
    <t>전임지</t>
  </si>
  <si>
    <t>확인</t>
  </si>
  <si>
    <t>까지</t>
  </si>
  <si>
    <t>관내 전보 프로그램 (개인용 )</t>
  </si>
  <si>
    <t>지정 후 현임교 근무년수 50%</t>
  </si>
  <si>
    <t>도직속기관 2년 이상 파견 근무</t>
  </si>
  <si>
    <t>현임교 6개월이상 1년미만 2월</t>
  </si>
  <si>
    <t>제13조 1항 4호 (총리이상표창)</t>
  </si>
  <si>
    <t xml:space="preserve"> 일반 전보 : 하늘색 A4 용지</t>
  </si>
  <si>
    <t>☞ 교육실습학교 담당자만 기재</t>
  </si>
  <si>
    <t>☞담임 학급을 기재(6학년○반)</t>
  </si>
  <si>
    <t>현임교 6개월이상 1년미만 2.0점</t>
  </si>
  <si>
    <t xml:space="preserve"> 만기 전보 : 노란색 A4 용지</t>
  </si>
  <si>
    <t>☞ 혁신학교 지정후 기간만 기재</t>
  </si>
  <si>
    <t>2017학년부터 직접 지도한 교사</t>
  </si>
  <si>
    <t>자 관내전보 내신자 기초자료 입력</t>
  </si>
  <si>
    <t>통합경력증명서1, 교육경력조서1</t>
  </si>
  <si>
    <t xml:space="preserve"> 초빙 전보 : 분홍색 A4 용지</t>
  </si>
  <si>
    <t>제13조 1항 5호 (심신장애보호)</t>
  </si>
  <si>
    <t>전국규모 체육대회 동메달이상 입상</t>
  </si>
  <si>
    <t xml:space="preserve"> 3. 조사자 ㆍ 확인자 성명</t>
  </si>
  <si>
    <r>
      <rPr>
        <b/>
        <sz val="8"/>
        <color rgb="FF000000"/>
        <rFont val="맑은 고딕"/>
        <family val="3"/>
        <charset val="129"/>
      </rPr>
      <t>⑦</t>
    </r>
    <r>
      <rPr>
        <b/>
        <sz val="8"/>
        <color rgb="FF0000FF"/>
        <rFont val="맑은 고딕"/>
        <family val="3"/>
        <charset val="129"/>
      </rPr>
      <t xml:space="preserve"> </t>
    </r>
    <r>
      <rPr>
        <b/>
        <sz val="8"/>
        <color rgb="FF000000"/>
        <rFont val="맑은 고딕"/>
        <family val="3"/>
        <charset val="129"/>
      </rPr>
      <t xml:space="preserve">표 창
</t>
    </r>
    <r>
      <rPr>
        <b/>
        <sz val="8"/>
        <color rgb="FF0000FF"/>
        <rFont val="맑은 고딕"/>
        <family val="3"/>
        <charset val="129"/>
      </rPr>
      <t>(해당칸에 숫자 기재)</t>
    </r>
  </si>
  <si>
    <r>
      <t xml:space="preserve">⑥ 교육실습학교
</t>
    </r>
    <r>
      <rPr>
        <b/>
        <sz val="8"/>
        <color rgb="FF0000CC"/>
        <rFont val="맑은 고딕"/>
        <family val="3"/>
        <charset val="129"/>
      </rPr>
      <t>(2017 이후)</t>
    </r>
  </si>
  <si>
    <r>
      <t>0</t>
    </r>
    <r>
      <rPr>
        <sz val="11"/>
        <color rgb="FF000000"/>
        <rFont val="돋움"/>
        <family val="3"/>
        <charset val="129"/>
      </rPr>
      <t>31-000-0000</t>
    </r>
  </si>
  <si>
    <r>
      <t>0</t>
    </r>
    <r>
      <rPr>
        <sz val="11"/>
        <color rgb="FF000000"/>
        <rFont val="돋움"/>
        <family val="3"/>
        <charset val="129"/>
      </rPr>
      <t>10-0000-0000</t>
    </r>
  </si>
  <si>
    <t>(23) 안성교육지원청</t>
  </si>
  <si>
    <t>(15) 파주교육지원청</t>
  </si>
  <si>
    <t>(16) 광주하남교육지원청</t>
  </si>
  <si>
    <t>성   명 (사인 또는 인)</t>
  </si>
  <si>
    <t>☞학급 기재(○학년○반)</t>
  </si>
  <si>
    <t>만기 2점(일반 2개월)</t>
  </si>
  <si>
    <t>심신장애(장애 1,2급)보호</t>
  </si>
  <si>
    <t>(25) 시흥교육지원청</t>
  </si>
  <si>
    <t xml:space="preserve">      ⑨ 참고 사항</t>
  </si>
  <si>
    <t>현임교 실제근무 50%</t>
  </si>
  <si>
    <t>(01) 수원교육지원청</t>
  </si>
  <si>
    <t>보건(사서)교사 과대학급</t>
  </si>
  <si>
    <t>연구, 시범학교 유공 교원</t>
  </si>
  <si>
    <t>(11) 고양교육지원청</t>
  </si>
  <si>
    <t>(18) 포천교육지원청</t>
  </si>
  <si>
    <t>대남초풍도분교병설유치원병</t>
  </si>
  <si>
    <t>(20) 양평교육지원청</t>
  </si>
  <si>
    <t>(12) 구리남양주교육지원청</t>
  </si>
  <si>
    <t>(02) 성남교육지원청</t>
  </si>
  <si>
    <t xml:space="preserve">      ⑦ 증빙 서류</t>
  </si>
  <si>
    <t>개인별 관내전보 내신카드</t>
  </si>
  <si>
    <t>(04) 안양과천교육지원청</t>
  </si>
  <si>
    <t>(21) 이천교육지원청</t>
  </si>
  <si>
    <t>교육 경력 조서 (초등)</t>
  </si>
  <si>
    <t>(14) 화성교육지원청</t>
  </si>
  <si>
    <t>관내전보 통합경력증명서</t>
  </si>
  <si>
    <t>① 평정대상자 인적사항</t>
  </si>
  <si>
    <t>(19) 가평교육지원청</t>
  </si>
  <si>
    <t>(07) 동두천양주교육지원청</t>
  </si>
  <si>
    <t>(13) 여주교육지원청</t>
  </si>
  <si>
    <t>직           위</t>
  </si>
  <si>
    <t>대남초등학교 풍도분교병</t>
  </si>
  <si>
    <t>(17) 연천교육지원청</t>
  </si>
  <si>
    <t>(22) 용인교육지원청</t>
  </si>
  <si>
    <t>까지(0000-00-00)</t>
  </si>
  <si>
    <t>경력기간
(○년○개월)</t>
  </si>
  <si>
    <t>(10) 군포의왕교육지원청</t>
  </si>
  <si>
    <t>(03) 의정부교육지원청</t>
  </si>
  <si>
    <t>(24) 김포교육지원청</t>
  </si>
  <si>
    <t>(06) 광명교육지원청</t>
  </si>
  <si>
    <t xml:space="preserve">      ⑧ 친인척교원</t>
  </si>
  <si>
    <t>전보년수
(A)+(B)</t>
  </si>
  <si>
    <t>만기 3점(일반 3개월)</t>
  </si>
  <si>
    <t>세 자녀 이상, 영유아</t>
  </si>
  <si>
    <t>부터(0000-00-00)</t>
  </si>
  <si>
    <t>(08) 안산교육지원청</t>
  </si>
  <si>
    <t>(05) 부천교육지원청</t>
  </si>
  <si>
    <t>성           명</t>
  </si>
  <si>
    <t>(0000-00-00)</t>
  </si>
  <si>
    <t>대남초풍도분교병설유치원</t>
  </si>
  <si>
    <t>만기 1점(일반 1개월)</t>
  </si>
  <si>
    <t>(09) 평택교육지원청</t>
  </si>
  <si>
    <t>경기교육대상, 총리이상 표창</t>
  </si>
  <si>
    <t>경력인정 당해 근무기간</t>
  </si>
  <si>
    <r>
      <t xml:space="preserve">현임교 실제근무 </t>
    </r>
    <r>
      <rPr>
        <sz val="11"/>
        <color rgb="FF000000"/>
        <rFont val="돋움"/>
        <family val="3"/>
        <charset val="129"/>
      </rPr>
      <t>50%</t>
    </r>
  </si>
  <si>
    <t>제13조 1항 1호 (만 58세 이상 고령교사)</t>
  </si>
  <si>
    <t>제13조 2항      (전국규모체육대회 입상)</t>
  </si>
  <si>
    <r>
      <rPr>
        <b/>
        <sz val="8"/>
        <color rgb="FF000000"/>
        <rFont val="맑은 고딕"/>
        <family val="3"/>
        <charset val="129"/>
      </rPr>
      <t>④</t>
    </r>
    <r>
      <rPr>
        <b/>
        <sz val="8"/>
        <color rgb="FF0000FF"/>
        <rFont val="맑은 고딕"/>
        <family val="3"/>
        <charset val="129"/>
      </rPr>
      <t xml:space="preserve"> </t>
    </r>
    <r>
      <rPr>
        <b/>
        <sz val="8"/>
        <color rgb="FF000000"/>
        <rFont val="맑은 고딕"/>
        <family val="3"/>
        <charset val="129"/>
      </rPr>
      <t xml:space="preserve">방과후학교
업무담당교사
</t>
    </r>
    <r>
      <rPr>
        <b/>
        <sz val="7"/>
        <color rgb="FF0000FF"/>
        <rFont val="맑은 고딕"/>
        <family val="3"/>
        <charset val="129"/>
      </rPr>
      <t>(2007이후에만해당)</t>
    </r>
  </si>
  <si>
    <r>
      <rPr>
        <b/>
        <sz val="8"/>
        <color rgb="FF000000"/>
        <rFont val="맑은 고딕"/>
        <family val="3"/>
        <charset val="129"/>
      </rPr>
      <t>⑧</t>
    </r>
    <r>
      <rPr>
        <b/>
        <sz val="8"/>
        <color rgb="FF0000FF"/>
        <rFont val="맑은 고딕"/>
        <family val="3"/>
        <charset val="129"/>
      </rPr>
      <t xml:space="preserve"> 세</t>
    </r>
    <r>
      <rPr>
        <b/>
        <sz val="8"/>
        <color rgb="FF000000"/>
        <rFont val="맑은 고딕"/>
        <family val="3"/>
        <charset val="129"/>
      </rPr>
      <t xml:space="preserve">자녀이상/2명의 영유아
</t>
    </r>
    <r>
      <rPr>
        <b/>
        <sz val="8"/>
        <color rgb="FF0000FF"/>
        <rFont val="맑은 고딕"/>
        <family val="3"/>
        <charset val="129"/>
      </rPr>
      <t>(주민등록등본 제출)</t>
    </r>
  </si>
  <si>
    <r>
      <t>O</t>
    </r>
    <r>
      <rPr>
        <sz val="11"/>
        <color rgb="FF000000"/>
        <rFont val="돋움"/>
        <family val="3"/>
        <charset val="129"/>
      </rPr>
      <t>O초 교사 OOO, OO초 교육공무직원 OOO</t>
    </r>
  </si>
  <si>
    <r>
      <t>유예1년</t>
    </r>
    <r>
      <rPr>
        <sz val="11"/>
        <color rgb="FF000000"/>
        <rFont val="돋움"/>
        <family val="3"/>
        <charset val="129"/>
      </rPr>
      <t>, 2018.3.1.자 OO초 초빙교사</t>
    </r>
  </si>
  <si>
    <r>
      <t xml:space="preserve">만 58세 이상 고령교사
</t>
    </r>
    <r>
      <rPr>
        <b/>
        <sz val="8"/>
        <color rgb="FF0000FF"/>
        <rFont val="맑은 고딕"/>
        <family val="3"/>
        <charset val="129"/>
      </rPr>
      <t>(해당자는 자동 표시됨)</t>
    </r>
  </si>
  <si>
    <r>
      <t xml:space="preserve">전보년수 제외경력
</t>
    </r>
    <r>
      <rPr>
        <b/>
        <sz val="8"/>
        <color rgb="FF0000FF"/>
        <rFont val="맑은 고딕"/>
        <family val="3"/>
        <charset val="129"/>
      </rPr>
      <t>(현임교 유예,휴직,파견 등)</t>
    </r>
  </si>
  <si>
    <t xml:space="preserve">    위와 같이 경력을 증명합니다.</t>
  </si>
  <si>
    <t>대부도현임교에서 학교만기로 근무한 교사</t>
  </si>
  <si>
    <t>정기전보일 현재 만 58세 이상의 고령교사</t>
  </si>
  <si>
    <t>제13조 1항 2호 (연구학교 유공)</t>
  </si>
  <si>
    <t>제13조 1항 3호 (영재교육원파견)</t>
  </si>
  <si>
    <t>③ 가산년수(점수) : 통합경력증명서 반영</t>
  </si>
  <si>
    <t>지정 후 3년 이상 근무한 기간100%</t>
  </si>
  <si>
    <t>제13조 전보우대사항
(주민등록등본 제출)</t>
  </si>
  <si>
    <t xml:space="preserve"> 비  정  기 : 하얀색 A4 용지</t>
  </si>
  <si>
    <t>제13조 1항 9호 (대부도 학교만기)</t>
  </si>
  <si>
    <t>제13조 1항 8호 (도직속기관파견)</t>
  </si>
  <si>
    <t>☞ 방과후 담당교사(부장과 중복입력 금지)</t>
  </si>
  <si>
    <t>문의처 : 학교별 인사담당 교감 선생님</t>
  </si>
  <si>
    <t>☞부장종류, 지역승진가산점 학교는 미반영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</si>
</sst>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 "/>
    <numFmt numFmtId="177" formatCode="0_ "/>
    <numFmt numFmtId="178" formatCode="0.00_);[Red]\(0.00\)"/>
    <numFmt numFmtId="179" formatCode="yyyy&quot;년&quot;\ m&quot;월&quot;\ d&quot;일&quot;;@"/>
    <numFmt numFmtId="180" formatCode="000000\-0000000"/>
    <numFmt numFmtId="181" formatCode="0.0"/>
    <numFmt numFmtId="182" formatCode="[&gt;0]#;#;;"/>
    <numFmt numFmtId="183" formatCode="0_);[Red]\(0\)"/>
    <numFmt numFmtId="184" formatCode="[&gt;0]#&quot;년&quot;;#;;"/>
    <numFmt numFmtId="185" formatCode="[&gt;0]#&quot;월&quot;;#;;"/>
    <numFmt numFmtId="186" formatCode="[&gt;0]#&quot;일&quot;;#;;"/>
  </numFmts>
  <fonts count="82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color rgb="FF808080"/>
      <name val="돋움"/>
      <family val="3"/>
      <charset val="129"/>
    </font>
    <font>
      <sz val="16"/>
      <color rgb="FF000000"/>
      <name val="돋움"/>
      <family val="3"/>
      <charset val="129"/>
    </font>
    <font>
      <sz val="8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2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color rgb="FFD9D9D9"/>
      <name val="돋움"/>
      <family val="3"/>
      <charset val="129"/>
    </font>
    <font>
      <sz val="11"/>
      <color rgb="FFFF0000"/>
      <name val="돋움"/>
      <family val="3"/>
      <charset val="129"/>
    </font>
    <font>
      <sz val="12"/>
      <color rgb="FF000000"/>
      <name val="HY중고딕"/>
      <family val="1"/>
      <charset val="129"/>
    </font>
    <font>
      <b/>
      <sz val="7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11"/>
      <color rgb="FFFFFFFF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FF"/>
      <name val="돋움"/>
      <family val="3"/>
      <charset val="129"/>
    </font>
    <font>
      <sz val="10"/>
      <color rgb="FFD9D9D9"/>
      <name val="돋움"/>
      <family val="3"/>
      <charset val="129"/>
    </font>
    <font>
      <sz val="18"/>
      <color rgb="FF000000"/>
      <name val="돋움"/>
      <family val="3"/>
      <charset val="129"/>
    </font>
    <font>
      <b/>
      <sz val="8"/>
      <color rgb="FF0000FF"/>
      <name val="맑은 고딕"/>
      <family val="3"/>
      <charset val="129"/>
    </font>
    <font>
      <b/>
      <sz val="24"/>
      <color rgb="FFFFFFFF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262626"/>
      <name val="돋움"/>
      <family val="3"/>
      <charset val="129"/>
    </font>
    <font>
      <sz val="12"/>
      <color rgb="FF000000"/>
      <name val="바탕체"/>
      <family val="1"/>
      <charset val="129"/>
    </font>
    <font>
      <b/>
      <sz val="12"/>
      <color rgb="FF000000"/>
      <name val="맑은 고딕"/>
      <family val="3"/>
      <charset val="129"/>
    </font>
    <font>
      <sz val="10"/>
      <color rgb="FF000000"/>
      <name val="바탕체"/>
      <family val="1"/>
      <charset val="129"/>
    </font>
    <font>
      <sz val="9"/>
      <color rgb="FF000000"/>
      <name val="바탕체"/>
      <family val="1"/>
      <charset val="129"/>
    </font>
    <font>
      <sz val="12"/>
      <color rgb="FF000000"/>
      <name val="바탕"/>
      <family val="1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FF0000"/>
      <name val="돋움"/>
      <family val="3"/>
      <charset val="129"/>
    </font>
    <font>
      <b/>
      <sz val="14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12"/>
      <color rgb="FFFFFFFF"/>
      <name val="돋움"/>
      <family val="3"/>
      <charset val="129"/>
    </font>
    <font>
      <sz val="12"/>
      <color rgb="FF0000FF"/>
      <name val="돋움"/>
      <family val="3"/>
      <charset val="129"/>
    </font>
    <font>
      <sz val="12"/>
      <color rgb="FF0000FF"/>
      <name val="HY중고딕"/>
      <family val="1"/>
      <charset val="129"/>
    </font>
    <font>
      <b/>
      <sz val="11"/>
      <color rgb="FFFF0000"/>
      <name val="돋움"/>
      <family val="3"/>
      <charset val="129"/>
    </font>
    <font>
      <sz val="11"/>
      <color rgb="FFEEECE1"/>
      <name val="돋움"/>
      <family val="3"/>
      <charset val="129"/>
    </font>
    <font>
      <sz val="8"/>
      <color rgb="FFD9D9D9"/>
      <name val="돋움"/>
      <family val="3"/>
      <charset val="129"/>
    </font>
    <font>
      <b/>
      <sz val="12"/>
      <color rgb="FF000000"/>
      <name val="HY중고딕"/>
      <family val="1"/>
      <charset val="129"/>
    </font>
    <font>
      <sz val="8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11"/>
      <color rgb="FFE6E6E6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7"/>
      <color rgb="FF000000"/>
      <name val="돋움"/>
      <family val="3"/>
      <charset val="129"/>
    </font>
    <font>
      <sz val="13"/>
      <color rgb="FF000000"/>
      <name val="돋움"/>
      <family val="3"/>
      <charset val="129"/>
    </font>
    <font>
      <sz val="15"/>
      <color rgb="FF000000"/>
      <name val="HY중고딕"/>
      <family val="1"/>
      <charset val="129"/>
    </font>
    <font>
      <sz val="15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2"/>
      <color rgb="FF000000"/>
      <name val="돋움체"/>
      <family val="3"/>
      <charset val="129"/>
    </font>
    <font>
      <b/>
      <sz val="12"/>
      <color rgb="FFFF0000"/>
      <name val="돋움"/>
      <family val="3"/>
      <charset val="129"/>
    </font>
    <font>
      <b/>
      <sz val="16"/>
      <color rgb="FF262626"/>
      <name val="맑은 고딕"/>
      <family val="3"/>
      <charset val="129"/>
    </font>
    <font>
      <sz val="14"/>
      <color rgb="FF000000"/>
      <name val="HY중고딕"/>
      <family val="1"/>
      <charset val="129"/>
    </font>
    <font>
      <b/>
      <sz val="14"/>
      <color rgb="FF000000"/>
      <name val="HY중고딕"/>
      <family val="1"/>
      <charset val="129"/>
    </font>
    <font>
      <b/>
      <sz val="20"/>
      <color rgb="FF000000"/>
      <name val="돋움"/>
      <family val="3"/>
      <charset val="129"/>
    </font>
    <font>
      <sz val="13"/>
      <color rgb="FF000000"/>
      <name val="굴림"/>
      <family val="3"/>
      <charset val="129"/>
    </font>
    <font>
      <b/>
      <sz val="15"/>
      <color rgb="FF000000"/>
      <name val="돋움"/>
      <family val="3"/>
      <charset val="129"/>
    </font>
    <font>
      <b/>
      <sz val="36"/>
      <color rgb="FF000000"/>
      <name val="돋움"/>
      <family val="3"/>
      <charset val="129"/>
    </font>
    <font>
      <b/>
      <sz val="28"/>
      <color rgb="FF000000"/>
      <name val="돋움"/>
      <family val="3"/>
      <charset val="129"/>
    </font>
    <font>
      <b/>
      <sz val="18"/>
      <color rgb="FF000000"/>
      <name val="돋움"/>
      <family val="3"/>
      <charset val="129"/>
    </font>
    <font>
      <b/>
      <sz val="16"/>
      <color rgb="FF000000"/>
      <name val="HY중고딕"/>
      <family val="1"/>
      <charset val="129"/>
    </font>
    <font>
      <b/>
      <sz val="18"/>
      <color rgb="FF000000"/>
      <name val="HY중고딕"/>
      <family val="1"/>
      <charset val="129"/>
    </font>
    <font>
      <b/>
      <sz val="12"/>
      <color rgb="FFFF0000"/>
      <name val="바탕체"/>
      <family val="1"/>
      <charset val="129"/>
    </font>
    <font>
      <b/>
      <sz val="20"/>
      <color rgb="FF000000"/>
      <name val="바탕체"/>
      <family val="1"/>
      <charset val="129"/>
    </font>
    <font>
      <b/>
      <sz val="12"/>
      <color rgb="FF000000"/>
      <name val="바탕체"/>
      <family val="1"/>
      <charset val="129"/>
    </font>
    <font>
      <sz val="12"/>
      <color rgb="FFFF0000"/>
      <name val="바탕체"/>
      <family val="1"/>
      <charset val="129"/>
    </font>
    <font>
      <sz val="9"/>
      <color rgb="FFFF0000"/>
      <name val="바탕체"/>
      <family val="1"/>
      <charset val="129"/>
    </font>
    <font>
      <b/>
      <sz val="11"/>
      <color rgb="FF262626"/>
      <name val="돋움"/>
      <family val="3"/>
      <charset val="129"/>
    </font>
    <font>
      <sz val="11"/>
      <color rgb="FF000000"/>
      <name val="굴림"/>
      <family val="3"/>
      <charset val="129"/>
    </font>
    <font>
      <b/>
      <u/>
      <sz val="8"/>
      <color rgb="FF000000"/>
      <name val="맑은 고딕"/>
      <family val="3"/>
      <charset val="129"/>
    </font>
    <font>
      <b/>
      <sz val="8"/>
      <color rgb="FF0000CC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92D050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indexed="64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indexed="64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medium">
        <color indexed="64"/>
      </right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9" fillId="0" borderId="0"/>
    <xf numFmtId="0" fontId="79" fillId="0" borderId="0">
      <alignment vertical="center"/>
    </xf>
    <xf numFmtId="9" fontId="79" fillId="0" borderId="0">
      <alignment vertical="center"/>
    </xf>
    <xf numFmtId="0" fontId="79" fillId="0" borderId="0">
      <alignment vertical="center"/>
    </xf>
  </cellStyleXfs>
  <cellXfs count="865">
    <xf numFmtId="0" fontId="0" fillId="0" borderId="0" xfId="0" applyNumberFormat="1"/>
    <xf numFmtId="0" fontId="55" fillId="16" borderId="65" xfId="0" applyNumberFormat="1" applyFont="1" applyFill="1" applyBorder="1" applyAlignment="1" applyProtection="1">
      <alignment vertical="center"/>
    </xf>
    <xf numFmtId="0" fontId="0" fillId="10" borderId="2" xfId="0" applyNumberFormat="1" applyFont="1" applyFill="1" applyBorder="1" applyAlignment="1" applyProtection="1">
      <alignment horizontal="center" vertical="center"/>
      <protection hidden="1"/>
    </xf>
    <xf numFmtId="176" fontId="0" fillId="10" borderId="2" xfId="0" applyNumberFormat="1" applyFont="1" applyFill="1" applyBorder="1" applyAlignment="1" applyProtection="1">
      <alignment horizontal="center" vertical="center"/>
      <protection hidden="1"/>
    </xf>
    <xf numFmtId="0" fontId="3" fillId="4" borderId="0" xfId="2" applyNumberFormat="1" applyFont="1" applyFill="1" applyAlignment="1">
      <alignment horizontal="center" vertical="center" shrinkToFit="1"/>
    </xf>
    <xf numFmtId="0" fontId="3" fillId="0" borderId="0" xfId="0" applyNumberFormat="1" applyFont="1" applyAlignment="1">
      <alignment horizontal="center" vertical="center"/>
    </xf>
    <xf numFmtId="0" fontId="32" fillId="4" borderId="0" xfId="2" applyNumberFormat="1" applyFont="1" applyFill="1" applyAlignment="1">
      <alignment horizontal="left" vertical="center" wrapText="1"/>
    </xf>
    <xf numFmtId="0" fontId="59" fillId="4" borderId="0" xfId="2" applyNumberFormat="1" applyFont="1" applyFill="1" applyAlignment="1">
      <alignment horizontal="center" vertical="center" shrinkToFit="1"/>
    </xf>
    <xf numFmtId="0" fontId="22" fillId="4" borderId="0" xfId="2" applyNumberFormat="1" applyFont="1" applyFill="1" applyAlignment="1">
      <alignment horizontal="left" vertical="center" wrapText="1"/>
    </xf>
    <xf numFmtId="0" fontId="24" fillId="6" borderId="0" xfId="2" applyNumberFormat="1" applyFont="1" applyFill="1" applyAlignment="1">
      <alignment horizontal="center" vertical="center" shrinkToFit="1"/>
    </xf>
    <xf numFmtId="14" fontId="24" fillId="6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shrinkToFit="1"/>
    </xf>
    <xf numFmtId="0" fontId="7" fillId="0" borderId="2" xfId="1" applyNumberFormat="1" applyFont="1" applyFill="1" applyBorder="1" applyAlignment="1">
      <alignment horizontal="center" vertical="center" shrinkToFit="1"/>
    </xf>
    <xf numFmtId="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vertical="center"/>
    </xf>
    <xf numFmtId="0" fontId="9" fillId="0" borderId="3" xfId="0" applyNumberFormat="1" applyFont="1" applyBorder="1" applyAlignment="1" applyProtection="1">
      <alignment horizontal="center" vertical="center" wrapText="1"/>
    </xf>
    <xf numFmtId="0" fontId="10" fillId="0" borderId="0" xfId="0" applyNumberFormat="1" applyFont="1" applyBorder="1" applyAlignment="1" applyProtection="1">
      <alignment horizontal="center" vertical="center" wrapText="1"/>
    </xf>
    <xf numFmtId="0" fontId="0" fillId="3" borderId="0" xfId="0" applyNumberFormat="1" applyFill="1" applyAlignment="1">
      <alignment horizontal="center" vertical="center"/>
    </xf>
    <xf numFmtId="176" fontId="11" fillId="2" borderId="2" xfId="0" applyNumberFormat="1" applyFont="1" applyFill="1" applyBorder="1" applyAlignment="1" applyProtection="1">
      <alignment horizontal="center" vertical="center" wrapText="1" shrinkToFit="1"/>
    </xf>
    <xf numFmtId="176" fontId="11" fillId="2" borderId="2" xfId="0" applyNumberFormat="1" applyFont="1" applyFill="1" applyBorder="1" applyAlignment="1" applyProtection="1">
      <alignment horizontal="center" vertical="center" shrinkToFit="1"/>
    </xf>
    <xf numFmtId="0" fontId="12" fillId="3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vertical="center"/>
    </xf>
    <xf numFmtId="0" fontId="7" fillId="2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NumberFormat="1" applyFont="1" applyBorder="1" applyAlignment="1" applyProtection="1">
      <alignment horizontal="center" vertical="center" wrapText="1"/>
    </xf>
    <xf numFmtId="0" fontId="12" fillId="3" borderId="0" xfId="0" applyNumberFormat="1" applyFont="1" applyFill="1" applyAlignment="1">
      <alignment vertical="center"/>
    </xf>
    <xf numFmtId="0" fontId="0" fillId="4" borderId="0" xfId="0" applyNumberFormat="1" applyFill="1" applyAlignment="1" applyProtection="1">
      <alignment horizontal="center" vertical="center"/>
    </xf>
    <xf numFmtId="0" fontId="0" fillId="4" borderId="0" xfId="0" applyNumberFormat="1" applyFont="1" applyFill="1" applyAlignment="1" applyProtection="1">
      <alignment horizontal="center" vertical="center"/>
    </xf>
    <xf numFmtId="0" fontId="0" fillId="2" borderId="2" xfId="0" applyNumberFormat="1" applyFont="1" applyFill="1" applyBorder="1" applyAlignment="1" applyProtection="1">
      <alignment horizontal="center" vertical="center"/>
    </xf>
    <xf numFmtId="0" fontId="0" fillId="2" borderId="4" xfId="0" applyNumberFormat="1" applyFont="1" applyFill="1" applyBorder="1" applyAlignment="1" applyProtection="1">
      <alignment horizontal="center" vertical="center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2" borderId="4" xfId="0" applyNumberFormat="1" applyFont="1" applyFill="1" applyBorder="1" applyAlignment="1" applyProtection="1">
      <alignment horizontal="center" vertical="center" shrinkToFit="1"/>
    </xf>
    <xf numFmtId="0" fontId="0" fillId="2" borderId="2" xfId="0" applyNumberFormat="1" applyFill="1" applyBorder="1" applyAlignment="1" applyProtection="1">
      <alignment horizontal="center" vertical="center" wrapText="1"/>
    </xf>
    <xf numFmtId="0" fontId="15" fillId="3" borderId="5" xfId="0" applyNumberFormat="1" applyFont="1" applyFill="1" applyBorder="1" applyAlignment="1" applyProtection="1">
      <alignment horizontal="center" vertical="center" shrinkToFit="1"/>
    </xf>
    <xf numFmtId="0" fontId="16" fillId="4" borderId="6" xfId="0" applyNumberFormat="1" applyFont="1" applyFill="1" applyBorder="1" applyAlignment="1" applyProtection="1">
      <alignment horizontal="center" vertical="center" wrapText="1"/>
    </xf>
    <xf numFmtId="0" fontId="17" fillId="3" borderId="7" xfId="0" applyNumberFormat="1" applyFont="1" applyFill="1" applyBorder="1" applyAlignment="1" applyProtection="1">
      <alignment horizontal="center" vertical="center" wrapText="1"/>
    </xf>
    <xf numFmtId="0" fontId="17" fillId="4" borderId="8" xfId="0" applyNumberFormat="1" applyFont="1" applyFill="1" applyBorder="1" applyAlignment="1" applyProtection="1">
      <alignment horizontal="center" vertical="center" wrapText="1"/>
    </xf>
    <xf numFmtId="0" fontId="16" fillId="4" borderId="0" xfId="0" applyNumberFormat="1" applyFont="1" applyFill="1" applyBorder="1" applyAlignment="1" applyProtection="1">
      <alignment horizontal="center" vertical="center" wrapText="1"/>
    </xf>
    <xf numFmtId="181" fontId="0" fillId="0" borderId="2" xfId="0" applyNumberForma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4" borderId="0" xfId="0" applyNumberFormat="1" applyFont="1" applyFill="1" applyBorder="1" applyAlignment="1"/>
    <xf numFmtId="0" fontId="18" fillId="4" borderId="9" xfId="0" applyNumberFormat="1" applyFont="1" applyFill="1" applyBorder="1" applyAlignment="1"/>
    <xf numFmtId="0" fontId="18" fillId="4" borderId="10" xfId="0" applyNumberFormat="1" applyFont="1" applyFill="1" applyBorder="1" applyAlignment="1"/>
    <xf numFmtId="0" fontId="18" fillId="4" borderId="11" xfId="0" applyNumberFormat="1" applyFont="1" applyFill="1" applyBorder="1" applyAlignment="1"/>
    <xf numFmtId="0" fontId="18" fillId="4" borderId="12" xfId="0" applyNumberFormat="1" applyFont="1" applyFill="1" applyBorder="1" applyAlignment="1"/>
    <xf numFmtId="0" fontId="18" fillId="4" borderId="13" xfId="0" applyNumberFormat="1" applyFont="1" applyFill="1" applyBorder="1" applyAlignment="1"/>
    <xf numFmtId="0" fontId="13" fillId="4" borderId="9" xfId="0" applyNumberFormat="1" applyFont="1" applyFill="1" applyBorder="1" applyAlignment="1">
      <alignment vertical="center" wrapText="1"/>
    </xf>
    <xf numFmtId="0" fontId="13" fillId="4" borderId="0" xfId="0" applyNumberFormat="1" applyFont="1" applyFill="1" applyBorder="1" applyAlignment="1">
      <alignment vertical="center" wrapText="1"/>
    </xf>
    <xf numFmtId="0" fontId="13" fillId="4" borderId="10" xfId="0" applyNumberFormat="1" applyFont="1" applyFill="1" applyBorder="1" applyAlignment="1">
      <alignment vertical="center" wrapText="1"/>
    </xf>
    <xf numFmtId="177" fontId="0" fillId="2" borderId="2" xfId="0" applyNumberFormat="1" applyFont="1" applyFill="1" applyBorder="1" applyAlignment="1" applyProtection="1">
      <alignment horizontal="center" vertical="center" shrinkToFit="1"/>
    </xf>
    <xf numFmtId="0" fontId="0" fillId="2" borderId="2" xfId="0" applyNumberFormat="1" applyFill="1" applyBorder="1" applyAlignment="1" applyProtection="1">
      <alignment horizontal="center" vertical="center"/>
    </xf>
    <xf numFmtId="0" fontId="7" fillId="0" borderId="2" xfId="0" applyNumberFormat="1" applyFont="1" applyBorder="1" applyAlignment="1" applyProtection="1">
      <alignment horizontal="center" vertical="center" wrapText="1"/>
    </xf>
    <xf numFmtId="0" fontId="19" fillId="3" borderId="14" xfId="0" applyNumberFormat="1" applyFont="1" applyFill="1" applyBorder="1" applyAlignment="1" applyProtection="1">
      <alignment horizontal="center" vertical="center" wrapText="1"/>
    </xf>
    <xf numFmtId="0" fontId="18" fillId="4" borderId="0" xfId="0" applyNumberFormat="1" applyFont="1" applyFill="1" applyBorder="1" applyAlignment="1" applyProtection="1">
      <alignment vertical="center"/>
      <protection locked="0"/>
    </xf>
    <xf numFmtId="0" fontId="13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14" fontId="21" fillId="3" borderId="0" xfId="0" applyNumberFormat="1" applyFont="1" applyFill="1" applyAlignment="1">
      <alignment horizontal="center" vertical="center"/>
    </xf>
    <xf numFmtId="14" fontId="0" fillId="3" borderId="0" xfId="0" applyNumberFormat="1" applyFill="1" applyAlignment="1">
      <alignment vertical="center"/>
    </xf>
    <xf numFmtId="0" fontId="0" fillId="0" borderId="2" xfId="0" applyNumberFormat="1" applyBorder="1" applyAlignment="1">
      <alignment horizontal="center" vertical="center" shrinkToFit="1"/>
    </xf>
    <xf numFmtId="0" fontId="12" fillId="3" borderId="0" xfId="2" applyNumberFormat="1" applyFont="1" applyFill="1" applyAlignment="1">
      <alignment horizontal="center" vertical="center" shrinkToFit="1"/>
    </xf>
    <xf numFmtId="0" fontId="0" fillId="3" borderId="0" xfId="2" applyNumberFormat="1" applyFont="1" applyFill="1" applyAlignment="1">
      <alignment horizontal="center" vertical="center" shrinkToFit="1"/>
    </xf>
    <xf numFmtId="0" fontId="0" fillId="4" borderId="0" xfId="2" applyNumberFormat="1" applyFont="1" applyFill="1" applyAlignment="1">
      <alignment horizontal="center" vertical="center" shrinkToFit="1"/>
    </xf>
    <xf numFmtId="0" fontId="0" fillId="3" borderId="0" xfId="2" applyNumberFormat="1" applyFont="1" applyFill="1" applyAlignment="1">
      <alignment horizontal="center" vertical="center"/>
    </xf>
    <xf numFmtId="0" fontId="0" fillId="4" borderId="0" xfId="2" applyNumberFormat="1" applyFont="1" applyFill="1" applyAlignment="1">
      <alignment horizontal="center" vertical="center"/>
    </xf>
    <xf numFmtId="0" fontId="7" fillId="4" borderId="0" xfId="2" applyNumberFormat="1" applyFont="1" applyFill="1" applyAlignment="1">
      <alignment vertical="center"/>
    </xf>
    <xf numFmtId="0" fontId="0" fillId="4" borderId="0" xfId="2" applyNumberFormat="1" applyFont="1" applyFill="1" applyAlignment="1">
      <alignment vertical="center"/>
    </xf>
    <xf numFmtId="0" fontId="22" fillId="4" borderId="0" xfId="2" applyNumberFormat="1" applyFont="1" applyFill="1" applyAlignment="1">
      <alignment vertical="center"/>
    </xf>
    <xf numFmtId="0" fontId="22" fillId="4" borderId="0" xfId="2" applyNumberFormat="1" applyFont="1" applyFill="1" applyAlignment="1">
      <alignment horizontal="center" vertical="center" shrinkToFit="1"/>
    </xf>
    <xf numFmtId="0" fontId="22" fillId="4" borderId="0" xfId="2" applyNumberFormat="1" applyFont="1" applyFill="1" applyAlignment="1">
      <alignment horizontal="center" vertical="center"/>
    </xf>
    <xf numFmtId="0" fontId="0" fillId="3" borderId="0" xfId="2" applyNumberFormat="1" applyFont="1" applyFill="1" applyAlignment="1">
      <alignment horizontal="center" vertical="center"/>
    </xf>
    <xf numFmtId="0" fontId="22" fillId="3" borderId="0" xfId="2" applyNumberFormat="1" applyFont="1" applyFill="1" applyAlignment="1">
      <alignment horizontal="left" vertical="center"/>
    </xf>
    <xf numFmtId="0" fontId="0" fillId="3" borderId="0" xfId="0" applyNumberFormat="1" applyFill="1"/>
    <xf numFmtId="0" fontId="16" fillId="4" borderId="15" xfId="0" applyNumberFormat="1" applyFont="1" applyFill="1" applyBorder="1" applyAlignment="1" applyProtection="1">
      <alignment horizontal="center" vertical="center" wrapText="1"/>
    </xf>
    <xf numFmtId="0" fontId="17" fillId="3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vertical="top" shrinkToFit="1"/>
    </xf>
    <xf numFmtId="0" fontId="0" fillId="2" borderId="2" xfId="0" applyNumberFormat="1" applyFont="1" applyFill="1" applyBorder="1" applyAlignment="1" applyProtection="1">
      <alignment horizontal="center" vertical="center" wrapText="1"/>
    </xf>
    <xf numFmtId="0" fontId="23" fillId="0" borderId="16" xfId="0" applyNumberFormat="1" applyFont="1" applyFill="1" applyBorder="1" applyAlignment="1" applyProtection="1">
      <alignment horizontal="center" vertical="center" wrapText="1"/>
    </xf>
    <xf numFmtId="0" fontId="23" fillId="0" borderId="17" xfId="0" applyNumberFormat="1" applyFont="1" applyFill="1" applyBorder="1" applyAlignment="1" applyProtection="1">
      <alignment horizontal="center" vertical="center" wrapText="1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23" fillId="0" borderId="18" xfId="0" applyNumberFormat="1" applyFont="1" applyFill="1" applyBorder="1" applyAlignment="1" applyProtection="1">
      <alignment horizontal="center" vertical="center" wrapText="1"/>
    </xf>
    <xf numFmtId="0" fontId="24" fillId="6" borderId="0" xfId="2" applyNumberFormat="1" applyFont="1" applyFill="1" applyAlignment="1">
      <alignment vertical="center" shrinkToFit="1"/>
    </xf>
    <xf numFmtId="0" fontId="19" fillId="3" borderId="19" xfId="0" applyNumberFormat="1" applyFont="1" applyFill="1" applyBorder="1" applyAlignment="1" applyProtection="1">
      <alignment horizontal="center" vertical="center" wrapText="1"/>
    </xf>
    <xf numFmtId="0" fontId="19" fillId="3" borderId="0" xfId="0" applyNumberFormat="1" applyFont="1" applyFill="1" applyBorder="1" applyAlignment="1" applyProtection="1">
      <alignment horizontal="center" vertical="center" wrapText="1"/>
    </xf>
    <xf numFmtId="0" fontId="17" fillId="4" borderId="0" xfId="0" applyNumberFormat="1" applyFont="1" applyFill="1" applyBorder="1" applyAlignment="1" applyProtection="1">
      <alignment vertical="center" shrinkToFit="1"/>
    </xf>
    <xf numFmtId="0" fontId="17" fillId="4" borderId="0" xfId="0" applyNumberFormat="1" applyFont="1" applyFill="1" applyBorder="1" applyAlignment="1" applyProtection="1">
      <alignment horizontal="justify" vertical="center" wrapText="1"/>
    </xf>
    <xf numFmtId="0" fontId="25" fillId="4" borderId="0" xfId="0" applyNumberFormat="1" applyFont="1" applyFill="1" applyBorder="1" applyAlignment="1" applyProtection="1">
      <alignment horizontal="justify" vertical="center" wrapText="1"/>
    </xf>
    <xf numFmtId="179" fontId="16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20" xfId="0" applyNumberFormat="1" applyFont="1" applyFill="1" applyBorder="1" applyAlignment="1" applyProtection="1">
      <alignment horizontal="center" vertical="center" wrapText="1"/>
    </xf>
    <xf numFmtId="0" fontId="17" fillId="3" borderId="2" xfId="0" applyNumberFormat="1" applyFont="1" applyFill="1" applyBorder="1" applyAlignment="1" applyProtection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horizontal="center" vertical="center"/>
    </xf>
    <xf numFmtId="0" fontId="27" fillId="7" borderId="0" xfId="4" applyNumberFormat="1" applyFont="1" applyFill="1">
      <alignment vertical="center"/>
    </xf>
    <xf numFmtId="0" fontId="27" fillId="2" borderId="0" xfId="4" applyNumberFormat="1" applyFont="1" applyFill="1">
      <alignment vertical="center"/>
    </xf>
    <xf numFmtId="0" fontId="79" fillId="7" borderId="0" xfId="4" applyNumberFormat="1" applyFill="1" applyAlignment="1" applyProtection="1"/>
    <xf numFmtId="0" fontId="11" fillId="8" borderId="20" xfId="4" applyNumberFormat="1" applyFont="1" applyFill="1" applyBorder="1" applyAlignment="1" applyProtection="1">
      <alignment horizontal="center" vertical="center"/>
      <protection hidden="1"/>
    </xf>
    <xf numFmtId="0" fontId="11" fillId="8" borderId="0" xfId="4" applyNumberFormat="1" applyFont="1" applyFill="1" applyBorder="1" applyAlignment="1" applyProtection="1">
      <alignment horizontal="center" vertical="center"/>
      <protection hidden="1"/>
    </xf>
    <xf numFmtId="0" fontId="6" fillId="4" borderId="0" xfId="4" applyNumberFormat="1" applyFont="1" applyFill="1" applyBorder="1" applyAlignment="1" applyProtection="1">
      <alignment horizontal="center" vertical="center" shrinkToFit="1"/>
      <protection locked="0"/>
    </xf>
    <xf numFmtId="0" fontId="11" fillId="8" borderId="0" xfId="4" applyNumberFormat="1" applyFont="1" applyFill="1" applyBorder="1" applyAlignment="1" applyProtection="1">
      <alignment vertical="center"/>
      <protection hidden="1"/>
    </xf>
    <xf numFmtId="0" fontId="11" fillId="0" borderId="0" xfId="4" applyNumberFormat="1" applyFont="1" applyFill="1" applyBorder="1" applyAlignment="1" applyProtection="1">
      <alignment horizontal="center" vertical="center"/>
      <protection hidden="1"/>
    </xf>
    <xf numFmtId="0" fontId="11" fillId="0" borderId="18" xfId="4" applyNumberFormat="1" applyFont="1" applyFill="1" applyBorder="1" applyAlignment="1" applyProtection="1">
      <alignment horizontal="center" vertical="center"/>
      <protection hidden="1"/>
    </xf>
    <xf numFmtId="0" fontId="79" fillId="4" borderId="0" xfId="4" applyNumberFormat="1" applyFill="1" applyBorder="1" applyAlignment="1" applyProtection="1">
      <alignment vertical="center"/>
    </xf>
    <xf numFmtId="0" fontId="18" fillId="4" borderId="0" xfId="4" applyNumberFormat="1" applyFont="1" applyFill="1" applyBorder="1" applyAlignment="1" applyProtection="1">
      <alignment vertical="center"/>
      <protection hidden="1"/>
    </xf>
    <xf numFmtId="0" fontId="79" fillId="7" borderId="0" xfId="4" applyNumberFormat="1" applyFill="1" applyAlignment="1" applyProtection="1">
      <protection hidden="1"/>
    </xf>
    <xf numFmtId="0" fontId="79" fillId="2" borderId="0" xfId="4" applyNumberFormat="1" applyFill="1" applyAlignment="1" applyProtection="1">
      <protection hidden="1"/>
    </xf>
    <xf numFmtId="0" fontId="79" fillId="2" borderId="0" xfId="4" applyNumberFormat="1" applyFill="1" applyAlignment="1" applyProtection="1"/>
    <xf numFmtId="0" fontId="11" fillId="0" borderId="0" xfId="4" applyNumberFormat="1" applyFont="1" applyFill="1" applyBorder="1" applyAlignment="1" applyProtection="1">
      <alignment horizontal="center" vertical="center" shrinkToFit="1"/>
      <protection hidden="1"/>
    </xf>
    <xf numFmtId="0" fontId="28" fillId="9" borderId="21" xfId="4" applyNumberFormat="1" applyFont="1" applyFill="1" applyBorder="1" applyAlignment="1">
      <alignment horizontal="center" vertical="center"/>
    </xf>
    <xf numFmtId="0" fontId="29" fillId="0" borderId="22" xfId="4" applyNumberFormat="1" applyFont="1" applyBorder="1" applyAlignment="1" applyProtection="1">
      <alignment vertical="center" shrinkToFit="1"/>
      <protection locked="0"/>
    </xf>
    <xf numFmtId="14" fontId="29" fillId="0" borderId="23" xfId="4" applyNumberFormat="1" applyFont="1" applyBorder="1" applyAlignment="1" applyProtection="1">
      <alignment horizontal="center" vertical="center"/>
      <protection locked="0"/>
    </xf>
    <xf numFmtId="0" fontId="30" fillId="0" borderId="24" xfId="4" applyNumberFormat="1" applyFont="1" applyBorder="1" applyAlignment="1">
      <alignment horizontal="center" vertical="center" wrapText="1"/>
    </xf>
    <xf numFmtId="0" fontId="30" fillId="0" borderId="25" xfId="4" applyNumberFormat="1" applyFont="1" applyBorder="1" applyAlignment="1">
      <alignment horizontal="center" vertical="center" wrapText="1"/>
    </xf>
    <xf numFmtId="182" fontId="27" fillId="0" borderId="1" xfId="4" applyNumberFormat="1" applyFont="1" applyFill="1" applyBorder="1" applyAlignment="1" applyProtection="1">
      <alignment horizontal="center" vertical="center"/>
      <protection hidden="1"/>
    </xf>
    <xf numFmtId="182" fontId="27" fillId="0" borderId="26" xfId="4" applyNumberFormat="1" applyFont="1" applyFill="1" applyBorder="1" applyAlignment="1" applyProtection="1">
      <alignment horizontal="center" vertical="center"/>
      <protection hidden="1"/>
    </xf>
    <xf numFmtId="182" fontId="27" fillId="0" borderId="4" xfId="4" applyNumberFormat="1" applyFont="1" applyFill="1" applyBorder="1" applyAlignment="1" applyProtection="1">
      <alignment horizontal="center" vertical="center"/>
      <protection hidden="1"/>
    </xf>
    <xf numFmtId="183" fontId="27" fillId="0" borderId="1" xfId="4" applyNumberFormat="1" applyFont="1" applyFill="1" applyBorder="1" applyAlignment="1" applyProtection="1">
      <alignment horizontal="center" vertical="center"/>
      <protection locked="0"/>
    </xf>
    <xf numFmtId="9" fontId="31" fillId="4" borderId="27" xfId="3" applyNumberFormat="1" applyFont="1" applyFill="1" applyBorder="1" applyAlignment="1" applyProtection="1">
      <alignment horizontal="center" vertical="center" shrinkToFit="1"/>
      <protection locked="0"/>
    </xf>
    <xf numFmtId="0" fontId="29" fillId="0" borderId="22" xfId="4" applyNumberFormat="1" applyFont="1" applyFill="1" applyBorder="1" applyAlignment="1" applyProtection="1">
      <alignment vertical="center" shrinkToFit="1"/>
      <protection locked="0"/>
    </xf>
    <xf numFmtId="0" fontId="29" fillId="0" borderId="23" xfId="4" applyNumberFormat="1" applyFont="1" applyBorder="1" applyAlignment="1" applyProtection="1">
      <alignment vertical="center" wrapText="1"/>
      <protection locked="0"/>
    </xf>
    <xf numFmtId="14" fontId="29" fillId="0" borderId="25" xfId="4" applyNumberFormat="1" applyFont="1" applyBorder="1" applyAlignment="1" applyProtection="1">
      <alignment horizontal="center" vertical="center"/>
      <protection locked="0"/>
    </xf>
    <xf numFmtId="182" fontId="27" fillId="0" borderId="0" xfId="4" applyNumberFormat="1" applyFont="1" applyFill="1" applyBorder="1" applyAlignment="1" applyProtection="1">
      <alignment horizontal="center" vertical="center"/>
      <protection hidden="1"/>
    </xf>
    <xf numFmtId="184" fontId="27" fillId="7" borderId="28" xfId="4" applyNumberFormat="1" applyFont="1" applyFill="1" applyBorder="1" applyAlignment="1" applyProtection="1">
      <alignment horizontal="center" vertical="center"/>
      <protection hidden="1"/>
    </xf>
    <xf numFmtId="185" fontId="27" fillId="7" borderId="29" xfId="4" applyNumberFormat="1" applyFont="1" applyFill="1" applyBorder="1" applyAlignment="1" applyProtection="1">
      <alignment horizontal="center" vertical="center"/>
      <protection hidden="1"/>
    </xf>
    <xf numFmtId="186" fontId="27" fillId="7" borderId="30" xfId="4" applyNumberFormat="1" applyFont="1" applyFill="1" applyBorder="1" applyAlignment="1" applyProtection="1">
      <alignment horizontal="center" vertical="center"/>
      <protection hidden="1"/>
    </xf>
    <xf numFmtId="182" fontId="27" fillId="2" borderId="1" xfId="4" applyNumberFormat="1" applyFont="1" applyFill="1" applyBorder="1" applyAlignment="1" applyProtection="1">
      <alignment horizontal="center" vertical="center"/>
      <protection hidden="1"/>
    </xf>
    <xf numFmtId="9" fontId="31" fillId="4" borderId="31" xfId="3" applyNumberFormat="1" applyFont="1" applyFill="1" applyBorder="1" applyAlignment="1" applyProtection="1">
      <alignment horizontal="center" vertical="center" shrinkToFit="1"/>
      <protection locked="0"/>
    </xf>
    <xf numFmtId="184" fontId="27" fillId="2" borderId="28" xfId="4" applyNumberFormat="1" applyFont="1" applyFill="1" applyBorder="1" applyAlignment="1" applyProtection="1">
      <alignment horizontal="center" vertical="center"/>
      <protection hidden="1"/>
    </xf>
    <xf numFmtId="185" fontId="27" fillId="2" borderId="29" xfId="4" applyNumberFormat="1" applyFont="1" applyFill="1" applyBorder="1" applyAlignment="1" applyProtection="1">
      <alignment horizontal="center" vertical="center"/>
      <protection hidden="1"/>
    </xf>
    <xf numFmtId="186" fontId="27" fillId="2" borderId="30" xfId="4" applyNumberFormat="1" applyFont="1" applyFill="1" applyBorder="1" applyAlignment="1" applyProtection="1">
      <alignment horizontal="center" vertical="center"/>
      <protection hidden="1"/>
    </xf>
    <xf numFmtId="0" fontId="29" fillId="0" borderId="24" xfId="4" applyNumberFormat="1" applyFont="1" applyBorder="1" applyAlignment="1" applyProtection="1">
      <alignment horizontal="center" vertical="center" shrinkToFit="1"/>
      <protection locked="0"/>
    </xf>
    <xf numFmtId="0" fontId="29" fillId="0" borderId="25" xfId="4" applyNumberFormat="1" applyFont="1" applyBorder="1" applyAlignment="1" applyProtection="1">
      <alignment horizontal="center" vertical="center" wrapText="1"/>
      <protection locked="0"/>
    </xf>
    <xf numFmtId="182" fontId="27" fillId="2" borderId="23" xfId="4" applyNumberFormat="1" applyFont="1" applyFill="1" applyBorder="1" applyAlignment="1" applyProtection="1">
      <alignment horizontal="center" vertical="center"/>
      <protection hidden="1"/>
    </xf>
    <xf numFmtId="0" fontId="79" fillId="0" borderId="0" xfId="4" applyNumberFormat="1">
      <alignment vertical="center"/>
    </xf>
    <xf numFmtId="0" fontId="7" fillId="10" borderId="2" xfId="0" applyNumberFormat="1" applyFont="1" applyFill="1" applyBorder="1" applyAlignment="1">
      <alignment horizontal="center" vertical="center" shrinkToFit="1"/>
    </xf>
    <xf numFmtId="0" fontId="0" fillId="10" borderId="2" xfId="0" applyNumberFormat="1" applyFont="1" applyFill="1" applyBorder="1" applyAlignment="1">
      <alignment horizontal="center" vertical="center"/>
    </xf>
    <xf numFmtId="0" fontId="0" fillId="10" borderId="2" xfId="0" applyNumberFormat="1" applyFill="1" applyBorder="1" applyAlignment="1">
      <alignment horizontal="center" vertical="center"/>
    </xf>
    <xf numFmtId="181" fontId="0" fillId="10" borderId="2" xfId="0" applyNumberFormat="1" applyFill="1" applyBorder="1" applyAlignment="1">
      <alignment horizontal="center" vertical="center"/>
    </xf>
    <xf numFmtId="9" fontId="0" fillId="10" borderId="2" xfId="0" applyNumberForma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19" fillId="4" borderId="0" xfId="0" applyNumberFormat="1" applyFont="1" applyFill="1" applyBorder="1" applyAlignment="1" applyProtection="1">
      <alignment horizontal="justify" vertical="center" wrapText="1"/>
    </xf>
    <xf numFmtId="0" fontId="32" fillId="4" borderId="0" xfId="0" applyNumberFormat="1" applyFont="1" applyFill="1" applyBorder="1" applyAlignment="1" applyProtection="1">
      <alignment horizontal="center" vertical="center" wrapText="1"/>
    </xf>
    <xf numFmtId="180" fontId="33" fillId="4" borderId="0" xfId="0" applyNumberFormat="1" applyFont="1" applyFill="1" applyBorder="1" applyAlignment="1" applyProtection="1">
      <alignment horizontal="center" vertical="center" wrapText="1"/>
    </xf>
    <xf numFmtId="0" fontId="34" fillId="4" borderId="0" xfId="0" applyNumberFormat="1" applyFont="1" applyFill="1" applyBorder="1" applyAlignment="1" applyProtection="1">
      <alignment horizontal="center" vertical="center" wrapText="1"/>
    </xf>
    <xf numFmtId="0" fontId="15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0" xfId="0" applyNumberFormat="1" applyFont="1" applyFill="1" applyBorder="1" applyAlignment="1" applyProtection="1">
      <alignment horizontal="center" vertical="center" wrapText="1"/>
    </xf>
    <xf numFmtId="0" fontId="16" fillId="4" borderId="0" xfId="0" applyNumberFormat="1" applyFont="1" applyFill="1" applyBorder="1" applyAlignment="1" applyProtection="1">
      <alignment horizontal="center" vertical="center" wrapText="1"/>
      <protection locked="0"/>
    </xf>
    <xf numFmtId="2" fontId="16" fillId="4" borderId="0" xfId="0" applyNumberFormat="1" applyFont="1" applyFill="1" applyBorder="1" applyAlignment="1" applyProtection="1">
      <alignment horizontal="center" vertical="center" wrapText="1"/>
    </xf>
    <xf numFmtId="176" fontId="16" fillId="4" borderId="0" xfId="0" applyNumberFormat="1" applyFont="1" applyFill="1" applyBorder="1" applyAlignment="1" applyProtection="1">
      <alignment horizontal="center" vertical="center" wrapText="1"/>
    </xf>
    <xf numFmtId="0" fontId="35" fillId="4" borderId="0" xfId="0" applyNumberFormat="1" applyFont="1" applyFill="1" applyBorder="1" applyAlignment="1" applyProtection="1">
      <alignment horizontal="center" vertical="center" wrapText="1"/>
    </xf>
    <xf numFmtId="0" fontId="32" fillId="4" borderId="0" xfId="0" applyNumberFormat="1" applyFont="1" applyFill="1" applyBorder="1" applyAlignment="1" applyProtection="1">
      <alignment horizontal="right" vertical="center" wrapText="1" indent="2"/>
    </xf>
    <xf numFmtId="0" fontId="23" fillId="4" borderId="0" xfId="0" applyNumberFormat="1" applyFont="1" applyFill="1" applyBorder="1" applyAlignment="1" applyProtection="1">
      <alignment horizontal="justify" vertical="center" wrapText="1"/>
    </xf>
    <xf numFmtId="0" fontId="7" fillId="0" borderId="0" xfId="0" applyNumberFormat="1" applyFont="1" applyFill="1" applyBorder="1" applyAlignment="1">
      <alignment horizontal="center" vertical="center" shrinkToFit="1"/>
    </xf>
    <xf numFmtId="0" fontId="7" fillId="0" borderId="0" xfId="1" applyNumberFormat="1" applyFont="1" applyFill="1" applyBorder="1" applyAlignment="1">
      <alignment horizontal="center" vertical="center" shrinkToFit="1"/>
    </xf>
    <xf numFmtId="0" fontId="36" fillId="0" borderId="0" xfId="0" applyNumberFormat="1" applyFont="1" applyFill="1" applyBorder="1" applyAlignment="1">
      <alignment horizontal="center" vertical="center" shrinkToFit="1"/>
    </xf>
    <xf numFmtId="0" fontId="8" fillId="5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8" fillId="9" borderId="2" xfId="4" applyNumberFormat="1" applyFont="1" applyFill="1" applyBorder="1" applyAlignment="1">
      <alignment horizontal="center" vertical="center"/>
    </xf>
    <xf numFmtId="0" fontId="27" fillId="7" borderId="32" xfId="4" applyNumberFormat="1" applyFont="1" applyFill="1" applyBorder="1" applyAlignment="1" applyProtection="1">
      <alignment horizontal="center" vertical="center" wrapText="1"/>
      <protection hidden="1"/>
    </xf>
    <xf numFmtId="0" fontId="18" fillId="4" borderId="0" xfId="0" applyNumberFormat="1" applyFont="1" applyFill="1" applyAlignment="1" applyProtection="1">
      <alignment horizontal="center" vertical="center"/>
    </xf>
    <xf numFmtId="0" fontId="18" fillId="4" borderId="0" xfId="0" applyNumberFormat="1" applyFont="1" applyFill="1" applyAlignment="1" applyProtection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horizontal="center" vertical="center"/>
    </xf>
    <xf numFmtId="0" fontId="27" fillId="0" borderId="33" xfId="4" applyNumberFormat="1" applyFont="1" applyBorder="1" applyAlignment="1" applyProtection="1">
      <alignment horizontal="center" vertical="center" shrinkToFit="1"/>
    </xf>
    <xf numFmtId="0" fontId="79" fillId="4" borderId="0" xfId="4" applyNumberFormat="1" applyFill="1" applyBorder="1" applyAlignment="1" applyProtection="1"/>
    <xf numFmtId="0" fontId="28" fillId="9" borderId="34" xfId="4" applyNumberFormat="1" applyFont="1" applyFill="1" applyBorder="1" applyAlignment="1">
      <alignment horizontal="center" vertical="center"/>
    </xf>
    <xf numFmtId="182" fontId="27" fillId="0" borderId="33" xfId="4" applyNumberFormat="1" applyFont="1" applyFill="1" applyBorder="1" applyAlignment="1" applyProtection="1">
      <alignment horizontal="center" vertical="center"/>
      <protection hidden="1"/>
    </xf>
    <xf numFmtId="0" fontId="27" fillId="0" borderId="34" xfId="4" applyNumberFormat="1" applyFont="1" applyBorder="1" applyAlignment="1" applyProtection="1">
      <alignment horizontal="center" vertical="center" wrapText="1"/>
      <protection hidden="1"/>
    </xf>
    <xf numFmtId="0" fontId="27" fillId="0" borderId="33" xfId="4" applyNumberFormat="1" applyFont="1" applyBorder="1" applyAlignment="1" applyProtection="1">
      <alignment vertical="center"/>
      <protection locked="0"/>
    </xf>
    <xf numFmtId="0" fontId="27" fillId="0" borderId="35" xfId="4" applyNumberFormat="1" applyFont="1" applyBorder="1" applyAlignment="1" applyProtection="1">
      <alignment vertical="center"/>
      <protection locked="0"/>
    </xf>
    <xf numFmtId="0" fontId="1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8" fillId="4" borderId="0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NumberFormat="1" applyFont="1" applyFill="1" applyAlignment="1" applyProtection="1">
      <alignment horizontal="center" vertical="center"/>
    </xf>
    <xf numFmtId="0" fontId="13" fillId="4" borderId="0" xfId="0" applyNumberFormat="1" applyFont="1" applyFill="1" applyAlignment="1" applyProtection="1">
      <alignment horizontal="center" vertical="center"/>
      <protection locked="0"/>
    </xf>
    <xf numFmtId="0" fontId="37" fillId="0" borderId="36" xfId="0" applyNumberFormat="1" applyFont="1" applyBorder="1" applyAlignment="1" applyProtection="1">
      <alignment horizontal="center" vertical="center" wrapText="1"/>
    </xf>
    <xf numFmtId="0" fontId="9" fillId="0" borderId="37" xfId="0" applyNumberFormat="1" applyFont="1" applyBorder="1" applyAlignment="1" applyProtection="1">
      <alignment horizontal="center" vertical="center" wrapText="1"/>
    </xf>
    <xf numFmtId="0" fontId="37" fillId="0" borderId="38" xfId="0" applyNumberFormat="1" applyFont="1" applyBorder="1" applyAlignment="1" applyProtection="1">
      <alignment horizontal="center" vertical="center" wrapText="1"/>
    </xf>
    <xf numFmtId="0" fontId="37" fillId="0" borderId="39" xfId="0" applyNumberFormat="1" applyFont="1" applyBorder="1" applyAlignment="1" applyProtection="1">
      <alignment horizontal="center" vertical="center" wrapText="1"/>
    </xf>
    <xf numFmtId="0" fontId="9" fillId="0" borderId="40" xfId="0" applyNumberFormat="1" applyFont="1" applyBorder="1" applyAlignment="1" applyProtection="1">
      <alignment horizontal="center" vertical="center" wrapText="1"/>
    </xf>
    <xf numFmtId="0" fontId="37" fillId="0" borderId="23" xfId="0" applyNumberFormat="1" applyFont="1" applyBorder="1" applyAlignment="1" applyProtection="1">
      <alignment horizontal="center" vertical="center" wrapText="1"/>
    </xf>
    <xf numFmtId="0" fontId="37" fillId="0" borderId="9" xfId="0" applyNumberFormat="1" applyFont="1" applyBorder="1" applyAlignment="1" applyProtection="1">
      <alignment horizontal="center" vertical="center" wrapText="1"/>
    </xf>
    <xf numFmtId="0" fontId="37" fillId="0" borderId="11" xfId="0" applyNumberFormat="1" applyFont="1" applyBorder="1" applyAlignment="1" applyProtection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vertical="center" wrapText="1"/>
    </xf>
    <xf numFmtId="0" fontId="8" fillId="5" borderId="0" xfId="0" applyNumberFormat="1" applyFont="1" applyFill="1" applyBorder="1" applyAlignment="1">
      <alignment horizontal="center" vertical="center"/>
    </xf>
    <xf numFmtId="0" fontId="16" fillId="4" borderId="0" xfId="0" applyNumberFormat="1" applyFont="1" applyFill="1" applyBorder="1" applyAlignment="1" applyProtection="1">
      <alignment horizontal="center" vertical="center" shrinkToFit="1"/>
    </xf>
    <xf numFmtId="0" fontId="0" fillId="10" borderId="2" xfId="0" applyNumberFormat="1" applyFill="1" applyBorder="1" applyAlignment="1">
      <alignment horizontal="center" vertical="center" shrinkToFit="1"/>
    </xf>
    <xf numFmtId="0" fontId="38" fillId="0" borderId="0" xfId="0" applyNumberFormat="1" applyFont="1" applyFill="1"/>
    <xf numFmtId="0" fontId="0" fillId="0" borderId="0" xfId="0" applyNumberFormat="1" applyFill="1"/>
    <xf numFmtId="9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11" borderId="2" xfId="0" applyNumberFormat="1" applyFont="1" applyFill="1" applyBorder="1" applyAlignment="1">
      <alignment horizontal="center" vertical="center"/>
    </xf>
    <xf numFmtId="0" fontId="0" fillId="0" borderId="41" xfId="0" applyNumberFormat="1" applyFill="1" applyBorder="1" applyAlignment="1">
      <alignment horizontal="left" vertical="center"/>
    </xf>
    <xf numFmtId="0" fontId="0" fillId="0" borderId="42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left" vertical="center"/>
    </xf>
    <xf numFmtId="0" fontId="0" fillId="0" borderId="44" xfId="0" applyNumberFormat="1" applyFill="1" applyBorder="1" applyAlignment="1">
      <alignment horizontal="center" vertical="center"/>
    </xf>
    <xf numFmtId="0" fontId="0" fillId="0" borderId="45" xfId="0" applyNumberFormat="1" applyFill="1" applyBorder="1" applyAlignment="1">
      <alignment horizontal="center" vertical="center"/>
    </xf>
    <xf numFmtId="0" fontId="8" fillId="11" borderId="46" xfId="0" applyNumberFormat="1" applyFont="1" applyFill="1" applyBorder="1" applyAlignment="1">
      <alignment horizontal="center" vertical="center"/>
    </xf>
    <xf numFmtId="0" fontId="8" fillId="11" borderId="47" xfId="0" applyNumberFormat="1" applyFont="1" applyFill="1" applyBorder="1" applyAlignment="1">
      <alignment horizontal="center" vertical="center"/>
    </xf>
    <xf numFmtId="0" fontId="8" fillId="11" borderId="48" xfId="0" applyNumberFormat="1" applyFon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 shrinkToFit="1"/>
    </xf>
    <xf numFmtId="0" fontId="0" fillId="0" borderId="45" xfId="0" applyNumberFormat="1" applyFill="1" applyBorder="1" applyAlignment="1">
      <alignment horizontal="center" vertical="center" shrinkToFit="1"/>
    </xf>
    <xf numFmtId="0" fontId="0" fillId="0" borderId="44" xfId="0" applyNumberFormat="1" applyFill="1" applyBorder="1" applyAlignment="1">
      <alignment vertical="top" shrinkToFit="1"/>
    </xf>
    <xf numFmtId="0" fontId="0" fillId="0" borderId="45" xfId="0" applyNumberFormat="1" applyFill="1" applyBorder="1" applyAlignment="1">
      <alignment vertical="top" shrinkToFit="1"/>
    </xf>
    <xf numFmtId="0" fontId="0" fillId="0" borderId="43" xfId="0" applyNumberForma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0" fontId="8" fillId="5" borderId="32" xfId="0" applyNumberFormat="1" applyFont="1" applyFill="1" applyBorder="1" applyAlignment="1" applyProtection="1">
      <alignment vertical="center"/>
    </xf>
    <xf numFmtId="0" fontId="8" fillId="5" borderId="4" xfId="0" applyNumberFormat="1" applyFont="1" applyFill="1" applyBorder="1" applyAlignment="1" applyProtection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2" xfId="3" applyNumberFormat="1" applyFont="1" applyBorder="1" applyAlignment="1">
      <alignment horizontal="center" vertical="center"/>
    </xf>
    <xf numFmtId="9" fontId="0" fillId="10" borderId="2" xfId="3" applyNumberFormat="1" applyFont="1" applyFill="1" applyBorder="1" applyAlignment="1">
      <alignment horizontal="center" vertical="center"/>
    </xf>
    <xf numFmtId="9" fontId="0" fillId="0" borderId="0" xfId="3" applyNumberFormat="1" applyFont="1" applyAlignment="1">
      <alignment horizontal="center" vertical="center"/>
    </xf>
    <xf numFmtId="0" fontId="7" fillId="0" borderId="2" xfId="0" applyNumberFormat="1" applyFont="1" applyBorder="1" applyAlignment="1" applyProtection="1">
      <alignment horizontal="center" vertical="center" wrapText="1"/>
    </xf>
    <xf numFmtId="0" fontId="7" fillId="0" borderId="2" xfId="0" applyNumberFormat="1" applyFont="1" applyBorder="1" applyAlignment="1" applyProtection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39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Border="1" applyAlignment="1" applyProtection="1">
      <alignment horizontal="center" vertical="center" wrapText="1"/>
    </xf>
    <xf numFmtId="0" fontId="40" fillId="0" borderId="0" xfId="0" applyNumberFormat="1" applyFont="1" applyBorder="1" applyAlignment="1" applyProtection="1">
      <alignment horizontal="center" vertical="center" wrapText="1"/>
    </xf>
    <xf numFmtId="0" fontId="10" fillId="0" borderId="0" xfId="0" applyNumberFormat="1" applyFont="1" applyBorder="1" applyAlignment="1" applyProtection="1">
      <alignment vertical="center" wrapText="1"/>
    </xf>
    <xf numFmtId="0" fontId="7" fillId="12" borderId="0" xfId="0" applyNumberFormat="1" applyFont="1" applyFill="1" applyBorder="1" applyAlignment="1" applyProtection="1">
      <alignment horizontal="center" vertical="center" wrapText="1"/>
    </xf>
    <xf numFmtId="0" fontId="41" fillId="0" borderId="0" xfId="0" applyNumberFormat="1" applyFont="1" applyBorder="1" applyAlignment="1" applyProtection="1">
      <alignment horizontal="center" vertical="center" wrapText="1"/>
    </xf>
    <xf numFmtId="0" fontId="12" fillId="3" borderId="0" xfId="0" applyNumberFormat="1" applyFont="1" applyFill="1" applyAlignment="1">
      <alignment horizontal="center" vertical="center" shrinkToFit="1"/>
    </xf>
    <xf numFmtId="0" fontId="0" fillId="4" borderId="25" xfId="0" applyNumberFormat="1" applyFont="1" applyFill="1" applyBorder="1" applyAlignment="1" applyProtection="1">
      <alignment horizontal="center" vertical="center"/>
    </xf>
    <xf numFmtId="0" fontId="0" fillId="4" borderId="25" xfId="0" applyNumberFormat="1" applyFont="1" applyFill="1" applyBorder="1" applyAlignment="1" applyProtection="1">
      <alignment vertical="center"/>
    </xf>
    <xf numFmtId="0" fontId="0" fillId="4" borderId="12" xfId="0" applyNumberFormat="1" applyFont="1" applyFill="1" applyBorder="1" applyAlignment="1" applyProtection="1">
      <alignment horizontal="center" vertical="center"/>
    </xf>
    <xf numFmtId="0" fontId="13" fillId="0" borderId="0" xfId="0" quotePrefix="1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quotePrefix="1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 shrinkToFit="1"/>
    </xf>
    <xf numFmtId="0" fontId="42" fillId="0" borderId="0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 applyProtection="1">
      <alignment horizontal="center" vertical="center"/>
      <protection locked="0"/>
    </xf>
    <xf numFmtId="0" fontId="18" fillId="4" borderId="0" xfId="0" applyNumberFormat="1" applyFont="1" applyFill="1" applyAlignment="1" applyProtection="1">
      <alignment horizontal="center" vertical="center"/>
      <protection locked="0" hidden="1"/>
    </xf>
    <xf numFmtId="0" fontId="7" fillId="0" borderId="2" xfId="0" applyNumberFormat="1" applyFont="1" applyBorder="1" applyAlignment="1" applyProtection="1">
      <alignment horizontal="center" vertical="center" wrapText="1"/>
    </xf>
    <xf numFmtId="0" fontId="43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Alignment="1">
      <alignment vertical="center"/>
    </xf>
    <xf numFmtId="0" fontId="13" fillId="3" borderId="0" xfId="0" applyNumberFormat="1" applyFont="1" applyFill="1" applyAlignment="1" applyProtection="1">
      <alignment vertical="center"/>
    </xf>
    <xf numFmtId="0" fontId="44" fillId="3" borderId="0" xfId="0" applyNumberFormat="1" applyFont="1" applyFill="1" applyAlignment="1">
      <alignment horizontal="center" vertical="center" shrinkToFit="1"/>
    </xf>
    <xf numFmtId="0" fontId="44" fillId="3" borderId="0" xfId="0" applyNumberFormat="1" applyFont="1" applyFill="1" applyAlignment="1">
      <alignment vertical="center" shrinkToFit="1"/>
    </xf>
    <xf numFmtId="0" fontId="44" fillId="3" borderId="0" xfId="0" applyNumberFormat="1" applyFont="1" applyFill="1" applyAlignment="1" applyProtection="1">
      <alignment horizontal="center" vertical="center" shrinkToFit="1"/>
    </xf>
    <xf numFmtId="0" fontId="44" fillId="3" borderId="0" xfId="0" applyNumberFormat="1" applyFont="1" applyFill="1" applyAlignment="1" applyProtection="1">
      <alignment vertical="center" shrinkToFit="1"/>
    </xf>
    <xf numFmtId="0" fontId="0" fillId="1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 applyProtection="1">
      <alignment horizontal="center" vertical="center" wrapText="1"/>
    </xf>
    <xf numFmtId="176" fontId="45" fillId="0" borderId="0" xfId="0" applyNumberFormat="1" applyFont="1" applyBorder="1" applyAlignment="1" applyProtection="1">
      <alignment horizontal="center" vertical="center" wrapText="1"/>
    </xf>
    <xf numFmtId="0" fontId="17" fillId="3" borderId="5" xfId="0" applyNumberFormat="1" applyFont="1" applyFill="1" applyBorder="1" applyAlignment="1" applyProtection="1">
      <alignment horizontal="center" vertical="center" wrapText="1"/>
    </xf>
    <xf numFmtId="0" fontId="17" fillId="3" borderId="3" xfId="0" applyNumberFormat="1" applyFont="1" applyFill="1" applyBorder="1" applyAlignment="1" applyProtection="1">
      <alignment horizontal="center" vertical="center" wrapText="1"/>
    </xf>
    <xf numFmtId="176" fontId="16" fillId="4" borderId="49" xfId="0" applyNumberFormat="1" applyFont="1" applyFill="1" applyBorder="1" applyAlignment="1" applyProtection="1">
      <alignment horizontal="center" vertical="center" wrapText="1"/>
    </xf>
    <xf numFmtId="176" fontId="16" fillId="4" borderId="50" xfId="0" applyNumberFormat="1" applyFont="1" applyFill="1" applyBorder="1" applyAlignment="1" applyProtection="1">
      <alignment horizontal="center" vertical="center" wrapText="1"/>
    </xf>
    <xf numFmtId="176" fontId="16" fillId="4" borderId="51" xfId="0" applyNumberFormat="1" applyFont="1" applyFill="1" applyBorder="1" applyAlignment="1" applyProtection="1">
      <alignment horizontal="center" vertical="center" wrapText="1"/>
    </xf>
    <xf numFmtId="176" fontId="16" fillId="4" borderId="52" xfId="0" applyNumberFormat="1" applyFont="1" applyFill="1" applyBorder="1" applyAlignment="1" applyProtection="1">
      <alignment horizontal="center" vertical="center" wrapText="1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10" borderId="2" xfId="0" applyNumberFormat="1" applyFont="1" applyFill="1" applyBorder="1" applyAlignment="1" applyProtection="1">
      <alignment horizontal="center" vertical="center"/>
    </xf>
    <xf numFmtId="9" fontId="0" fillId="0" borderId="2" xfId="0" applyNumberFormat="1" applyFont="1" applyFill="1" applyBorder="1" applyAlignment="1" applyProtection="1">
      <alignment horizontal="center" vertical="center"/>
    </xf>
    <xf numFmtId="9" fontId="0" fillId="10" borderId="2" xfId="0" applyNumberFormat="1" applyFont="1" applyFill="1" applyBorder="1" applyAlignment="1" applyProtection="1">
      <alignment horizontal="center" vertical="center"/>
    </xf>
    <xf numFmtId="176" fontId="16" fillId="4" borderId="53" xfId="0" applyNumberFormat="1" applyFont="1" applyFill="1" applyBorder="1" applyAlignment="1" applyProtection="1">
      <alignment vertical="center" shrinkToFit="1"/>
    </xf>
    <xf numFmtId="176" fontId="16" fillId="4" borderId="54" xfId="0" applyNumberFormat="1" applyFont="1" applyFill="1" applyBorder="1" applyAlignment="1" applyProtection="1">
      <alignment vertical="center" shrinkToFit="1"/>
    </xf>
    <xf numFmtId="176" fontId="16" fillId="4" borderId="22" xfId="0" applyNumberFormat="1" applyFont="1" applyFill="1" applyBorder="1" applyAlignment="1" applyProtection="1">
      <alignment vertical="center" shrinkToFit="1"/>
    </xf>
    <xf numFmtId="0" fontId="46" fillId="3" borderId="0" xfId="0" applyNumberFormat="1" applyFont="1" applyFill="1" applyAlignment="1" applyProtection="1">
      <alignment horizontal="center" vertical="center" shrinkToFit="1"/>
    </xf>
    <xf numFmtId="0" fontId="46" fillId="3" borderId="0" xfId="0" applyNumberFormat="1" applyFont="1" applyFill="1" applyAlignment="1" applyProtection="1">
      <alignment vertical="center" shrinkToFit="1"/>
    </xf>
    <xf numFmtId="0" fontId="13" fillId="3" borderId="0" xfId="0" applyNumberFormat="1" applyFont="1" applyFill="1" applyAlignment="1" applyProtection="1">
      <alignment vertical="center"/>
    </xf>
    <xf numFmtId="0" fontId="13" fillId="3" borderId="0" xfId="0" applyNumberFormat="1" applyFont="1" applyFill="1" applyAlignment="1">
      <alignment vertical="center"/>
    </xf>
    <xf numFmtId="2" fontId="46" fillId="3" borderId="0" xfId="0" applyNumberFormat="1" applyFont="1" applyFill="1" applyAlignment="1" applyProtection="1">
      <alignment vertical="center" shrinkToFit="1"/>
    </xf>
    <xf numFmtId="14" fontId="35" fillId="4" borderId="2" xfId="0" applyNumberFormat="1" applyFont="1" applyFill="1" applyBorder="1" applyAlignment="1" applyProtection="1">
      <alignment horizontal="center" vertical="center" wrapText="1"/>
      <protection locked="0"/>
    </xf>
    <xf numFmtId="176" fontId="16" fillId="4" borderId="55" xfId="0" applyNumberFormat="1" applyFont="1" applyFill="1" applyBorder="1" applyAlignment="1" applyProtection="1">
      <alignment vertical="center" shrinkToFit="1"/>
    </xf>
    <xf numFmtId="0" fontId="23" fillId="3" borderId="8" xfId="0" applyNumberFormat="1" applyFont="1" applyFill="1" applyBorder="1" applyAlignment="1" applyProtection="1">
      <alignment horizontal="center" vertical="center" wrapText="1"/>
    </xf>
    <xf numFmtId="176" fontId="16" fillId="4" borderId="56" xfId="0" applyNumberFormat="1" applyFont="1" applyFill="1" applyBorder="1" applyAlignment="1" applyProtection="1">
      <alignment vertical="center" shrinkToFit="1"/>
    </xf>
    <xf numFmtId="0" fontId="23" fillId="3" borderId="57" xfId="0" applyNumberFormat="1" applyFont="1" applyFill="1" applyBorder="1" applyAlignment="1" applyProtection="1">
      <alignment horizontal="center" vertical="center" shrinkToFit="1"/>
    </xf>
    <xf numFmtId="0" fontId="23" fillId="3" borderId="8" xfId="0" applyNumberFormat="1" applyFont="1" applyFill="1" applyBorder="1" applyAlignment="1" applyProtection="1">
      <alignment horizontal="center" vertical="center" shrinkToFit="1"/>
    </xf>
    <xf numFmtId="0" fontId="13" fillId="3" borderId="0" xfId="0" applyNumberFormat="1" applyFont="1" applyFill="1" applyAlignment="1">
      <alignment horizontal="center" vertical="center" shrinkToFit="1"/>
    </xf>
    <xf numFmtId="0" fontId="13" fillId="4" borderId="0" xfId="0" applyNumberFormat="1" applyFont="1" applyFill="1" applyAlignment="1" applyProtection="1">
      <alignment horizontal="center" vertical="center"/>
    </xf>
    <xf numFmtId="176" fontId="13" fillId="3" borderId="0" xfId="0" applyNumberFormat="1" applyFont="1" applyFill="1" applyAlignment="1">
      <alignment vertical="center"/>
    </xf>
    <xf numFmtId="176" fontId="46" fillId="3" borderId="0" xfId="0" applyNumberFormat="1" applyFont="1" applyFill="1" applyAlignment="1" applyProtection="1">
      <alignment horizontal="center" vertical="center" shrinkToFit="1"/>
    </xf>
    <xf numFmtId="0" fontId="47" fillId="3" borderId="0" xfId="0" applyNumberFormat="1" applyFont="1" applyFill="1" applyAlignment="1" applyProtection="1">
      <alignment horizontal="center" vertical="center" shrinkToFit="1"/>
    </xf>
    <xf numFmtId="178" fontId="13" fillId="4" borderId="0" xfId="0" applyNumberFormat="1" applyFont="1" applyFill="1" applyAlignment="1" applyProtection="1">
      <alignment horizontal="center" vertical="center"/>
    </xf>
    <xf numFmtId="0" fontId="35" fillId="4" borderId="49" xfId="0" applyNumberFormat="1" applyFont="1" applyFill="1" applyBorder="1" applyAlignment="1" applyProtection="1">
      <alignment horizontal="center" vertical="center" wrapText="1"/>
    </xf>
    <xf numFmtId="0" fontId="35" fillId="4" borderId="50" xfId="0" applyNumberFormat="1" applyFont="1" applyFill="1" applyBorder="1" applyAlignment="1" applyProtection="1">
      <alignment horizontal="center" vertical="center" wrapText="1"/>
    </xf>
    <xf numFmtId="0" fontId="35" fillId="4" borderId="52" xfId="0" applyNumberFormat="1" applyFont="1" applyFill="1" applyBorder="1" applyAlignment="1" applyProtection="1">
      <alignment horizontal="center" vertical="center" wrapText="1"/>
    </xf>
    <xf numFmtId="0" fontId="48" fillId="3" borderId="0" xfId="0" applyNumberFormat="1" applyFont="1" applyFill="1" applyAlignment="1">
      <alignment horizontal="center" vertical="center"/>
    </xf>
    <xf numFmtId="2" fontId="48" fillId="3" borderId="0" xfId="0" applyNumberFormat="1" applyFont="1" applyFill="1" applyAlignment="1">
      <alignment horizontal="center" vertical="center"/>
    </xf>
    <xf numFmtId="0" fontId="48" fillId="3" borderId="0" xfId="0" applyNumberFormat="1" applyFont="1" applyFill="1" applyAlignment="1">
      <alignment horizontal="center" vertical="center" shrinkToFit="1"/>
    </xf>
    <xf numFmtId="14" fontId="48" fillId="3" borderId="0" xfId="0" applyNumberFormat="1" applyFont="1" applyFill="1" applyAlignment="1">
      <alignment horizontal="center" vertical="center" shrinkToFit="1"/>
    </xf>
    <xf numFmtId="183" fontId="48" fillId="3" borderId="0" xfId="0" applyNumberFormat="1" applyFont="1" applyFill="1" applyAlignment="1">
      <alignment horizontal="center" vertical="center" shrinkToFit="1"/>
    </xf>
    <xf numFmtId="14" fontId="16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16" fillId="4" borderId="2" xfId="0" applyNumberFormat="1" applyFont="1" applyFill="1" applyBorder="1" applyAlignment="1" applyProtection="1">
      <alignment horizontal="justify" vertical="center" wrapText="1"/>
    </xf>
    <xf numFmtId="0" fontId="49" fillId="4" borderId="58" xfId="0" applyNumberFormat="1" applyFont="1" applyFill="1" applyBorder="1" applyAlignment="1" applyProtection="1">
      <alignment horizontal="center" vertical="center" shrinkToFit="1"/>
      <protection locked="0"/>
    </xf>
    <xf numFmtId="14" fontId="16" fillId="4" borderId="58" xfId="0" applyNumberFormat="1" applyFont="1" applyFill="1" applyBorder="1" applyAlignment="1" applyProtection="1">
      <alignment horizontal="center" vertical="center" shrinkToFit="1"/>
      <protection locked="0"/>
    </xf>
    <xf numFmtId="0" fontId="16" fillId="4" borderId="5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60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0" xfId="0" applyNumberFormat="1" applyFont="1" applyFill="1" applyAlignment="1" applyProtection="1">
      <alignment horizontal="center" vertical="center" shrinkToFit="1"/>
    </xf>
    <xf numFmtId="2" fontId="37" fillId="13" borderId="2" xfId="0" applyNumberFormat="1" applyFont="1" applyFill="1" applyBorder="1" applyAlignment="1" applyProtection="1">
      <alignment vertical="center"/>
      <protection hidden="1"/>
    </xf>
    <xf numFmtId="2" fontId="37" fillId="13" borderId="2" xfId="0" applyNumberFormat="1" applyFont="1" applyFill="1" applyBorder="1" applyAlignment="1" applyProtection="1">
      <alignment horizontal="right" vertical="center"/>
      <protection hidden="1"/>
    </xf>
    <xf numFmtId="176" fontId="0" fillId="10" borderId="2" xfId="0" applyNumberFormat="1" applyFont="1" applyFill="1" applyBorder="1" applyAlignment="1" applyProtection="1">
      <alignment horizontal="center" vertical="center" wrapText="1"/>
      <protection hidden="1"/>
    </xf>
    <xf numFmtId="176" fontId="0" fillId="10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2" xfId="0" applyNumberFormat="1" applyFont="1" applyFill="1" applyBorder="1" applyAlignment="1" applyProtection="1">
      <alignment horizontal="center" vertical="center"/>
      <protection hidden="1"/>
    </xf>
    <xf numFmtId="49" fontId="0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10" fillId="14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14" borderId="2" xfId="0" applyNumberFormat="1" applyFont="1" applyFill="1" applyBorder="1" applyAlignment="1" applyProtection="1">
      <alignment horizontal="center" vertical="center" wrapText="1"/>
      <protection hidden="1"/>
    </xf>
    <xf numFmtId="176" fontId="50" fillId="0" borderId="44" xfId="0" applyNumberFormat="1" applyFont="1" applyBorder="1" applyAlignment="1" applyProtection="1">
      <alignment horizontal="center" vertical="center" wrapText="1"/>
    </xf>
    <xf numFmtId="2" fontId="7" fillId="0" borderId="0" xfId="0" applyNumberFormat="1" applyFont="1" applyAlignment="1" applyProtection="1">
      <alignment horizontal="center" vertical="center"/>
    </xf>
    <xf numFmtId="176" fontId="13" fillId="3" borderId="0" xfId="0" applyNumberFormat="1" applyFont="1" applyFill="1" applyBorder="1" applyAlignment="1" applyProtection="1">
      <alignment vertical="center"/>
    </xf>
    <xf numFmtId="14" fontId="13" fillId="3" borderId="0" xfId="0" applyNumberFormat="1" applyFont="1" applyFill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 shrinkToFit="1"/>
    </xf>
    <xf numFmtId="14" fontId="13" fillId="3" borderId="0" xfId="0" applyNumberFormat="1" applyFont="1" applyFill="1" applyAlignment="1">
      <alignment horizontal="center" vertical="center" shrinkToFit="1"/>
    </xf>
    <xf numFmtId="0" fontId="12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left" vertical="center"/>
    </xf>
    <xf numFmtId="0" fontId="12" fillId="3" borderId="0" xfId="0" applyNumberFormat="1" applyFont="1" applyFill="1" applyAlignment="1">
      <alignment horizontal="center" vertical="center" shrinkToFit="1"/>
    </xf>
    <xf numFmtId="14" fontId="12" fillId="3" borderId="0" xfId="0" applyNumberFormat="1" applyFont="1" applyFill="1" applyAlignment="1">
      <alignment horizontal="center" vertical="center" shrinkToFit="1"/>
    </xf>
    <xf numFmtId="2" fontId="12" fillId="3" borderId="0" xfId="0" applyNumberFormat="1" applyFont="1" applyFill="1" applyAlignment="1">
      <alignment horizontal="center" vertical="center" shrinkToFit="1"/>
    </xf>
    <xf numFmtId="2" fontId="12" fillId="3" borderId="0" xfId="0" applyNumberFormat="1" applyFont="1" applyFill="1" applyBorder="1" applyAlignment="1" applyProtection="1">
      <alignment horizontal="center" vertical="center" shrinkToFit="1"/>
    </xf>
    <xf numFmtId="176" fontId="12" fillId="3" borderId="0" xfId="0" applyNumberFormat="1" applyFont="1" applyFill="1" applyAlignment="1">
      <alignment horizontal="center" vertical="center" shrinkToFit="1"/>
    </xf>
    <xf numFmtId="183" fontId="12" fillId="3" borderId="0" xfId="0" applyNumberFormat="1" applyFont="1" applyFill="1" applyAlignment="1">
      <alignment horizontal="center" vertical="center" shrinkToFit="1"/>
    </xf>
    <xf numFmtId="0" fontId="16" fillId="4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61" xfId="0" applyNumberFormat="1" applyFont="1" applyBorder="1" applyAlignment="1" applyProtection="1">
      <alignment horizontal="center" vertical="center" wrapText="1"/>
    </xf>
    <xf numFmtId="0" fontId="7" fillId="0" borderId="62" xfId="0" applyNumberFormat="1" applyFont="1" applyBorder="1" applyAlignment="1" applyProtection="1">
      <alignment horizontal="center" vertical="center" shrinkToFit="1"/>
    </xf>
    <xf numFmtId="0" fontId="51" fillId="0" borderId="43" xfId="0" applyNumberFormat="1" applyFont="1" applyBorder="1" applyAlignment="1" applyProtection="1">
      <alignment horizontal="center" vertical="center" wrapText="1"/>
    </xf>
    <xf numFmtId="0" fontId="51" fillId="0" borderId="44" xfId="0" applyNumberFormat="1" applyFont="1" applyBorder="1" applyAlignment="1" applyProtection="1">
      <alignment horizontal="center" vertical="center" wrapText="1"/>
    </xf>
    <xf numFmtId="0" fontId="52" fillId="0" borderId="2" xfId="0" applyNumberFormat="1" applyFont="1" applyBorder="1" applyAlignment="1" applyProtection="1">
      <alignment horizontal="center" vertical="center" wrapText="1"/>
    </xf>
    <xf numFmtId="0" fontId="53" fillId="0" borderId="2" xfId="0" applyNumberFormat="1" applyFont="1" applyBorder="1" applyAlignment="1" applyProtection="1">
      <alignment horizontal="center" vertical="center" shrinkToFit="1"/>
    </xf>
    <xf numFmtId="0" fontId="53" fillId="0" borderId="42" xfId="0" applyNumberFormat="1" applyFont="1" applyBorder="1" applyAlignment="1" applyProtection="1">
      <alignment horizontal="center" vertical="center" wrapText="1"/>
    </xf>
    <xf numFmtId="0" fontId="52" fillId="0" borderId="44" xfId="0" applyNumberFormat="1" applyFont="1" applyBorder="1" applyAlignment="1" applyProtection="1">
      <alignment horizontal="center" vertical="center" wrapText="1"/>
    </xf>
    <xf numFmtId="0" fontId="53" fillId="0" borderId="44" xfId="0" applyNumberFormat="1" applyFont="1" applyBorder="1" applyAlignment="1" applyProtection="1">
      <alignment horizontal="center" vertical="center" shrinkToFit="1"/>
    </xf>
    <xf numFmtId="0" fontId="53" fillId="0" borderId="45" xfId="0" applyNumberFormat="1" applyFont="1" applyBorder="1" applyAlignment="1" applyProtection="1">
      <alignment horizontal="center" vertical="center" wrapText="1"/>
    </xf>
    <xf numFmtId="0" fontId="54" fillId="10" borderId="0" xfId="0" applyNumberFormat="1" applyFont="1" applyFill="1" applyBorder="1" applyAlignment="1" applyProtection="1">
      <alignment horizontal="center" vertical="center" shrinkToFit="1"/>
      <protection hidden="1"/>
    </xf>
    <xf numFmtId="0" fontId="4" fillId="10" borderId="0" xfId="0" applyNumberFormat="1" applyFont="1" applyFill="1" applyBorder="1" applyAlignment="1" applyProtection="1">
      <alignment horizontal="center" vertical="center" shrinkToFit="1"/>
      <protection hidden="1"/>
    </xf>
    <xf numFmtId="0" fontId="4" fillId="0" borderId="0" xfId="0" applyNumberFormat="1" applyFont="1" applyFill="1" applyBorder="1" applyAlignment="1" applyProtection="1">
      <alignment horizontal="center" vertical="center" shrinkToFit="1"/>
      <protection hidden="1"/>
    </xf>
    <xf numFmtId="176" fontId="11" fillId="15" borderId="2" xfId="0" applyNumberFormat="1" applyFont="1" applyFill="1" applyBorder="1" applyAlignment="1" applyProtection="1">
      <alignment horizontal="center" vertical="center" shrinkToFit="1"/>
      <protection hidden="1"/>
    </xf>
    <xf numFmtId="176" fontId="11" fillId="15" borderId="2" xfId="0" applyNumberFormat="1" applyFont="1" applyFill="1" applyBorder="1" applyAlignment="1" applyProtection="1">
      <alignment horizontal="center" vertical="center" wrapText="1" shrinkToFit="1"/>
      <protection hidden="1"/>
    </xf>
    <xf numFmtId="0" fontId="11" fillId="15" borderId="2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63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63" xfId="0" quotePrefix="1" applyNumberFormat="1" applyFont="1" applyFill="1" applyBorder="1" applyAlignment="1" applyProtection="1">
      <alignment horizontal="center" vertical="center" shrinkToFit="1"/>
      <protection hidden="1"/>
    </xf>
    <xf numFmtId="180" fontId="11" fillId="0" borderId="63" xfId="0" applyNumberFormat="1" applyFont="1" applyFill="1" applyBorder="1" applyAlignment="1" applyProtection="1">
      <alignment horizontal="center" vertical="center" shrinkToFit="1"/>
      <protection hidden="1"/>
    </xf>
    <xf numFmtId="14" fontId="11" fillId="0" borderId="63" xfId="0" applyNumberFormat="1" applyFont="1" applyFill="1" applyBorder="1" applyAlignment="1" applyProtection="1">
      <alignment horizontal="center" vertical="center" shrinkToFit="1"/>
      <protection hidden="1"/>
    </xf>
    <xf numFmtId="178" fontId="11" fillId="0" borderId="63" xfId="0" applyNumberFormat="1" applyFont="1" applyFill="1" applyBorder="1" applyAlignment="1" applyProtection="1">
      <alignment horizontal="center" vertical="center" shrinkToFit="1"/>
      <protection hidden="1"/>
    </xf>
    <xf numFmtId="176" fontId="11" fillId="0" borderId="63" xfId="0" applyNumberFormat="1" applyFont="1" applyFill="1" applyBorder="1" applyAlignment="1" applyProtection="1">
      <alignment horizontal="center" vertical="center" shrinkToFit="1"/>
      <protection hidden="1"/>
    </xf>
    <xf numFmtId="176" fontId="11" fillId="15" borderId="63" xfId="0" applyNumberFormat="1" applyFont="1" applyFill="1" applyBorder="1" applyAlignment="1" applyProtection="1">
      <alignment horizontal="center" vertical="center" shrinkToFit="1"/>
      <protection hidden="1"/>
    </xf>
    <xf numFmtId="178" fontId="6" fillId="15" borderId="27" xfId="0" applyNumberFormat="1" applyFont="1" applyFill="1" applyBorder="1" applyAlignment="1" applyProtection="1">
      <alignment horizontal="center" vertical="center" shrinkToFit="1"/>
      <protection hidden="1"/>
    </xf>
    <xf numFmtId="0" fontId="4" fillId="0" borderId="63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64" xfId="0" applyNumberFormat="1" applyFont="1" applyFill="1" applyBorder="1" applyAlignment="1" applyProtection="1">
      <alignment horizontal="center" vertical="center" shrinkToFit="1"/>
      <protection hidden="1"/>
    </xf>
    <xf numFmtId="176" fontId="54" fillId="0" borderId="2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0" applyNumberFormat="1" applyFont="1" applyFill="1" applyBorder="1" applyAlignment="1" applyProtection="1">
      <alignment horizontal="center" vertical="center" shrinkToFit="1"/>
      <protection hidden="1"/>
    </xf>
    <xf numFmtId="0" fontId="4" fillId="0" borderId="2" xfId="0" applyNumberFormat="1" applyFont="1" applyFill="1" applyBorder="1" applyAlignment="1" applyProtection="1">
      <alignment horizontal="center" vertical="center" shrinkToFit="1"/>
      <protection hidden="1"/>
    </xf>
    <xf numFmtId="176" fontId="4" fillId="0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0" borderId="2" xfId="0" applyNumberFormat="1" applyFont="1" applyFill="1" applyBorder="1" applyAlignment="1" applyProtection="1">
      <alignment horizontal="center" vertical="center" shrinkToFit="1"/>
      <protection hidden="1"/>
    </xf>
    <xf numFmtId="14" fontId="4" fillId="0" borderId="2" xfId="0" applyNumberFormat="1" applyFont="1" applyFill="1" applyBorder="1" applyAlignment="1" applyProtection="1">
      <alignment horizontal="center" vertical="center" shrinkToFit="1"/>
      <protection hidden="1"/>
    </xf>
    <xf numFmtId="2" fontId="54" fillId="0" borderId="2" xfId="0" applyNumberFormat="1" applyFont="1" applyFill="1" applyBorder="1" applyAlignment="1" applyProtection="1">
      <alignment horizontal="center" vertical="center" shrinkToFit="1"/>
      <protection hidden="1"/>
    </xf>
    <xf numFmtId="49" fontId="0" fillId="4" borderId="2" xfId="0" applyNumberFormat="1" applyFont="1" applyFill="1" applyBorder="1" applyAlignment="1" applyProtection="1">
      <alignment horizontal="center" vertical="center" shrinkToFit="1"/>
      <protection locked="0"/>
    </xf>
    <xf numFmtId="176" fontId="7" fillId="0" borderId="0" xfId="0" applyNumberFormat="1" applyFont="1" applyAlignment="1" applyProtection="1">
      <alignment horizontal="center" vertical="center"/>
    </xf>
    <xf numFmtId="0" fontId="10" fillId="0" borderId="4" xfId="0" applyNumberFormat="1" applyFont="1" applyBorder="1" applyAlignment="1" applyProtection="1">
      <alignment horizontal="center" vertical="center" wrapText="1"/>
    </xf>
    <xf numFmtId="0" fontId="55" fillId="16" borderId="30" xfId="0" applyNumberFormat="1" applyFont="1" applyFill="1" applyBorder="1" applyAlignment="1" applyProtection="1">
      <alignment vertical="center"/>
    </xf>
    <xf numFmtId="0" fontId="56" fillId="16" borderId="1" xfId="0" applyNumberFormat="1" applyFont="1" applyFill="1" applyBorder="1" applyAlignment="1" applyProtection="1">
      <alignment horizontal="center" vertical="center" wrapText="1"/>
    </xf>
    <xf numFmtId="0" fontId="56" fillId="16" borderId="32" xfId="0" applyNumberFormat="1" applyFont="1" applyFill="1" applyBorder="1" applyAlignment="1" applyProtection="1">
      <alignment horizontal="center" vertical="center" wrapText="1"/>
    </xf>
    <xf numFmtId="0" fontId="56" fillId="16" borderId="4" xfId="0" applyNumberFormat="1" applyFont="1" applyFill="1" applyBorder="1" applyAlignment="1" applyProtection="1">
      <alignment horizontal="center" vertical="center" wrapText="1"/>
    </xf>
    <xf numFmtId="49" fontId="0" fillId="4" borderId="1" xfId="0" applyNumberFormat="1" applyFont="1" applyFill="1" applyBorder="1" applyAlignment="1" applyProtection="1">
      <alignment horizontal="left" vertical="center"/>
      <protection locked="0"/>
    </xf>
    <xf numFmtId="0" fontId="0" fillId="4" borderId="32" xfId="0" applyNumberFormat="1" applyFont="1" applyFill="1" applyBorder="1" applyAlignment="1" applyProtection="1">
      <alignment horizontal="left" vertical="center"/>
      <protection locked="0"/>
    </xf>
    <xf numFmtId="0" fontId="0" fillId="4" borderId="4" xfId="0" applyNumberFormat="1" applyFont="1" applyFill="1" applyBorder="1" applyAlignment="1" applyProtection="1">
      <alignment horizontal="left" vertical="center"/>
      <protection locked="0"/>
    </xf>
    <xf numFmtId="178" fontId="57" fillId="10" borderId="1" xfId="0" applyNumberFormat="1" applyFont="1" applyFill="1" applyBorder="1" applyAlignment="1" applyProtection="1">
      <alignment horizontal="center" vertical="center" shrinkToFit="1"/>
      <protection hidden="1"/>
    </xf>
    <xf numFmtId="178" fontId="57" fillId="10" borderId="32" xfId="0" applyNumberFormat="1" applyFont="1" applyFill="1" applyBorder="1" applyAlignment="1" applyProtection="1">
      <alignment horizontal="center" vertical="center" shrinkToFit="1"/>
      <protection hidden="1"/>
    </xf>
    <xf numFmtId="178" fontId="57" fillId="10" borderId="4" xfId="0" applyNumberFormat="1" applyFont="1" applyFill="1" applyBorder="1" applyAlignment="1" applyProtection="1">
      <alignment horizontal="center" vertical="center" shrinkToFit="1"/>
      <protection hidden="1"/>
    </xf>
    <xf numFmtId="0" fontId="0" fillId="4" borderId="1" xfId="0" applyNumberFormat="1" applyFont="1" applyFill="1" applyBorder="1" applyAlignment="1" applyProtection="1">
      <alignment horizontal="left" vertical="center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32" xfId="0" applyNumberFormat="1" applyFont="1" applyFill="1" applyBorder="1" applyAlignment="1" applyProtection="1">
      <alignment horizontal="center" vertical="center"/>
      <protection locked="0"/>
    </xf>
    <xf numFmtId="0" fontId="0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NumberFormat="1" applyFill="1" applyBorder="1" applyAlignment="1" applyProtection="1">
      <alignment horizontal="left" vertical="center"/>
      <protection locked="0"/>
    </xf>
    <xf numFmtId="14" fontId="55" fillId="16" borderId="28" xfId="0" applyNumberFormat="1" applyFont="1" applyFill="1" applyBorder="1" applyAlignment="1" applyProtection="1">
      <alignment horizontal="right" vertical="center"/>
    </xf>
    <xf numFmtId="14" fontId="55" fillId="16" borderId="65" xfId="0" applyNumberFormat="1" applyFont="1" applyFill="1" applyBorder="1" applyAlignment="1" applyProtection="1">
      <alignment horizontal="right" vertical="center"/>
    </xf>
    <xf numFmtId="0" fontId="0" fillId="4" borderId="32" xfId="0" applyNumberFormat="1" applyFill="1" applyBorder="1" applyAlignment="1" applyProtection="1">
      <alignment horizontal="left" vertical="center"/>
      <protection locked="0"/>
    </xf>
    <xf numFmtId="0" fontId="0" fillId="4" borderId="4" xfId="0" applyNumberFormat="1" applyFill="1" applyBorder="1" applyAlignment="1" applyProtection="1">
      <alignment horizontal="left" vertical="center"/>
      <protection locked="0"/>
    </xf>
    <xf numFmtId="0" fontId="37" fillId="13" borderId="1" xfId="0" applyNumberFormat="1" applyFont="1" applyFill="1" applyBorder="1" applyAlignment="1" applyProtection="1">
      <alignment horizontal="center" vertical="center"/>
    </xf>
    <xf numFmtId="0" fontId="37" fillId="13" borderId="32" xfId="0" applyNumberFormat="1" applyFont="1" applyFill="1" applyBorder="1" applyAlignment="1" applyProtection="1">
      <alignment horizontal="center" vertical="center"/>
    </xf>
    <xf numFmtId="0" fontId="37" fillId="13" borderId="4" xfId="0" applyNumberFormat="1" applyFont="1" applyFill="1" applyBorder="1" applyAlignment="1" applyProtection="1">
      <alignment horizontal="center" vertical="center"/>
    </xf>
    <xf numFmtId="0" fontId="37" fillId="17" borderId="1" xfId="0" applyNumberFormat="1" applyFont="1" applyFill="1" applyBorder="1" applyAlignment="1" applyProtection="1">
      <alignment horizontal="center" vertical="center" shrinkToFit="1"/>
    </xf>
    <xf numFmtId="0" fontId="37" fillId="17" borderId="32" xfId="0" applyNumberFormat="1" applyFont="1" applyFill="1" applyBorder="1" applyAlignment="1" applyProtection="1">
      <alignment horizontal="center" vertical="center" shrinkToFit="1"/>
    </xf>
    <xf numFmtId="0" fontId="37" fillId="17" borderId="4" xfId="0" applyNumberFormat="1" applyFont="1" applyFill="1" applyBorder="1" applyAlignment="1" applyProtection="1">
      <alignment horizontal="center" vertical="center" shrinkToFit="1"/>
    </xf>
    <xf numFmtId="0" fontId="0" fillId="2" borderId="2" xfId="0" applyNumberFormat="1" applyFill="1" applyBorder="1" applyAlignment="1" applyProtection="1">
      <alignment horizontal="center" vertical="center"/>
    </xf>
    <xf numFmtId="0" fontId="0" fillId="2" borderId="2" xfId="0" applyNumberFormat="1" applyFont="1" applyFill="1" applyBorder="1" applyAlignment="1" applyProtection="1">
      <alignment horizontal="center" vertical="center"/>
    </xf>
    <xf numFmtId="0" fontId="0" fillId="4" borderId="2" xfId="0" applyNumberFormat="1" applyFill="1" applyBorder="1" applyAlignment="1" applyProtection="1">
      <alignment horizontal="left" vertical="center" shrinkToFit="1"/>
      <protection locked="0"/>
    </xf>
    <xf numFmtId="0" fontId="0" fillId="4" borderId="2" xfId="0" applyNumberFormat="1" applyFont="1" applyFill="1" applyBorder="1" applyAlignment="1" applyProtection="1">
      <alignment horizontal="left" vertical="center" shrinkToFit="1"/>
      <protection locked="0"/>
    </xf>
    <xf numFmtId="0" fontId="0" fillId="2" borderId="22" xfId="0" applyNumberFormat="1" applyFont="1" applyFill="1" applyBorder="1" applyAlignment="1" applyProtection="1">
      <alignment horizontal="center" vertical="center"/>
    </xf>
    <xf numFmtId="0" fontId="0" fillId="2" borderId="66" xfId="0" applyNumberFormat="1" applyFont="1" applyFill="1" applyBorder="1" applyAlignment="1" applyProtection="1">
      <alignment horizontal="center" vertical="center"/>
    </xf>
    <xf numFmtId="0" fontId="0" fillId="2" borderId="21" xfId="0" applyNumberFormat="1" applyFont="1" applyFill="1" applyBorder="1" applyAlignment="1" applyProtection="1">
      <alignment horizontal="center" vertical="center"/>
    </xf>
    <xf numFmtId="0" fontId="7" fillId="2" borderId="2" xfId="0" applyNumberFormat="1" applyFont="1" applyFill="1" applyBorder="1" applyAlignment="1" applyProtection="1">
      <alignment horizontal="left" vertical="center" wrapText="1"/>
    </xf>
    <xf numFmtId="14" fontId="0" fillId="4" borderId="2" xfId="0" applyNumberFormat="1" applyFill="1" applyBorder="1" applyAlignment="1" applyProtection="1">
      <alignment horizontal="center" vertical="center"/>
      <protection locked="0"/>
    </xf>
    <xf numFmtId="14" fontId="0" fillId="4" borderId="2" xfId="0" applyNumberFormat="1" applyFont="1" applyFill="1" applyBorder="1" applyAlignment="1" applyProtection="1">
      <alignment horizontal="center" vertical="center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0" fontId="0" fillId="4" borderId="2" xfId="0" applyNumberFormat="1" applyFont="1" applyFill="1" applyBorder="1" applyAlignment="1" applyProtection="1">
      <alignment horizontal="left" vertical="center"/>
      <protection locked="0"/>
    </xf>
    <xf numFmtId="0" fontId="58" fillId="4" borderId="23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25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24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9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0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10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12" xfId="0" applyNumberFormat="1" applyFont="1" applyFill="1" applyBorder="1" applyAlignment="1" applyProtection="1">
      <alignment horizontal="center" vertical="center" wrapText="1" shrinkToFit="1"/>
      <protection hidden="1"/>
    </xf>
    <xf numFmtId="0" fontId="58" fillId="4" borderId="13" xfId="0" applyNumberFormat="1" applyFont="1" applyFill="1" applyBorder="1" applyAlignment="1" applyProtection="1">
      <alignment horizontal="center" vertical="center" wrapText="1" shrinkToFit="1"/>
      <protection hidden="1"/>
    </xf>
    <xf numFmtId="0" fontId="56" fillId="16" borderId="23" xfId="0" applyNumberFormat="1" applyFont="1" applyFill="1" applyBorder="1" applyAlignment="1" applyProtection="1">
      <alignment horizontal="center" vertical="center" shrinkToFit="1"/>
      <protection locked="0"/>
    </xf>
    <xf numFmtId="0" fontId="56" fillId="16" borderId="25" xfId="0" applyNumberFormat="1" applyFont="1" applyFill="1" applyBorder="1" applyAlignment="1" applyProtection="1">
      <alignment horizontal="center" vertical="center" shrinkToFit="1"/>
      <protection locked="0"/>
    </xf>
    <xf numFmtId="0" fontId="56" fillId="16" borderId="24" xfId="0" applyNumberFormat="1" applyFont="1" applyFill="1" applyBorder="1" applyAlignment="1" applyProtection="1">
      <alignment horizontal="center" vertical="center" shrinkToFit="1"/>
      <protection locked="0"/>
    </xf>
    <xf numFmtId="0" fontId="56" fillId="16" borderId="11" xfId="0" applyNumberFormat="1" applyFont="1" applyFill="1" applyBorder="1" applyAlignment="1" applyProtection="1">
      <alignment horizontal="center" vertical="center" shrinkToFit="1"/>
      <protection locked="0"/>
    </xf>
    <xf numFmtId="0" fontId="56" fillId="16" borderId="12" xfId="0" applyNumberFormat="1" applyFont="1" applyFill="1" applyBorder="1" applyAlignment="1" applyProtection="1">
      <alignment horizontal="center" vertical="center" shrinkToFit="1"/>
      <protection locked="0"/>
    </xf>
    <xf numFmtId="0" fontId="56" fillId="16" borderId="13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32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9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10" xfId="0" applyNumberFormat="1" applyFont="1" applyFill="1" applyBorder="1" applyAlignment="1">
      <alignment horizontal="left" vertical="center" wrapText="1"/>
    </xf>
    <xf numFmtId="0" fontId="0" fillId="4" borderId="11" xfId="0" applyNumberFormat="1" applyFont="1" applyFill="1" applyBorder="1" applyAlignment="1">
      <alignment horizontal="left" vertical="center" wrapText="1"/>
    </xf>
    <xf numFmtId="0" fontId="0" fillId="4" borderId="12" xfId="0" applyNumberFormat="1" applyFont="1" applyFill="1" applyBorder="1" applyAlignment="1">
      <alignment horizontal="left" vertical="center" wrapText="1"/>
    </xf>
    <xf numFmtId="0" fontId="0" fillId="4" borderId="13" xfId="0" applyNumberFormat="1" applyFont="1" applyFill="1" applyBorder="1" applyAlignment="1">
      <alignment horizontal="left" vertical="center" wrapText="1"/>
    </xf>
    <xf numFmtId="0" fontId="37" fillId="13" borderId="1" xfId="0" applyNumberFormat="1" applyFont="1" applyFill="1" applyBorder="1" applyAlignment="1" applyProtection="1">
      <alignment horizontal="center" vertical="center" shrinkToFit="1"/>
    </xf>
    <xf numFmtId="0" fontId="37" fillId="13" borderId="32" xfId="0" applyNumberFormat="1" applyFont="1" applyFill="1" applyBorder="1" applyAlignment="1" applyProtection="1">
      <alignment horizontal="center" vertical="center" shrinkToFit="1"/>
    </xf>
    <xf numFmtId="0" fontId="37" fillId="13" borderId="4" xfId="0" applyNumberFormat="1" applyFont="1" applyFill="1" applyBorder="1" applyAlignment="1" applyProtection="1">
      <alignment horizontal="center" vertical="center" shrinkToFit="1"/>
    </xf>
    <xf numFmtId="176" fontId="0" fillId="4" borderId="1" xfId="0" applyNumberFormat="1" applyFill="1" applyBorder="1" applyAlignment="1" applyProtection="1">
      <alignment horizontal="center" vertical="center"/>
      <protection locked="0"/>
    </xf>
    <xf numFmtId="176" fontId="0" fillId="4" borderId="32" xfId="0" applyNumberFormat="1" applyFont="1" applyFill="1" applyBorder="1" applyAlignment="1" applyProtection="1">
      <alignment horizontal="center" vertical="center"/>
      <protection locked="0"/>
    </xf>
    <xf numFmtId="176" fontId="0" fillId="4" borderId="4" xfId="0" applyNumberFormat="1" applyFont="1" applyFill="1" applyBorder="1" applyAlignment="1" applyProtection="1">
      <alignment horizontal="center" vertical="center"/>
      <protection locked="0"/>
    </xf>
    <xf numFmtId="176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</xf>
    <xf numFmtId="0" fontId="0" fillId="2" borderId="32" xfId="0" applyNumberFormat="1" applyFont="1" applyFill="1" applyBorder="1" applyAlignment="1" applyProtection="1">
      <alignment horizontal="center" vertical="center"/>
    </xf>
    <xf numFmtId="0" fontId="0" fillId="2" borderId="4" xfId="0" applyNumberFormat="1" applyFont="1" applyFill="1" applyBorder="1" applyAlignment="1" applyProtection="1">
      <alignment horizontal="center" vertical="center"/>
    </xf>
    <xf numFmtId="0" fontId="37" fillId="17" borderId="1" xfId="0" applyNumberFormat="1" applyFont="1" applyFill="1" applyBorder="1" applyAlignment="1" applyProtection="1">
      <alignment horizontal="center" vertical="center"/>
    </xf>
    <xf numFmtId="0" fontId="37" fillId="17" borderId="32" xfId="0" applyNumberFormat="1" applyFont="1" applyFill="1" applyBorder="1" applyAlignment="1" applyProtection="1">
      <alignment horizontal="center" vertical="center"/>
    </xf>
    <xf numFmtId="0" fontId="37" fillId="17" borderId="4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2" borderId="22" xfId="0" applyNumberFormat="1" applyFont="1" applyFill="1" applyBorder="1" applyAlignment="1" applyProtection="1">
      <alignment horizontal="center" vertical="center" wrapText="1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NumberFormat="1" applyFont="1" applyFill="1" applyAlignment="1">
      <alignment horizontal="right" vertical="center"/>
    </xf>
    <xf numFmtId="0" fontId="0" fillId="4" borderId="1" xfId="0" applyNumberFormat="1" applyFont="1" applyFill="1" applyBorder="1" applyAlignment="1" applyProtection="1">
      <alignment horizontal="left" vertical="center" shrinkToFit="1"/>
    </xf>
    <xf numFmtId="0" fontId="0" fillId="4" borderId="32" xfId="0" applyNumberFormat="1" applyFont="1" applyFill="1" applyBorder="1" applyAlignment="1" applyProtection="1">
      <alignment horizontal="left" vertical="center" shrinkToFit="1"/>
    </xf>
    <xf numFmtId="0" fontId="0" fillId="4" borderId="4" xfId="0" applyNumberFormat="1" applyFont="1" applyFill="1" applyBorder="1" applyAlignment="1" applyProtection="1">
      <alignment horizontal="left" vertical="center" shrinkToFit="1"/>
    </xf>
    <xf numFmtId="14" fontId="0" fillId="4" borderId="1" xfId="0" applyNumberFormat="1" applyFill="1" applyBorder="1" applyAlignment="1" applyProtection="1">
      <alignment horizontal="left" vertical="center"/>
      <protection locked="0"/>
    </xf>
    <xf numFmtId="14" fontId="0" fillId="4" borderId="32" xfId="0" applyNumberFormat="1" applyFont="1" applyFill="1" applyBorder="1" applyAlignment="1" applyProtection="1">
      <alignment horizontal="left" vertical="center"/>
      <protection locked="0"/>
    </xf>
    <xf numFmtId="14" fontId="0" fillId="4" borderId="4" xfId="0" applyNumberFormat="1" applyFont="1" applyFill="1" applyBorder="1" applyAlignment="1" applyProtection="1">
      <alignment horizontal="left" vertical="center"/>
      <protection locked="0"/>
    </xf>
    <xf numFmtId="180" fontId="0" fillId="4" borderId="1" xfId="0" applyNumberFormat="1" applyFont="1" applyFill="1" applyBorder="1" applyAlignment="1" applyProtection="1">
      <alignment horizontal="left" vertical="center"/>
      <protection locked="0"/>
    </xf>
    <xf numFmtId="180" fontId="0" fillId="4" borderId="32" xfId="0" applyNumberFormat="1" applyFont="1" applyFill="1" applyBorder="1" applyAlignment="1" applyProtection="1">
      <alignment horizontal="left" vertical="center"/>
      <protection locked="0"/>
    </xf>
    <xf numFmtId="180" fontId="0" fillId="4" borderId="4" xfId="0" applyNumberFormat="1" applyFont="1" applyFill="1" applyBorder="1" applyAlignment="1" applyProtection="1">
      <alignment horizontal="left" vertical="center"/>
      <protection locked="0"/>
    </xf>
    <xf numFmtId="0" fontId="16" fillId="4" borderId="52" xfId="0" applyNumberFormat="1" applyFont="1" applyFill="1" applyBorder="1" applyAlignment="1" applyProtection="1">
      <alignment horizontal="center" vertical="center" wrapText="1"/>
    </xf>
    <xf numFmtId="0" fontId="16" fillId="4" borderId="67" xfId="0" applyNumberFormat="1" applyFont="1" applyFill="1" applyBorder="1" applyAlignment="1" applyProtection="1">
      <alignment horizontal="center" vertical="center" wrapText="1"/>
    </xf>
    <xf numFmtId="0" fontId="16" fillId="4" borderId="68" xfId="0" applyNumberFormat="1" applyFont="1" applyFill="1" applyBorder="1" applyAlignment="1" applyProtection="1">
      <alignment horizontal="center" vertical="center" wrapText="1"/>
    </xf>
    <xf numFmtId="14" fontId="16" fillId="4" borderId="4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6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49" xfId="0" applyNumberFormat="1" applyFont="1" applyFill="1" applyBorder="1" applyAlignment="1" applyProtection="1">
      <alignment horizontal="center" vertical="center" wrapText="1"/>
    </xf>
    <xf numFmtId="0" fontId="16" fillId="4" borderId="69" xfId="0" applyNumberFormat="1" applyFont="1" applyFill="1" applyBorder="1" applyAlignment="1" applyProtection="1">
      <alignment horizontal="center" vertical="center" wrapText="1"/>
    </xf>
    <xf numFmtId="0" fontId="16" fillId="4" borderId="70" xfId="0" applyNumberFormat="1" applyFont="1" applyFill="1" applyBorder="1" applyAlignment="1" applyProtection="1">
      <alignment horizontal="center" vertical="center" wrapText="1"/>
    </xf>
    <xf numFmtId="14" fontId="16" fillId="4" borderId="50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71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7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50" xfId="0" applyNumberFormat="1" applyFont="1" applyFill="1" applyBorder="1" applyAlignment="1" applyProtection="1">
      <alignment horizontal="center" vertical="center" wrapText="1"/>
    </xf>
    <xf numFmtId="0" fontId="16" fillId="4" borderId="71" xfId="0" applyNumberFormat="1" applyFont="1" applyFill="1" applyBorder="1" applyAlignment="1" applyProtection="1">
      <alignment horizontal="center" vertical="center" wrapText="1"/>
    </xf>
    <xf numFmtId="0" fontId="16" fillId="4" borderId="73" xfId="0" applyNumberFormat="1" applyFont="1" applyFill="1" applyBorder="1" applyAlignment="1" applyProtection="1">
      <alignment horizontal="center" vertical="center" wrapText="1"/>
    </xf>
    <xf numFmtId="0" fontId="15" fillId="4" borderId="49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69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70" xfId="0" applyNumberFormat="1" applyFont="1" applyFill="1" applyBorder="1" applyAlignment="1" applyProtection="1">
      <alignment horizontal="center" vertical="center" wrapText="1"/>
      <protection locked="0"/>
    </xf>
    <xf numFmtId="177" fontId="1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2" xfId="0" applyNumberFormat="1" applyFont="1" applyFill="1" applyBorder="1" applyAlignment="1" applyProtection="1">
      <alignment horizontal="center" vertical="center" wrapText="1"/>
    </xf>
    <xf numFmtId="0" fontId="17" fillId="3" borderId="42" xfId="0" applyNumberFormat="1" applyFont="1" applyFill="1" applyBorder="1" applyAlignment="1" applyProtection="1">
      <alignment horizontal="center" vertical="center" wrapText="1"/>
    </xf>
    <xf numFmtId="176" fontId="16" fillId="4" borderId="2" xfId="0" applyNumberFormat="1" applyFont="1" applyFill="1" applyBorder="1" applyAlignment="1" applyProtection="1">
      <alignment horizontal="center" vertical="center" wrapText="1"/>
    </xf>
    <xf numFmtId="14" fontId="1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7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77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78" xfId="0" applyNumberFormat="1" applyFont="1" applyFill="1" applyBorder="1" applyAlignment="1" applyProtection="1">
      <alignment horizontal="justify" vertical="center" wrapText="1"/>
    </xf>
    <xf numFmtId="0" fontId="19" fillId="4" borderId="79" xfId="0" applyNumberFormat="1" applyFont="1" applyFill="1" applyBorder="1" applyAlignment="1" applyProtection="1">
      <alignment horizontal="justify" vertical="center" wrapText="1"/>
    </xf>
    <xf numFmtId="0" fontId="19" fillId="4" borderId="80" xfId="0" applyNumberFormat="1" applyFont="1" applyFill="1" applyBorder="1" applyAlignment="1" applyProtection="1">
      <alignment horizontal="justify" vertical="center" wrapText="1"/>
    </xf>
    <xf numFmtId="0" fontId="32" fillId="4" borderId="81" xfId="0" applyNumberFormat="1" applyFont="1" applyFill="1" applyBorder="1" applyAlignment="1" applyProtection="1">
      <alignment horizontal="center" vertical="center" wrapText="1"/>
    </xf>
    <xf numFmtId="0" fontId="32" fillId="4" borderId="16" xfId="0" applyNumberFormat="1" applyFont="1" applyFill="1" applyBorder="1" applyAlignment="1" applyProtection="1">
      <alignment horizontal="center" vertical="center" wrapText="1"/>
    </xf>
    <xf numFmtId="0" fontId="32" fillId="4" borderId="17" xfId="0" applyNumberFormat="1" applyFont="1" applyFill="1" applyBorder="1" applyAlignment="1" applyProtection="1">
      <alignment horizontal="center" vertical="center" wrapText="1"/>
    </xf>
    <xf numFmtId="0" fontId="19" fillId="3" borderId="82" xfId="0" applyNumberFormat="1" applyFont="1" applyFill="1" applyBorder="1" applyAlignment="1" applyProtection="1">
      <alignment horizontal="center" vertical="center" wrapText="1"/>
    </xf>
    <xf numFmtId="0" fontId="19" fillId="3" borderId="83" xfId="0" applyNumberFormat="1" applyFont="1" applyFill="1" applyBorder="1" applyAlignment="1" applyProtection="1">
      <alignment horizontal="center" vertical="center" wrapText="1"/>
    </xf>
    <xf numFmtId="0" fontId="34" fillId="4" borderId="3" xfId="0" applyNumberFormat="1" applyFont="1" applyFill="1" applyBorder="1" applyAlignment="1" applyProtection="1">
      <alignment horizontal="center" vertical="center" wrapText="1"/>
    </xf>
    <xf numFmtId="0" fontId="34" fillId="4" borderId="76" xfId="0" applyNumberFormat="1" applyFont="1" applyFill="1" applyBorder="1" applyAlignment="1" applyProtection="1">
      <alignment horizontal="center" vertical="center" wrapText="1"/>
    </xf>
    <xf numFmtId="0" fontId="34" fillId="4" borderId="83" xfId="0" applyNumberFormat="1" applyFont="1" applyFill="1" applyBorder="1" applyAlignment="1" applyProtection="1">
      <alignment horizontal="center" vertical="center" wrapText="1"/>
    </xf>
    <xf numFmtId="180" fontId="33" fillId="4" borderId="3" xfId="0" applyNumberFormat="1" applyFont="1" applyFill="1" applyBorder="1" applyAlignment="1" applyProtection="1">
      <alignment horizontal="center" vertical="center" wrapText="1"/>
    </xf>
    <xf numFmtId="180" fontId="33" fillId="4" borderId="76" xfId="0" applyNumberFormat="1" applyFont="1" applyFill="1" applyBorder="1" applyAlignment="1" applyProtection="1">
      <alignment horizontal="center" vertical="center" wrapText="1"/>
    </xf>
    <xf numFmtId="180" fontId="33" fillId="4" borderId="77" xfId="0" applyNumberFormat="1" applyFont="1" applyFill="1" applyBorder="1" applyAlignment="1" applyProtection="1">
      <alignment horizontal="center" vertical="center" wrapText="1"/>
    </xf>
    <xf numFmtId="0" fontId="19" fillId="3" borderId="84" xfId="0" applyNumberFormat="1" applyFont="1" applyFill="1" applyBorder="1" applyAlignment="1" applyProtection="1">
      <alignment horizontal="center" vertical="center" wrapText="1"/>
    </xf>
    <xf numFmtId="0" fontId="19" fillId="3" borderId="85" xfId="0" applyNumberFormat="1" applyFont="1" applyFill="1" applyBorder="1" applyAlignment="1" applyProtection="1">
      <alignment horizontal="center" vertical="center" wrapText="1"/>
    </xf>
    <xf numFmtId="0" fontId="19" fillId="3" borderId="81" xfId="0" applyNumberFormat="1" applyFont="1" applyFill="1" applyBorder="1" applyAlignment="1" applyProtection="1">
      <alignment horizontal="center" vertical="center" wrapText="1"/>
    </xf>
    <xf numFmtId="0" fontId="19" fillId="3" borderId="86" xfId="0" applyNumberFormat="1" applyFont="1" applyFill="1" applyBorder="1" applyAlignment="1" applyProtection="1">
      <alignment horizontal="center" vertical="center" wrapText="1"/>
    </xf>
    <xf numFmtId="0" fontId="34" fillId="4" borderId="87" xfId="0" applyNumberFormat="1" applyFont="1" applyFill="1" applyBorder="1" applyAlignment="1" applyProtection="1">
      <alignment horizontal="center" vertical="center" wrapText="1"/>
    </xf>
    <xf numFmtId="0" fontId="34" fillId="4" borderId="6" xfId="0" applyNumberFormat="1" applyFont="1" applyFill="1" applyBorder="1" applyAlignment="1" applyProtection="1">
      <alignment horizontal="center" vertical="center" wrapText="1"/>
    </xf>
    <xf numFmtId="0" fontId="34" fillId="4" borderId="15" xfId="0" applyNumberFormat="1" applyFont="1" applyFill="1" applyBorder="1" applyAlignment="1" applyProtection="1">
      <alignment horizontal="center" vertical="center" wrapText="1"/>
    </xf>
    <xf numFmtId="0" fontId="34" fillId="4" borderId="57" xfId="0" applyNumberFormat="1" applyFont="1" applyFill="1" applyBorder="1" applyAlignment="1" applyProtection="1">
      <alignment horizontal="center" vertical="center" wrapText="1"/>
    </xf>
    <xf numFmtId="0" fontId="34" fillId="4" borderId="16" xfId="0" applyNumberFormat="1" applyFont="1" applyFill="1" applyBorder="1" applyAlignment="1" applyProtection="1">
      <alignment horizontal="center" vertical="center" wrapText="1"/>
    </xf>
    <xf numFmtId="0" fontId="34" fillId="4" borderId="17" xfId="0" applyNumberFormat="1" applyFont="1" applyFill="1" applyBorder="1" applyAlignment="1" applyProtection="1">
      <alignment horizontal="center" vertical="center" wrapText="1"/>
    </xf>
    <xf numFmtId="0" fontId="17" fillId="3" borderId="88" xfId="0" applyNumberFormat="1" applyFont="1" applyFill="1" applyBorder="1" applyAlignment="1" applyProtection="1">
      <alignment horizontal="center" vertical="center" wrapText="1"/>
    </xf>
    <xf numFmtId="0" fontId="17" fillId="3" borderId="89" xfId="0" applyNumberFormat="1" applyFont="1" applyFill="1" applyBorder="1" applyAlignment="1" applyProtection="1">
      <alignment horizontal="center" vertical="center" wrapText="1"/>
    </xf>
    <xf numFmtId="0" fontId="17" fillId="3" borderId="20" xfId="0" applyNumberFormat="1" applyFont="1" applyFill="1" applyBorder="1" applyAlignment="1" applyProtection="1">
      <alignment horizontal="center" vertical="center" wrapText="1"/>
    </xf>
    <xf numFmtId="0" fontId="17" fillId="3" borderId="90" xfId="0" applyNumberFormat="1" applyFont="1" applyFill="1" applyBorder="1" applyAlignment="1" applyProtection="1">
      <alignment horizontal="center" vertical="center" wrapText="1"/>
    </xf>
    <xf numFmtId="2" fontId="16" fillId="4" borderId="16" xfId="0" applyNumberFormat="1" applyFont="1" applyFill="1" applyBorder="1" applyAlignment="1" applyProtection="1">
      <alignment horizontal="center" vertical="center" wrapText="1"/>
    </xf>
    <xf numFmtId="2" fontId="16" fillId="4" borderId="17" xfId="0" applyNumberFormat="1" applyFont="1" applyFill="1" applyBorder="1" applyAlignment="1" applyProtection="1">
      <alignment horizontal="center" vertical="center" wrapText="1"/>
    </xf>
    <xf numFmtId="0" fontId="19" fillId="3" borderId="87" xfId="0" applyNumberFormat="1" applyFont="1" applyFill="1" applyBorder="1" applyAlignment="1" applyProtection="1">
      <alignment horizontal="center" vertical="center" wrapText="1"/>
    </xf>
    <xf numFmtId="0" fontId="17" fillId="3" borderId="8" xfId="0" applyNumberFormat="1" applyFont="1" applyFill="1" applyBorder="1" applyAlignment="1" applyProtection="1">
      <alignment horizontal="center" vertical="center" wrapText="1"/>
    </xf>
    <xf numFmtId="0" fontId="17" fillId="3" borderId="7" xfId="0" applyNumberFormat="1" applyFont="1" applyFill="1" applyBorder="1" applyAlignment="1" applyProtection="1">
      <alignment horizontal="center" vertical="center" wrapText="1"/>
    </xf>
    <xf numFmtId="0" fontId="15" fillId="4" borderId="52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67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68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87" xfId="0" applyNumberFormat="1" applyFont="1" applyFill="1" applyBorder="1" applyAlignment="1" applyProtection="1">
      <alignment horizontal="center" vertical="center" wrapText="1"/>
    </xf>
    <xf numFmtId="0" fontId="23" fillId="3" borderId="8" xfId="0" applyNumberFormat="1" applyFont="1" applyFill="1" applyBorder="1" applyAlignment="1" applyProtection="1">
      <alignment horizontal="center" vertical="center" wrapText="1"/>
    </xf>
    <xf numFmtId="0" fontId="23" fillId="3" borderId="57" xfId="0" applyNumberFormat="1" applyFont="1" applyFill="1" applyBorder="1" applyAlignment="1" applyProtection="1">
      <alignment horizontal="center" vertical="center" wrapText="1"/>
    </xf>
    <xf numFmtId="0" fontId="17" fillId="3" borderId="91" xfId="0" applyNumberFormat="1" applyFont="1" applyFill="1" applyBorder="1" applyAlignment="1" applyProtection="1">
      <alignment horizontal="center" vertical="center" wrapText="1"/>
    </xf>
    <xf numFmtId="0" fontId="17" fillId="3" borderId="92" xfId="0" applyNumberFormat="1" applyFont="1" applyFill="1" applyBorder="1" applyAlignment="1" applyProtection="1">
      <alignment horizontal="center" vertical="center" wrapText="1"/>
    </xf>
    <xf numFmtId="0" fontId="17" fillId="3" borderId="93" xfId="0" applyNumberFormat="1" applyFont="1" applyFill="1" applyBorder="1" applyAlignment="1" applyProtection="1">
      <alignment horizontal="center" vertical="center" wrapText="1"/>
    </xf>
    <xf numFmtId="0" fontId="23" fillId="3" borderId="87" xfId="0" applyNumberFormat="1" applyFont="1" applyFill="1" applyBorder="1" applyAlignment="1" applyProtection="1">
      <alignment horizontal="center" vertical="center" wrapText="1"/>
    </xf>
    <xf numFmtId="0" fontId="35" fillId="4" borderId="2" xfId="0" applyNumberFormat="1" applyFont="1" applyFill="1" applyBorder="1" applyAlignment="1" applyProtection="1">
      <alignment horizontal="center" vertical="center" wrapText="1"/>
    </xf>
    <xf numFmtId="0" fontId="35" fillId="4" borderId="42" xfId="0" applyNumberFormat="1" applyFont="1" applyFill="1" applyBorder="1" applyAlignment="1" applyProtection="1">
      <alignment horizontal="center" vertical="center" wrapText="1"/>
    </xf>
    <xf numFmtId="0" fontId="17" fillId="3" borderId="5" xfId="0" applyNumberFormat="1" applyFont="1" applyFill="1" applyBorder="1" applyAlignment="1" applyProtection="1">
      <alignment horizontal="center" vertical="center" wrapText="1"/>
    </xf>
    <xf numFmtId="0" fontId="17" fillId="3" borderId="94" xfId="0" applyNumberFormat="1" applyFont="1" applyFill="1" applyBorder="1" applyAlignment="1" applyProtection="1">
      <alignment horizontal="center" vertical="center" wrapText="1"/>
    </xf>
    <xf numFmtId="0" fontId="17" fillId="3" borderId="76" xfId="0" applyNumberFormat="1" applyFont="1" applyFill="1" applyBorder="1" applyAlignment="1" applyProtection="1">
      <alignment horizontal="center" vertical="center" shrinkToFit="1"/>
    </xf>
    <xf numFmtId="0" fontId="17" fillId="3" borderId="83" xfId="0" applyNumberFormat="1" applyFont="1" applyFill="1" applyBorder="1" applyAlignment="1" applyProtection="1">
      <alignment horizontal="center" vertical="center" shrinkToFit="1"/>
    </xf>
    <xf numFmtId="0" fontId="17" fillId="3" borderId="3" xfId="0" applyNumberFormat="1" applyFont="1" applyFill="1" applyBorder="1" applyAlignment="1" applyProtection="1">
      <alignment horizontal="center" vertical="center" wrapText="1"/>
    </xf>
    <xf numFmtId="0" fontId="17" fillId="3" borderId="76" xfId="0" applyNumberFormat="1" applyFont="1" applyFill="1" applyBorder="1" applyAlignment="1" applyProtection="1">
      <alignment horizontal="center" vertical="center" wrapText="1"/>
    </xf>
    <xf numFmtId="0" fontId="17" fillId="3" borderId="83" xfId="0" applyNumberFormat="1" applyFont="1" applyFill="1" applyBorder="1" applyAlignment="1" applyProtection="1">
      <alignment horizontal="center" vertical="center" wrapText="1"/>
    </xf>
    <xf numFmtId="0" fontId="17" fillId="3" borderId="77" xfId="0" applyNumberFormat="1" applyFont="1" applyFill="1" applyBorder="1" applyAlignment="1" applyProtection="1">
      <alignment horizontal="center" vertical="center" wrapText="1"/>
    </xf>
    <xf numFmtId="0" fontId="16" fillId="4" borderId="95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87" xfId="0" applyNumberFormat="1" applyFont="1" applyFill="1" applyBorder="1" applyAlignment="1" applyProtection="1">
      <alignment horizontal="center" vertical="center" wrapText="1"/>
    </xf>
    <xf numFmtId="0" fontId="16" fillId="4" borderId="6" xfId="0" applyNumberFormat="1" applyFont="1" applyFill="1" applyBorder="1" applyAlignment="1" applyProtection="1">
      <alignment horizontal="center" vertical="center" wrapText="1"/>
    </xf>
    <xf numFmtId="0" fontId="16" fillId="4" borderId="15" xfId="0" applyNumberFormat="1" applyFont="1" applyFill="1" applyBorder="1" applyAlignment="1" applyProtection="1">
      <alignment horizontal="center" vertical="center" wrapText="1"/>
    </xf>
    <xf numFmtId="176" fontId="16" fillId="4" borderId="96" xfId="0" applyNumberFormat="1" applyFont="1" applyFill="1" applyBorder="1" applyAlignment="1" applyProtection="1">
      <alignment horizontal="center" vertical="center" wrapText="1"/>
    </xf>
    <xf numFmtId="176" fontId="16" fillId="4" borderId="97" xfId="0" applyNumberFormat="1" applyFont="1" applyFill="1" applyBorder="1" applyAlignment="1" applyProtection="1">
      <alignment horizontal="center" vertical="center" wrapText="1"/>
    </xf>
    <xf numFmtId="0" fontId="17" fillId="4" borderId="98" xfId="0" applyNumberFormat="1" applyFont="1" applyFill="1" applyBorder="1" applyAlignment="1" applyProtection="1">
      <alignment horizontal="justify" vertical="center" wrapText="1"/>
    </xf>
    <xf numFmtId="0" fontId="17" fillId="4" borderId="99" xfId="0" applyNumberFormat="1" applyFont="1" applyFill="1" applyBorder="1" applyAlignment="1" applyProtection="1">
      <alignment horizontal="justify" vertical="center" wrapText="1"/>
    </xf>
    <xf numFmtId="0" fontId="17" fillId="4" borderId="100" xfId="0" applyNumberFormat="1" applyFont="1" applyFill="1" applyBorder="1" applyAlignment="1" applyProtection="1">
      <alignment horizontal="justify" vertical="center" wrapText="1"/>
    </xf>
    <xf numFmtId="0" fontId="17" fillId="4" borderId="20" xfId="0" applyNumberFormat="1" applyFont="1" applyFill="1" applyBorder="1" applyAlignment="1" applyProtection="1">
      <alignment vertical="center" shrinkToFit="1"/>
    </xf>
    <xf numFmtId="0" fontId="17" fillId="4" borderId="0" xfId="0" applyNumberFormat="1" applyFont="1" applyFill="1" applyBorder="1" applyAlignment="1" applyProtection="1">
      <alignment vertical="center" shrinkToFit="1"/>
    </xf>
    <xf numFmtId="0" fontId="17" fillId="4" borderId="18" xfId="0" applyNumberFormat="1" applyFont="1" applyFill="1" applyBorder="1" applyAlignment="1" applyProtection="1">
      <alignment vertical="center" shrinkToFit="1"/>
    </xf>
    <xf numFmtId="0" fontId="17" fillId="4" borderId="20" xfId="0" applyNumberFormat="1" applyFont="1" applyFill="1" applyBorder="1" applyAlignment="1" applyProtection="1">
      <alignment horizontal="justify" vertical="center" wrapText="1"/>
    </xf>
    <xf numFmtId="0" fontId="17" fillId="4" borderId="0" xfId="0" applyNumberFormat="1" applyFont="1" applyFill="1" applyBorder="1" applyAlignment="1" applyProtection="1">
      <alignment horizontal="justify" vertical="center" wrapText="1"/>
    </xf>
    <xf numFmtId="0" fontId="17" fillId="4" borderId="18" xfId="0" applyNumberFormat="1" applyFont="1" applyFill="1" applyBorder="1" applyAlignment="1" applyProtection="1">
      <alignment horizontal="justify" vertical="center" wrapText="1"/>
    </xf>
    <xf numFmtId="0" fontId="32" fillId="4" borderId="98" xfId="0" applyNumberFormat="1" applyFont="1" applyFill="1" applyBorder="1" applyAlignment="1" applyProtection="1">
      <alignment horizontal="right" vertical="center" wrapText="1" indent="2"/>
    </xf>
    <xf numFmtId="0" fontId="32" fillId="4" borderId="99" xfId="0" applyNumberFormat="1" applyFont="1" applyFill="1" applyBorder="1" applyAlignment="1" applyProtection="1">
      <alignment horizontal="right" vertical="center" wrapText="1" indent="2"/>
    </xf>
    <xf numFmtId="0" fontId="32" fillId="4" borderId="100" xfId="0" applyNumberFormat="1" applyFont="1" applyFill="1" applyBorder="1" applyAlignment="1" applyProtection="1">
      <alignment horizontal="right" vertical="center" wrapText="1" indent="2"/>
    </xf>
    <xf numFmtId="0" fontId="23" fillId="4" borderId="20" xfId="0" applyNumberFormat="1" applyFont="1" applyFill="1" applyBorder="1" applyAlignment="1" applyProtection="1">
      <alignment horizontal="justify" vertical="center" wrapText="1"/>
    </xf>
    <xf numFmtId="0" fontId="23" fillId="4" borderId="0" xfId="0" applyNumberFormat="1" applyFont="1" applyFill="1" applyBorder="1" applyAlignment="1" applyProtection="1">
      <alignment horizontal="justify" vertical="center" wrapText="1"/>
    </xf>
    <xf numFmtId="0" fontId="23" fillId="4" borderId="18" xfId="0" applyNumberFormat="1" applyFont="1" applyFill="1" applyBorder="1" applyAlignment="1" applyProtection="1">
      <alignment horizontal="justify" vertical="center" wrapText="1"/>
    </xf>
    <xf numFmtId="14" fontId="16" fillId="4" borderId="5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67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101" xfId="0" applyNumberFormat="1" applyFont="1" applyFill="1" applyBorder="1" applyAlignment="1" applyProtection="1">
      <alignment horizontal="center" vertical="center" wrapText="1"/>
      <protection locked="0"/>
    </xf>
    <xf numFmtId="0" fontId="49" fillId="3" borderId="84" xfId="0" applyNumberFormat="1" applyFont="1" applyFill="1" applyBorder="1" applyAlignment="1" applyProtection="1">
      <alignment horizontal="center" vertical="center" wrapText="1"/>
    </xf>
    <xf numFmtId="0" fontId="49" fillId="3" borderId="85" xfId="0" applyNumberFormat="1" applyFont="1" applyFill="1" applyBorder="1" applyAlignment="1" applyProtection="1">
      <alignment horizontal="center" vertical="center" wrapText="1"/>
    </xf>
    <xf numFmtId="0" fontId="49" fillId="3" borderId="81" xfId="0" applyNumberFormat="1" applyFont="1" applyFill="1" applyBorder="1" applyAlignment="1" applyProtection="1">
      <alignment horizontal="center" vertical="center" wrapText="1"/>
    </xf>
    <xf numFmtId="0" fontId="49" fillId="3" borderId="86" xfId="0" applyNumberFormat="1" applyFont="1" applyFill="1" applyBorder="1" applyAlignment="1" applyProtection="1">
      <alignment horizontal="center" vertical="center" wrapText="1"/>
    </xf>
    <xf numFmtId="0" fontId="34" fillId="4" borderId="85" xfId="0" applyNumberFormat="1" applyFont="1" applyFill="1" applyBorder="1" applyAlignment="1" applyProtection="1">
      <alignment horizontal="center" vertical="center" wrapText="1"/>
    </xf>
    <xf numFmtId="0" fontId="34" fillId="4" borderId="86" xfId="0" applyNumberFormat="1" applyFont="1" applyFill="1" applyBorder="1" applyAlignment="1" applyProtection="1">
      <alignment horizontal="center" vertical="center" wrapText="1"/>
    </xf>
    <xf numFmtId="0" fontId="19" fillId="3" borderId="6" xfId="0" applyNumberFormat="1" applyFont="1" applyFill="1" applyBorder="1" applyAlignment="1" applyProtection="1">
      <alignment horizontal="center" vertical="center" wrapText="1"/>
    </xf>
    <xf numFmtId="0" fontId="19" fillId="3" borderId="57" xfId="0" applyNumberFormat="1" applyFont="1" applyFill="1" applyBorder="1" applyAlignment="1" applyProtection="1">
      <alignment horizontal="center" vertical="center" wrapText="1"/>
    </xf>
    <xf numFmtId="0" fontId="19" fillId="3" borderId="16" xfId="0" applyNumberFormat="1" applyFont="1" applyFill="1" applyBorder="1" applyAlignment="1" applyProtection="1">
      <alignment horizontal="center" vertical="center" wrapText="1"/>
    </xf>
    <xf numFmtId="0" fontId="19" fillId="3" borderId="2" xfId="0" applyNumberFormat="1" applyFont="1" applyFill="1" applyBorder="1" applyAlignment="1" applyProtection="1">
      <alignment horizontal="center" vertical="center" wrapText="1"/>
    </xf>
    <xf numFmtId="0" fontId="25" fillId="4" borderId="84" xfId="0" applyNumberFormat="1" applyFont="1" applyFill="1" applyBorder="1" applyAlignment="1" applyProtection="1">
      <alignment horizontal="justify" vertical="center" wrapText="1"/>
    </xf>
    <xf numFmtId="0" fontId="25" fillId="4" borderId="6" xfId="0" applyNumberFormat="1" applyFont="1" applyFill="1" applyBorder="1" applyAlignment="1" applyProtection="1">
      <alignment horizontal="justify" vertical="center" wrapText="1"/>
    </xf>
    <xf numFmtId="0" fontId="25" fillId="4" borderId="0" xfId="0" applyNumberFormat="1" applyFont="1" applyFill="1" applyBorder="1" applyAlignment="1" applyProtection="1">
      <alignment horizontal="justify" vertical="center" wrapText="1"/>
    </xf>
    <xf numFmtId="0" fontId="25" fillId="4" borderId="18" xfId="0" applyNumberFormat="1" applyFont="1" applyFill="1" applyBorder="1" applyAlignment="1" applyProtection="1">
      <alignment horizontal="justify" vertical="center" wrapText="1"/>
    </xf>
    <xf numFmtId="179" fontId="16" fillId="4" borderId="20" xfId="0" applyNumberFormat="1" applyFont="1" applyFill="1" applyBorder="1" applyAlignment="1" applyProtection="1">
      <alignment horizontal="center" vertical="center" wrapText="1"/>
      <protection locked="0"/>
    </xf>
    <xf numFmtId="179" fontId="16" fillId="4" borderId="0" xfId="0" applyNumberFormat="1" applyFont="1" applyFill="1" applyBorder="1" applyAlignment="1" applyProtection="1">
      <alignment horizontal="center" vertical="center" wrapText="1"/>
      <protection locked="0"/>
    </xf>
    <xf numFmtId="179" fontId="16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42" xfId="0" applyNumberFormat="1" applyFont="1" applyFill="1" applyBorder="1" applyAlignment="1" applyProtection="1">
      <alignment horizontal="center" vertical="center" wrapText="1"/>
    </xf>
    <xf numFmtId="0" fontId="15" fillId="4" borderId="50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71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73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19" xfId="0" applyNumberFormat="1" applyFont="1" applyFill="1" applyBorder="1" applyAlignment="1" applyProtection="1">
      <alignment horizontal="center" vertical="center" wrapText="1"/>
    </xf>
    <xf numFmtId="0" fontId="19" fillId="3" borderId="5" xfId="0" applyNumberFormat="1" applyFont="1" applyFill="1" applyBorder="1" applyAlignment="1" applyProtection="1">
      <alignment horizontal="center" vertical="center" wrapText="1"/>
    </xf>
    <xf numFmtId="0" fontId="19" fillId="3" borderId="94" xfId="0" applyNumberFormat="1" applyFont="1" applyFill="1" applyBorder="1" applyAlignment="1" applyProtection="1">
      <alignment horizontal="center" vertical="center" wrapText="1"/>
    </xf>
    <xf numFmtId="0" fontId="19" fillId="3" borderId="3" xfId="0" applyNumberFormat="1" applyFont="1" applyFill="1" applyBorder="1" applyAlignment="1" applyProtection="1">
      <alignment horizontal="center" vertical="center" wrapText="1"/>
    </xf>
    <xf numFmtId="0" fontId="19" fillId="3" borderId="76" xfId="0" applyNumberFormat="1" applyFont="1" applyFill="1" applyBorder="1" applyAlignment="1" applyProtection="1">
      <alignment horizontal="center" vertical="center" wrapText="1"/>
    </xf>
    <xf numFmtId="0" fontId="19" fillId="3" borderId="15" xfId="0" applyNumberFormat="1" applyFont="1" applyFill="1" applyBorder="1" applyAlignment="1" applyProtection="1">
      <alignment horizontal="center" vertical="center" wrapText="1"/>
    </xf>
    <xf numFmtId="0" fontId="19" fillId="3" borderId="8" xfId="0" applyNumberFormat="1" applyFont="1" applyFill="1" applyBorder="1" applyAlignment="1" applyProtection="1">
      <alignment horizontal="center" vertical="center" wrapText="1"/>
    </xf>
    <xf numFmtId="0" fontId="19" fillId="3" borderId="0" xfId="0" applyNumberFormat="1" applyFont="1" applyFill="1" applyBorder="1" applyAlignment="1" applyProtection="1">
      <alignment horizontal="center" vertical="center" wrapText="1"/>
    </xf>
    <xf numFmtId="0" fontId="19" fillId="3" borderId="18" xfId="0" applyNumberFormat="1" applyFont="1" applyFill="1" applyBorder="1" applyAlignment="1" applyProtection="1">
      <alignment horizontal="center" vertical="center" wrapText="1"/>
    </xf>
    <xf numFmtId="0" fontId="19" fillId="3" borderId="17" xfId="0" applyNumberFormat="1" applyFont="1" applyFill="1" applyBorder="1" applyAlignment="1" applyProtection="1">
      <alignment horizontal="center" vertical="center" wrapText="1"/>
    </xf>
    <xf numFmtId="0" fontId="19" fillId="3" borderId="7" xfId="0" applyNumberFormat="1" applyFont="1" applyFill="1" applyBorder="1" applyAlignment="1" applyProtection="1">
      <alignment horizontal="center" vertical="center" wrapText="1"/>
    </xf>
    <xf numFmtId="0" fontId="17" fillId="3" borderId="22" xfId="0" applyNumberFormat="1" applyFont="1" applyFill="1" applyBorder="1" applyAlignment="1" applyProtection="1">
      <alignment horizontal="center" vertical="center" wrapText="1"/>
    </xf>
    <xf numFmtId="0" fontId="17" fillId="3" borderId="66" xfId="0" applyNumberFormat="1" applyFont="1" applyFill="1" applyBorder="1" applyAlignment="1" applyProtection="1">
      <alignment horizontal="center" vertical="center" wrapText="1"/>
    </xf>
    <xf numFmtId="0" fontId="17" fillId="3" borderId="21" xfId="0" applyNumberFormat="1" applyFont="1" applyFill="1" applyBorder="1" applyAlignment="1" applyProtection="1">
      <alignment horizontal="center" vertical="center" wrapText="1"/>
    </xf>
    <xf numFmtId="176" fontId="1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23" fillId="3" borderId="2" xfId="0" applyNumberFormat="1" applyFont="1" applyFill="1" applyBorder="1" applyAlignment="1" applyProtection="1">
      <alignment horizontal="center" vertical="center" wrapText="1"/>
    </xf>
    <xf numFmtId="0" fontId="16" fillId="4" borderId="102" xfId="0" applyNumberFormat="1" applyFont="1" applyFill="1" applyBorder="1" applyAlignment="1" applyProtection="1">
      <alignment horizontal="center" vertical="center" wrapText="1"/>
    </xf>
    <xf numFmtId="0" fontId="16" fillId="4" borderId="103" xfId="0" applyNumberFormat="1" applyFont="1" applyFill="1" applyBorder="1" applyAlignment="1" applyProtection="1">
      <alignment horizontal="center" vertical="center" wrapText="1"/>
    </xf>
    <xf numFmtId="0" fontId="16" fillId="4" borderId="104" xfId="0" applyNumberFormat="1" applyFont="1" applyFill="1" applyBorder="1" applyAlignment="1" applyProtection="1">
      <alignment horizontal="center" vertical="center" wrapText="1"/>
    </xf>
    <xf numFmtId="0" fontId="17" fillId="3" borderId="6" xfId="0" applyNumberFormat="1" applyFont="1" applyFill="1" applyBorder="1" applyAlignment="1" applyProtection="1">
      <alignment horizontal="center" vertical="center" wrapText="1"/>
    </xf>
    <xf numFmtId="0" fontId="17" fillId="3" borderId="15" xfId="0" applyNumberFormat="1" applyFont="1" applyFill="1" applyBorder="1" applyAlignment="1" applyProtection="1">
      <alignment horizontal="center" vertical="center" wrapText="1"/>
    </xf>
    <xf numFmtId="0" fontId="17" fillId="3" borderId="57" xfId="0" applyNumberFormat="1" applyFont="1" applyFill="1" applyBorder="1" applyAlignment="1" applyProtection="1">
      <alignment horizontal="center" vertical="center" wrapText="1"/>
    </xf>
    <xf numFmtId="0" fontId="17" fillId="3" borderId="16" xfId="0" applyNumberFormat="1" applyFont="1" applyFill="1" applyBorder="1" applyAlignment="1" applyProtection="1">
      <alignment horizontal="center" vertical="center" wrapText="1"/>
    </xf>
    <xf numFmtId="0" fontId="17" fillId="3" borderId="17" xfId="0" applyNumberFormat="1" applyFont="1" applyFill="1" applyBorder="1" applyAlignment="1" applyProtection="1">
      <alignment horizontal="center" vertical="center" wrapText="1"/>
    </xf>
    <xf numFmtId="0" fontId="1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4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76" xfId="0" applyNumberFormat="1" applyFont="1" applyFill="1" applyBorder="1" applyAlignment="1" applyProtection="1">
      <alignment horizontal="center" vertical="center" wrapText="1"/>
    </xf>
    <xf numFmtId="0" fontId="16" fillId="4" borderId="77" xfId="0" applyNumberFormat="1" applyFont="1" applyFill="1" applyBorder="1" applyAlignment="1" applyProtection="1">
      <alignment horizontal="center" vertical="center" wrapText="1"/>
    </xf>
    <xf numFmtId="0" fontId="17" fillId="3" borderId="86" xfId="0" applyNumberFormat="1" applyFont="1" applyFill="1" applyBorder="1" applyAlignment="1" applyProtection="1">
      <alignment horizontal="center" vertical="center" shrinkToFit="1"/>
    </xf>
    <xf numFmtId="2" fontId="16" fillId="4" borderId="8" xfId="0" applyNumberFormat="1" applyFont="1" applyFill="1" applyBorder="1" applyAlignment="1" applyProtection="1">
      <alignment horizontal="center" vertical="center" wrapText="1"/>
    </xf>
    <xf numFmtId="2" fontId="16" fillId="4" borderId="0" xfId="0" applyNumberFormat="1" applyFont="1" applyFill="1" applyBorder="1" applyAlignment="1" applyProtection="1">
      <alignment horizontal="center" vertical="center" wrapText="1"/>
    </xf>
    <xf numFmtId="0" fontId="23" fillId="0" borderId="105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06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07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51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08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09" xfId="0" applyNumberFormat="1" applyFont="1" applyFill="1" applyBorder="1" applyAlignment="1" applyProtection="1">
      <alignment horizontal="center" vertical="center" wrapText="1"/>
      <protection locked="0"/>
    </xf>
    <xf numFmtId="14" fontId="35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16" fillId="4" borderId="1" xfId="0" applyNumberFormat="1" applyFont="1" applyFill="1" applyBorder="1" applyAlignment="1" applyProtection="1">
      <alignment horizontal="center" vertical="center" wrapText="1"/>
    </xf>
    <xf numFmtId="14" fontId="16" fillId="4" borderId="4" xfId="0" applyNumberFormat="1" applyFont="1" applyFill="1" applyBorder="1" applyAlignment="1" applyProtection="1">
      <alignment horizontal="center" vertical="center" wrapText="1"/>
    </xf>
    <xf numFmtId="0" fontId="17" fillId="3" borderId="6" xfId="0" applyNumberFormat="1" applyFont="1" applyFill="1" applyBorder="1" applyAlignment="1" applyProtection="1">
      <alignment horizontal="center" vertical="center" wrapText="1" shrinkToFit="1"/>
    </xf>
    <xf numFmtId="0" fontId="17" fillId="3" borderId="85" xfId="0" applyNumberFormat="1" applyFont="1" applyFill="1" applyBorder="1" applyAlignment="1" applyProtection="1">
      <alignment horizontal="center" vertical="center" wrapText="1" shrinkToFit="1"/>
    </xf>
    <xf numFmtId="0" fontId="17" fillId="3" borderId="0" xfId="0" applyNumberFormat="1" applyFont="1" applyFill="1" applyBorder="1" applyAlignment="1" applyProtection="1">
      <alignment horizontal="center" vertical="center" wrapText="1" shrinkToFit="1"/>
    </xf>
    <xf numFmtId="0" fontId="17" fillId="3" borderId="7" xfId="0" applyNumberFormat="1" applyFont="1" applyFill="1" applyBorder="1" applyAlignment="1" applyProtection="1">
      <alignment horizontal="center" vertical="center" wrapText="1" shrinkToFit="1"/>
    </xf>
    <xf numFmtId="0" fontId="17" fillId="3" borderId="16" xfId="0" applyNumberFormat="1" applyFont="1" applyFill="1" applyBorder="1" applyAlignment="1" applyProtection="1">
      <alignment horizontal="center" vertical="center" wrapText="1" shrinkToFit="1"/>
    </xf>
    <xf numFmtId="0" fontId="17" fillId="3" borderId="86" xfId="0" applyNumberFormat="1" applyFont="1" applyFill="1" applyBorder="1" applyAlignment="1" applyProtection="1">
      <alignment horizontal="center" vertical="center" wrapText="1" shrinkToFit="1"/>
    </xf>
    <xf numFmtId="0" fontId="17" fillId="3" borderId="2" xfId="0" applyNumberFormat="1" applyFont="1" applyFill="1" applyBorder="1" applyAlignment="1" applyProtection="1">
      <alignment horizontal="center" vertical="center" wrapText="1" shrinkToFit="1"/>
    </xf>
    <xf numFmtId="0" fontId="16" fillId="0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16" fillId="0" borderId="32" xfId="0" applyNumberFormat="1" applyFont="1" applyFill="1" applyBorder="1" applyAlignment="1" applyProtection="1">
      <alignment horizontal="center" vertical="center" wrapText="1" shrinkToFit="1"/>
      <protection hidden="1"/>
    </xf>
    <xf numFmtId="0" fontId="16" fillId="0" borderId="4" xfId="0" applyNumberFormat="1" applyFont="1" applyFill="1" applyBorder="1" applyAlignment="1" applyProtection="1">
      <alignment horizontal="center" vertical="center" wrapText="1" shrinkToFit="1"/>
      <protection hidden="1"/>
    </xf>
    <xf numFmtId="0" fontId="16" fillId="4" borderId="110" xfId="0" applyNumberFormat="1" applyFont="1" applyFill="1" applyBorder="1" applyAlignment="1" applyProtection="1">
      <alignment horizontal="center" vertical="center"/>
      <protection locked="0"/>
    </xf>
    <xf numFmtId="0" fontId="16" fillId="4" borderId="111" xfId="0" applyNumberFormat="1" applyFont="1" applyFill="1" applyBorder="1" applyAlignment="1" applyProtection="1">
      <alignment horizontal="center" vertical="center"/>
      <protection locked="0"/>
    </xf>
    <xf numFmtId="176" fontId="60" fillId="0" borderId="22" xfId="0" applyNumberFormat="1" applyFont="1" applyBorder="1" applyAlignment="1" applyProtection="1">
      <alignment horizontal="center" vertical="center" wrapText="1"/>
    </xf>
    <xf numFmtId="176" fontId="60" fillId="0" borderId="21" xfId="0" applyNumberFormat="1" applyFont="1" applyBorder="1" applyAlignment="1" applyProtection="1">
      <alignment horizontal="center" vertical="center" wrapText="1"/>
    </xf>
    <xf numFmtId="0" fontId="53" fillId="0" borderId="112" xfId="0" applyNumberFormat="1" applyFont="1" applyBorder="1" applyAlignment="1" applyProtection="1">
      <alignment horizontal="center" vertical="center" wrapText="1"/>
    </xf>
    <xf numFmtId="0" fontId="53" fillId="0" borderId="113" xfId="0" applyNumberFormat="1" applyFont="1" applyBorder="1" applyAlignment="1" applyProtection="1">
      <alignment horizontal="center" vertical="center" wrapText="1"/>
    </xf>
    <xf numFmtId="0" fontId="53" fillId="0" borderId="35" xfId="0" applyNumberFormat="1" applyFont="1" applyBorder="1" applyAlignment="1" applyProtection="1">
      <alignment horizontal="center" vertical="center" wrapText="1"/>
    </xf>
    <xf numFmtId="0" fontId="10" fillId="0" borderId="114" xfId="0" applyNumberFormat="1" applyFont="1" applyBorder="1" applyAlignment="1" applyProtection="1">
      <alignment horizontal="center" vertical="center" wrapText="1"/>
    </xf>
    <xf numFmtId="0" fontId="10" fillId="0" borderId="115" xfId="0" applyNumberFormat="1" applyFont="1" applyBorder="1" applyAlignment="1" applyProtection="1">
      <alignment horizontal="center" vertical="center" wrapText="1"/>
    </xf>
    <xf numFmtId="0" fontId="10" fillId="0" borderId="116" xfId="0" applyNumberFormat="1" applyFont="1" applyBorder="1" applyAlignment="1" applyProtection="1">
      <alignment horizontal="center" vertical="center" wrapText="1"/>
    </xf>
    <xf numFmtId="0" fontId="37" fillId="0" borderId="2" xfId="0" applyNumberFormat="1" applyFont="1" applyBorder="1" applyAlignment="1" applyProtection="1">
      <alignment horizontal="center" vertical="center" wrapText="1"/>
    </xf>
    <xf numFmtId="0" fontId="9" fillId="0" borderId="23" xfId="0" applyNumberFormat="1" applyFont="1" applyBorder="1" applyAlignment="1" applyProtection="1">
      <alignment horizontal="center" vertical="center" wrapText="1"/>
    </xf>
    <xf numFmtId="0" fontId="9" fillId="0" borderId="24" xfId="0" applyNumberFormat="1" applyFont="1" applyBorder="1" applyAlignment="1" applyProtection="1">
      <alignment horizontal="center" vertical="center" wrapText="1"/>
    </xf>
    <xf numFmtId="0" fontId="9" fillId="0" borderId="11" xfId="0" applyNumberFormat="1" applyFont="1" applyBorder="1" applyAlignment="1" applyProtection="1">
      <alignment horizontal="center" vertical="center" wrapText="1"/>
    </xf>
    <xf numFmtId="0" fontId="9" fillId="0" borderId="13" xfId="0" applyNumberFormat="1" applyFont="1" applyBorder="1" applyAlignment="1" applyProtection="1">
      <alignment horizontal="center" vertical="center" wrapText="1"/>
    </xf>
    <xf numFmtId="0" fontId="9" fillId="0" borderId="25" xfId="0" applyNumberFormat="1" applyFont="1" applyBorder="1" applyAlignment="1" applyProtection="1">
      <alignment horizontal="center" vertical="center" wrapText="1"/>
    </xf>
    <xf numFmtId="0" fontId="9" fillId="0" borderId="12" xfId="0" applyNumberFormat="1" applyFont="1" applyBorder="1" applyAlignment="1" applyProtection="1">
      <alignment horizontal="center" vertical="center" wrapText="1"/>
    </xf>
    <xf numFmtId="0" fontId="10" fillId="0" borderId="2" xfId="0" applyNumberFormat="1" applyFont="1" applyBorder="1" applyAlignment="1" applyProtection="1">
      <alignment horizontal="center" vertical="center" wrapText="1"/>
    </xf>
    <xf numFmtId="0" fontId="7" fillId="0" borderId="2" xfId="0" applyNumberFormat="1" applyFont="1" applyBorder="1" applyAlignment="1" applyProtection="1">
      <alignment horizontal="center" vertical="center" wrapText="1"/>
    </xf>
    <xf numFmtId="0" fontId="7" fillId="0" borderId="2" xfId="0" applyNumberFormat="1" applyFont="1" applyBorder="1" applyAlignment="1" applyProtection="1">
      <alignment horizontal="left" vertical="center" wrapText="1"/>
    </xf>
    <xf numFmtId="0" fontId="7" fillId="12" borderId="2" xfId="0" applyNumberFormat="1" applyFont="1" applyFill="1" applyBorder="1" applyAlignment="1" applyProtection="1">
      <alignment horizontal="center" vertical="center" wrapText="1"/>
    </xf>
    <xf numFmtId="176" fontId="61" fillId="0" borderId="2" xfId="0" applyNumberFormat="1" applyFont="1" applyBorder="1" applyAlignment="1" applyProtection="1">
      <alignment horizontal="center" vertical="center" wrapText="1"/>
    </xf>
    <xf numFmtId="0" fontId="62" fillId="0" borderId="2" xfId="0" applyNumberFormat="1" applyFont="1" applyBorder="1" applyAlignment="1" applyProtection="1">
      <alignment horizontal="center" vertical="center" wrapText="1"/>
    </xf>
    <xf numFmtId="0" fontId="7" fillId="12" borderId="22" xfId="0" applyNumberFormat="1" applyFont="1" applyFill="1" applyBorder="1" applyAlignment="1" applyProtection="1">
      <alignment horizontal="center" vertical="center" wrapText="1"/>
    </xf>
    <xf numFmtId="0" fontId="7" fillId="12" borderId="21" xfId="0" applyNumberFormat="1" applyFont="1" applyFill="1" applyBorder="1" applyAlignment="1" applyProtection="1">
      <alignment horizontal="center" vertical="center" wrapText="1"/>
    </xf>
    <xf numFmtId="0" fontId="7" fillId="0" borderId="23" xfId="0" applyNumberFormat="1" applyFont="1" applyBorder="1" applyAlignment="1" applyProtection="1">
      <alignment horizontal="center" vertical="center" shrinkToFit="1"/>
    </xf>
    <xf numFmtId="0" fontId="7" fillId="0" borderId="24" xfId="0" applyNumberFormat="1" applyFont="1" applyBorder="1" applyAlignment="1" applyProtection="1">
      <alignment horizontal="center" vertical="center" shrinkToFit="1"/>
    </xf>
    <xf numFmtId="0" fontId="7" fillId="0" borderId="11" xfId="0" applyNumberFormat="1" applyFont="1" applyBorder="1" applyAlignment="1" applyProtection="1">
      <alignment horizontal="center" vertical="center" shrinkToFit="1"/>
    </xf>
    <xf numFmtId="0" fontId="7" fillId="0" borderId="13" xfId="0" applyNumberFormat="1" applyFont="1" applyBorder="1" applyAlignment="1" applyProtection="1">
      <alignment horizontal="center" vertical="center" shrinkToFit="1"/>
    </xf>
    <xf numFmtId="0" fontId="7" fillId="0" borderId="23" xfId="0" applyNumberFormat="1" applyFont="1" applyFill="1" applyBorder="1" applyAlignment="1" applyProtection="1">
      <alignment horizontal="center" vertical="center" shrinkToFit="1"/>
    </xf>
    <xf numFmtId="0" fontId="7" fillId="0" borderId="25" xfId="0" applyNumberFormat="1" applyFont="1" applyFill="1" applyBorder="1" applyAlignment="1" applyProtection="1">
      <alignment horizontal="center" vertical="center" shrinkToFit="1"/>
    </xf>
    <xf numFmtId="0" fontId="7" fillId="0" borderId="24" xfId="0" applyNumberFormat="1" applyFont="1" applyFill="1" applyBorder="1" applyAlignment="1" applyProtection="1">
      <alignment horizontal="center" vertical="center" shrinkToFit="1"/>
    </xf>
    <xf numFmtId="0" fontId="7" fillId="0" borderId="11" xfId="0" applyNumberFormat="1" applyFont="1" applyFill="1" applyBorder="1" applyAlignment="1" applyProtection="1">
      <alignment horizontal="center" vertical="center" shrinkToFit="1"/>
    </xf>
    <xf numFmtId="0" fontId="7" fillId="0" borderId="12" xfId="0" applyNumberFormat="1" applyFont="1" applyFill="1" applyBorder="1" applyAlignment="1" applyProtection="1">
      <alignment horizontal="center" vertical="center" shrinkToFit="1"/>
    </xf>
    <xf numFmtId="0" fontId="7" fillId="0" borderId="13" xfId="0" applyNumberFormat="1" applyFont="1" applyFill="1" applyBorder="1" applyAlignment="1" applyProtection="1">
      <alignment horizontal="center" vertical="center" shrinkToFit="1"/>
    </xf>
    <xf numFmtId="0" fontId="10" fillId="10" borderId="1" xfId="0" applyNumberFormat="1" applyFont="1" applyFill="1" applyBorder="1" applyAlignment="1" applyProtection="1">
      <alignment horizontal="left" vertical="center" wrapText="1"/>
    </xf>
    <xf numFmtId="0" fontId="10" fillId="10" borderId="32" xfId="0" applyNumberFormat="1" applyFont="1" applyFill="1" applyBorder="1" applyAlignment="1" applyProtection="1">
      <alignment horizontal="left" vertical="center" wrapText="1"/>
    </xf>
    <xf numFmtId="0" fontId="10" fillId="10" borderId="4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Border="1" applyAlignment="1" applyProtection="1">
      <alignment horizontal="left" vertical="center" wrapText="1"/>
    </xf>
    <xf numFmtId="0" fontId="7" fillId="0" borderId="32" xfId="0" applyNumberFormat="1" applyFont="1" applyBorder="1" applyAlignment="1" applyProtection="1">
      <alignment horizontal="left" vertical="center" wrapText="1"/>
    </xf>
    <xf numFmtId="0" fontId="7" fillId="0" borderId="4" xfId="0" applyNumberFormat="1" applyFont="1" applyBorder="1" applyAlignment="1" applyProtection="1">
      <alignment horizontal="left" vertical="center" wrapText="1"/>
    </xf>
    <xf numFmtId="14" fontId="63" fillId="0" borderId="23" xfId="0" applyNumberFormat="1" applyFont="1" applyBorder="1" applyAlignment="1" applyProtection="1">
      <alignment horizontal="center" vertical="center" wrapText="1"/>
    </xf>
    <xf numFmtId="14" fontId="63" fillId="0" borderId="24" xfId="0" applyNumberFormat="1" applyFont="1" applyBorder="1" applyAlignment="1" applyProtection="1">
      <alignment horizontal="center" vertical="center" wrapText="1"/>
    </xf>
    <xf numFmtId="176" fontId="63" fillId="0" borderId="11" xfId="0" applyNumberFormat="1" applyFont="1" applyBorder="1" applyAlignment="1" applyProtection="1">
      <alignment horizontal="center" vertical="center" wrapText="1"/>
    </xf>
    <xf numFmtId="176" fontId="63" fillId="0" borderId="13" xfId="0" applyNumberFormat="1" applyFont="1" applyBorder="1" applyAlignment="1" applyProtection="1">
      <alignment horizontal="center" vertical="center" wrapText="1"/>
    </xf>
    <xf numFmtId="0" fontId="14" fillId="0" borderId="2" xfId="0" applyNumberFormat="1" applyFont="1" applyBorder="1" applyAlignment="1" applyProtection="1">
      <alignment horizontal="center" vertical="center" wrapText="1"/>
    </xf>
    <xf numFmtId="176" fontId="7" fillId="0" borderId="2" xfId="0" applyNumberFormat="1" applyFont="1" applyBorder="1" applyAlignment="1" applyProtection="1">
      <alignment horizontal="center" vertical="center" wrapText="1"/>
    </xf>
    <xf numFmtId="0" fontId="9" fillId="0" borderId="2" xfId="0" applyNumberFormat="1" applyFont="1" applyBorder="1" applyAlignment="1" applyProtection="1">
      <alignment horizontal="center" vertical="center" wrapText="1"/>
    </xf>
    <xf numFmtId="0" fontId="10" fillId="0" borderId="47" xfId="0" applyNumberFormat="1" applyFont="1" applyBorder="1" applyAlignment="1" applyProtection="1">
      <alignment horizontal="center" vertical="center" wrapText="1"/>
    </xf>
    <xf numFmtId="0" fontId="51" fillId="0" borderId="47" xfId="0" applyNumberFormat="1" applyFont="1" applyBorder="1" applyAlignment="1" applyProtection="1">
      <alignment horizontal="center" vertical="center" wrapText="1"/>
    </xf>
    <xf numFmtId="0" fontId="51" fillId="0" borderId="2" xfId="0" applyNumberFormat="1" applyFont="1" applyBorder="1" applyAlignment="1" applyProtection="1">
      <alignment horizontal="center" vertical="center" wrapText="1"/>
    </xf>
    <xf numFmtId="0" fontId="7" fillId="0" borderId="47" xfId="0" applyNumberFormat="1" applyFont="1" applyBorder="1" applyAlignment="1" applyProtection="1">
      <alignment horizontal="center" vertical="center" wrapText="1"/>
    </xf>
    <xf numFmtId="0" fontId="61" fillId="0" borderId="2" xfId="0" applyNumberFormat="1" applyFont="1" applyBorder="1" applyAlignment="1" applyProtection="1">
      <alignment horizontal="center" vertical="center" wrapText="1"/>
    </xf>
    <xf numFmtId="180" fontId="52" fillId="0" borderId="44" xfId="0" applyNumberFormat="1" applyFont="1" applyBorder="1" applyAlignment="1" applyProtection="1">
      <alignment horizontal="center" vertical="center" wrapText="1"/>
    </xf>
    <xf numFmtId="0" fontId="64" fillId="0" borderId="117" xfId="0" applyNumberFormat="1" applyFont="1" applyBorder="1" applyAlignment="1" applyProtection="1">
      <alignment horizontal="center" vertical="center" wrapText="1"/>
    </xf>
    <xf numFmtId="0" fontId="64" fillId="0" borderId="118" xfId="0" applyNumberFormat="1" applyFont="1" applyBorder="1" applyAlignment="1" applyProtection="1">
      <alignment horizontal="center" vertical="center" wrapText="1"/>
    </xf>
    <xf numFmtId="0" fontId="53" fillId="0" borderId="44" xfId="0" applyNumberFormat="1" applyFont="1" applyBorder="1" applyAlignment="1" applyProtection="1">
      <alignment horizontal="center" vertical="center" wrapText="1"/>
    </xf>
    <xf numFmtId="0" fontId="51" fillId="0" borderId="46" xfId="0" applyNumberFormat="1" applyFont="1" applyBorder="1" applyAlignment="1" applyProtection="1">
      <alignment horizontal="center" vertical="center" wrapText="1"/>
    </xf>
    <xf numFmtId="0" fontId="51" fillId="0" borderId="41" xfId="0" applyNumberFormat="1" applyFont="1" applyBorder="1" applyAlignment="1" applyProtection="1">
      <alignment horizontal="center" vertical="center" wrapText="1"/>
    </xf>
    <xf numFmtId="0" fontId="65" fillId="0" borderId="0" xfId="0" applyNumberFormat="1" applyFont="1" applyBorder="1" applyAlignment="1" applyProtection="1">
      <alignment horizontal="center" vertical="center" wrapText="1"/>
    </xf>
    <xf numFmtId="0" fontId="66" fillId="0" borderId="0" xfId="0" applyNumberFormat="1" applyFont="1" applyBorder="1" applyAlignment="1" applyProtection="1">
      <alignment horizontal="center" vertical="center" wrapText="1"/>
    </xf>
    <xf numFmtId="176" fontId="67" fillId="0" borderId="2" xfId="0" applyNumberFormat="1" applyFont="1" applyBorder="1" applyAlignment="1" applyProtection="1">
      <alignment horizontal="center" vertical="center" wrapText="1"/>
    </xf>
    <xf numFmtId="176" fontId="60" fillId="0" borderId="2" xfId="0" applyNumberFormat="1" applyFont="1" applyBorder="1" applyAlignment="1" applyProtection="1">
      <alignment horizontal="center" vertical="center" wrapText="1"/>
    </xf>
    <xf numFmtId="0" fontId="14" fillId="0" borderId="23" xfId="0" applyNumberFormat="1" applyFont="1" applyBorder="1" applyAlignment="1" applyProtection="1">
      <alignment horizontal="center" vertical="center" wrapText="1"/>
    </xf>
    <xf numFmtId="0" fontId="14" fillId="0" borderId="25" xfId="0" applyNumberFormat="1" applyFont="1" applyBorder="1" applyAlignment="1" applyProtection="1">
      <alignment horizontal="center" vertical="center" wrapText="1"/>
    </xf>
    <xf numFmtId="0" fontId="14" fillId="0" borderId="24" xfId="0" applyNumberFormat="1" applyFont="1" applyBorder="1" applyAlignment="1" applyProtection="1">
      <alignment horizontal="center" vertical="center" wrapText="1"/>
    </xf>
    <xf numFmtId="0" fontId="14" fillId="0" borderId="11" xfId="0" applyNumberFormat="1" applyFont="1" applyBorder="1" applyAlignment="1" applyProtection="1">
      <alignment horizontal="center" vertical="center" wrapText="1"/>
    </xf>
    <xf numFmtId="0" fontId="14" fillId="0" borderId="12" xfId="0" applyNumberFormat="1" applyFont="1" applyBorder="1" applyAlignment="1" applyProtection="1">
      <alignment horizontal="center" vertical="center" wrapText="1"/>
    </xf>
    <xf numFmtId="0" fontId="14" fillId="0" borderId="13" xfId="0" applyNumberFormat="1" applyFont="1" applyBorder="1" applyAlignment="1" applyProtection="1">
      <alignment horizontal="center" vertical="center" wrapText="1"/>
    </xf>
    <xf numFmtId="0" fontId="10" fillId="0" borderId="119" xfId="0" applyNumberFormat="1" applyFont="1" applyBorder="1" applyAlignment="1" applyProtection="1">
      <alignment horizontal="center" vertical="center" wrapText="1"/>
    </xf>
    <xf numFmtId="0" fontId="53" fillId="0" borderId="120" xfId="0" applyNumberFormat="1" applyFont="1" applyBorder="1" applyAlignment="1" applyProtection="1">
      <alignment horizontal="center" vertical="center" wrapText="1"/>
    </xf>
    <xf numFmtId="0" fontId="51" fillId="0" borderId="121" xfId="0" applyNumberFormat="1" applyFont="1" applyBorder="1" applyAlignment="1" applyProtection="1">
      <alignment horizontal="center" vertical="center" wrapText="1"/>
    </xf>
    <xf numFmtId="0" fontId="51" fillId="0" borderId="122" xfId="0" applyNumberFormat="1" applyFont="1" applyBorder="1" applyAlignment="1" applyProtection="1">
      <alignment horizontal="center" vertical="center" wrapText="1"/>
    </xf>
    <xf numFmtId="0" fontId="51" fillId="0" borderId="11" xfId="0" applyNumberFormat="1" applyFont="1" applyBorder="1" applyAlignment="1" applyProtection="1">
      <alignment horizontal="center" vertical="center" wrapText="1"/>
    </xf>
    <xf numFmtId="0" fontId="51" fillId="0" borderId="13" xfId="0" applyNumberFormat="1" applyFont="1" applyBorder="1" applyAlignment="1" applyProtection="1">
      <alignment horizontal="center" vertical="center" wrapText="1"/>
    </xf>
    <xf numFmtId="0" fontId="51" fillId="0" borderId="23" xfId="0" applyNumberFormat="1" applyFont="1" applyBorder="1" applyAlignment="1" applyProtection="1">
      <alignment horizontal="center" vertical="center" wrapText="1"/>
    </xf>
    <xf numFmtId="0" fontId="51" fillId="0" borderId="24" xfId="0" applyNumberFormat="1" applyFont="1" applyBorder="1" applyAlignment="1" applyProtection="1">
      <alignment horizontal="center" vertical="center" wrapText="1"/>
    </xf>
    <xf numFmtId="0" fontId="51" fillId="0" borderId="9" xfId="0" applyNumberFormat="1" applyFont="1" applyBorder="1" applyAlignment="1" applyProtection="1">
      <alignment horizontal="center" vertical="center" wrapText="1"/>
    </xf>
    <xf numFmtId="0" fontId="51" fillId="0" borderId="10" xfId="0" applyNumberFormat="1" applyFont="1" applyBorder="1" applyAlignment="1" applyProtection="1">
      <alignment horizontal="center" vertical="center" wrapText="1"/>
    </xf>
    <xf numFmtId="0" fontId="51" fillId="0" borderId="112" xfId="0" applyNumberFormat="1" applyFont="1" applyBorder="1" applyAlignment="1" applyProtection="1">
      <alignment horizontal="center" vertical="center" wrapText="1"/>
    </xf>
    <xf numFmtId="0" fontId="51" fillId="0" borderId="120" xfId="0" applyNumberFormat="1" applyFont="1" applyBorder="1" applyAlignment="1" applyProtection="1">
      <alignment horizontal="center" vertical="center" wrapText="1"/>
    </xf>
    <xf numFmtId="0" fontId="53" fillId="0" borderId="47" xfId="0" applyNumberFormat="1" applyFont="1" applyBorder="1" applyAlignment="1" applyProtection="1">
      <alignment horizontal="center" vertical="center" wrapText="1"/>
    </xf>
    <xf numFmtId="0" fontId="53" fillId="0" borderId="2" xfId="0" applyNumberFormat="1" applyFont="1" applyBorder="1" applyAlignment="1" applyProtection="1">
      <alignment horizontal="center" vertical="center" wrapText="1"/>
    </xf>
    <xf numFmtId="0" fontId="53" fillId="0" borderId="48" xfId="0" applyNumberFormat="1" applyFont="1" applyBorder="1" applyAlignment="1" applyProtection="1">
      <alignment horizontal="center" vertical="center" wrapText="1"/>
    </xf>
    <xf numFmtId="0" fontId="53" fillId="0" borderId="42" xfId="0" applyNumberFormat="1" applyFont="1" applyBorder="1" applyAlignment="1" applyProtection="1">
      <alignment horizontal="center" vertical="center" wrapText="1"/>
    </xf>
    <xf numFmtId="176" fontId="68" fillId="0" borderId="2" xfId="0" applyNumberFormat="1" applyFont="1" applyBorder="1" applyAlignment="1" applyProtection="1">
      <alignment horizontal="center" vertical="center" wrapText="1"/>
    </xf>
    <xf numFmtId="0" fontId="37" fillId="0" borderId="46" xfId="0" applyNumberFormat="1" applyFont="1" applyBorder="1" applyAlignment="1" applyProtection="1">
      <alignment horizontal="center" vertical="center" wrapText="1"/>
    </xf>
    <xf numFmtId="0" fontId="37" fillId="0" borderId="41" xfId="0" applyNumberFormat="1" applyFont="1" applyBorder="1" applyAlignment="1" applyProtection="1">
      <alignment horizontal="center" vertical="center" wrapText="1"/>
    </xf>
    <xf numFmtId="0" fontId="37" fillId="0" borderId="43" xfId="0" applyNumberFormat="1" applyFont="1" applyBorder="1" applyAlignment="1" applyProtection="1">
      <alignment horizontal="center" vertical="center" wrapText="1"/>
    </xf>
    <xf numFmtId="0" fontId="10" fillId="0" borderId="123" xfId="0" applyNumberFormat="1" applyFont="1" applyBorder="1" applyAlignment="1" applyProtection="1">
      <alignment horizontal="center" vertical="center" wrapText="1"/>
    </xf>
    <xf numFmtId="0" fontId="10" fillId="0" borderId="124" xfId="0" applyNumberFormat="1" applyFont="1" applyBorder="1" applyAlignment="1" applyProtection="1">
      <alignment horizontal="center" vertical="center" wrapText="1"/>
    </xf>
    <xf numFmtId="0" fontId="9" fillId="0" borderId="44" xfId="0" applyNumberFormat="1" applyFont="1" applyBorder="1" applyAlignment="1" applyProtection="1">
      <alignment horizontal="center" vertical="center" wrapText="1"/>
    </xf>
    <xf numFmtId="0" fontId="9" fillId="0" borderId="45" xfId="0" applyNumberFormat="1" applyFont="1" applyBorder="1" applyAlignment="1" applyProtection="1">
      <alignment horizontal="center" vertical="center" wrapText="1"/>
    </xf>
    <xf numFmtId="14" fontId="51" fillId="0" borderId="112" xfId="0" applyNumberFormat="1" applyFont="1" applyBorder="1" applyAlignment="1" applyProtection="1">
      <alignment horizontal="center" vertical="center" wrapText="1"/>
    </xf>
    <xf numFmtId="14" fontId="51" fillId="0" borderId="120" xfId="0" applyNumberFormat="1" applyFont="1" applyBorder="1" applyAlignment="1" applyProtection="1">
      <alignment horizontal="center" vertical="center" wrapText="1"/>
    </xf>
    <xf numFmtId="176" fontId="69" fillId="18" borderId="42" xfId="0" applyNumberFormat="1" applyFont="1" applyFill="1" applyBorder="1" applyAlignment="1" applyProtection="1">
      <alignment horizontal="center" vertical="center" wrapText="1"/>
    </xf>
    <xf numFmtId="0" fontId="70" fillId="10" borderId="22" xfId="4" applyNumberFormat="1" applyFont="1" applyFill="1" applyBorder="1" applyAlignment="1">
      <alignment horizontal="left" vertical="center" wrapText="1" shrinkToFit="1"/>
    </xf>
    <xf numFmtId="0" fontId="70" fillId="10" borderId="22" xfId="4" applyNumberFormat="1" applyFont="1" applyFill="1" applyBorder="1" applyAlignment="1">
      <alignment horizontal="left" vertical="center" shrinkToFit="1"/>
    </xf>
    <xf numFmtId="0" fontId="27" fillId="0" borderId="2" xfId="4" applyNumberFormat="1" applyFont="1" applyBorder="1" applyAlignment="1" applyProtection="1">
      <alignment horizontal="center" vertical="center" shrinkToFit="1"/>
      <protection locked="0"/>
    </xf>
    <xf numFmtId="0" fontId="27" fillId="0" borderId="42" xfId="4" applyNumberFormat="1" applyFont="1" applyBorder="1" applyAlignment="1" applyProtection="1">
      <alignment horizontal="center" vertical="center" shrinkToFit="1"/>
      <protection locked="0"/>
    </xf>
    <xf numFmtId="0" fontId="27" fillId="7" borderId="125" xfId="4" applyNumberFormat="1" applyFont="1" applyFill="1" applyBorder="1" applyAlignment="1" applyProtection="1">
      <alignment horizontal="center" vertical="center"/>
      <protection hidden="1"/>
    </xf>
    <xf numFmtId="0" fontId="27" fillId="7" borderId="32" xfId="4" applyNumberFormat="1" applyFont="1" applyFill="1" applyBorder="1" applyAlignment="1" applyProtection="1">
      <alignment horizontal="center" vertical="center"/>
      <protection hidden="1"/>
    </xf>
    <xf numFmtId="0" fontId="27" fillId="0" borderId="2" xfId="4" applyNumberFormat="1" applyFont="1" applyBorder="1" applyAlignment="1" applyProtection="1">
      <alignment horizontal="center" vertical="center" shrinkToFit="1"/>
    </xf>
    <xf numFmtId="0" fontId="27" fillId="7" borderId="2" xfId="4" applyNumberFormat="1" applyFont="1" applyFill="1" applyBorder="1" applyAlignment="1" applyProtection="1">
      <alignment horizontal="center" vertical="center"/>
      <protection hidden="1"/>
    </xf>
    <xf numFmtId="14" fontId="27" fillId="0" borderId="2" xfId="4" applyNumberFormat="1" applyFont="1" applyBorder="1" applyAlignment="1" applyProtection="1">
      <alignment horizontal="center" vertical="center" shrinkToFit="1"/>
    </xf>
    <xf numFmtId="0" fontId="27" fillId="7" borderId="2" xfId="4" applyNumberFormat="1" applyFont="1" applyFill="1" applyBorder="1" applyAlignment="1" applyProtection="1">
      <alignment horizontal="center" vertical="center" wrapText="1"/>
      <protection hidden="1"/>
    </xf>
    <xf numFmtId="0" fontId="27" fillId="0" borderId="1" xfId="4" applyNumberFormat="1" applyFont="1" applyBorder="1" applyAlignment="1" applyProtection="1">
      <alignment horizontal="center" vertical="center" shrinkToFit="1"/>
    </xf>
    <xf numFmtId="0" fontId="27" fillId="0" borderId="32" xfId="4" applyNumberFormat="1" applyFont="1" applyBorder="1" applyAlignment="1" applyProtection="1">
      <alignment horizontal="center" vertical="center" shrinkToFit="1"/>
    </xf>
    <xf numFmtId="14" fontId="27" fillId="0" borderId="2" xfId="4" applyNumberFormat="1" applyFont="1" applyBorder="1" applyAlignment="1" applyProtection="1">
      <alignment horizontal="center" vertical="center" shrinkToFit="1"/>
      <protection locked="0"/>
    </xf>
    <xf numFmtId="0" fontId="71" fillId="0" borderId="46" xfId="4" applyNumberFormat="1" applyFont="1" applyBorder="1" applyAlignment="1">
      <alignment horizontal="center" vertical="center"/>
    </xf>
    <xf numFmtId="0" fontId="71" fillId="0" borderId="47" xfId="4" applyNumberFormat="1" applyFont="1" applyBorder="1" applyAlignment="1">
      <alignment horizontal="center" vertical="center"/>
    </xf>
    <xf numFmtId="0" fontId="71" fillId="0" borderId="48" xfId="4" applyNumberFormat="1" applyFont="1" applyBorder="1" applyAlignment="1">
      <alignment horizontal="center" vertical="center"/>
    </xf>
    <xf numFmtId="0" fontId="72" fillId="0" borderId="41" xfId="4" applyNumberFormat="1" applyFont="1" applyBorder="1" applyAlignment="1">
      <alignment horizontal="left" vertical="center"/>
    </xf>
    <xf numFmtId="0" fontId="72" fillId="0" borderId="2" xfId="4" applyNumberFormat="1" applyFont="1" applyBorder="1" applyAlignment="1">
      <alignment horizontal="left" vertical="center"/>
    </xf>
    <xf numFmtId="0" fontId="72" fillId="0" borderId="42" xfId="4" applyNumberFormat="1" applyFont="1" applyBorder="1" applyAlignment="1">
      <alignment horizontal="left" vertical="center"/>
    </xf>
    <xf numFmtId="0" fontId="27" fillId="0" borderId="4" xfId="4" applyNumberFormat="1" applyFont="1" applyBorder="1" applyAlignment="1" applyProtection="1">
      <alignment horizontal="center" vertical="center" shrinkToFit="1"/>
    </xf>
    <xf numFmtId="14" fontId="27" fillId="0" borderId="1" xfId="4" applyNumberFormat="1" applyFont="1" applyBorder="1" applyAlignment="1" applyProtection="1">
      <alignment horizontal="center" vertical="center" shrinkToFit="1"/>
    </xf>
    <xf numFmtId="14" fontId="27" fillId="0" borderId="32" xfId="4" applyNumberFormat="1" applyFont="1" applyBorder="1" applyAlignment="1" applyProtection="1">
      <alignment horizontal="center" vertical="center" shrinkToFit="1"/>
    </xf>
    <xf numFmtId="14" fontId="27" fillId="0" borderId="33" xfId="4" applyNumberFormat="1" applyFont="1" applyBorder="1" applyAlignment="1" applyProtection="1">
      <alignment horizontal="center" vertical="center" shrinkToFit="1"/>
    </xf>
    <xf numFmtId="0" fontId="28" fillId="9" borderId="11" xfId="4" applyNumberFormat="1" applyFont="1" applyFill="1" applyBorder="1" applyAlignment="1">
      <alignment horizontal="center" vertical="center"/>
    </xf>
    <xf numFmtId="0" fontId="28" fillId="9" borderId="12" xfId="4" applyNumberFormat="1" applyFont="1" applyFill="1" applyBorder="1" applyAlignment="1">
      <alignment horizontal="center" vertical="center"/>
    </xf>
    <xf numFmtId="0" fontId="28" fillId="9" borderId="13" xfId="4" applyNumberFormat="1" applyFont="1" applyFill="1" applyBorder="1" applyAlignment="1">
      <alignment horizontal="center" vertical="center"/>
    </xf>
    <xf numFmtId="0" fontId="28" fillId="9" borderId="1" xfId="4" applyNumberFormat="1" applyFont="1" applyFill="1" applyBorder="1" applyAlignment="1">
      <alignment horizontal="center" vertical="center" wrapText="1"/>
    </xf>
    <xf numFmtId="0" fontId="28" fillId="9" borderId="32" xfId="4" applyNumberFormat="1" applyFont="1" applyFill="1" applyBorder="1" applyAlignment="1">
      <alignment horizontal="center" vertical="center" wrapText="1"/>
    </xf>
    <xf numFmtId="0" fontId="28" fillId="9" borderId="4" xfId="4" applyNumberFormat="1" applyFont="1" applyFill="1" applyBorder="1" applyAlignment="1">
      <alignment horizontal="center" vertical="center" wrapText="1"/>
    </xf>
    <xf numFmtId="0" fontId="28" fillId="9" borderId="2" xfId="4" applyNumberFormat="1" applyFont="1" applyFill="1" applyBorder="1" applyAlignment="1">
      <alignment horizontal="center" vertical="center"/>
    </xf>
    <xf numFmtId="0" fontId="28" fillId="9" borderId="42" xfId="4" applyNumberFormat="1" applyFont="1" applyFill="1" applyBorder="1" applyAlignment="1">
      <alignment horizontal="center" vertical="center"/>
    </xf>
    <xf numFmtId="180" fontId="73" fillId="0" borderId="23" xfId="4" applyNumberFormat="1" applyFont="1" applyBorder="1" applyAlignment="1" applyProtection="1">
      <alignment horizontal="center" vertical="center" shrinkToFit="1"/>
      <protection locked="0"/>
    </xf>
    <xf numFmtId="180" fontId="73" fillId="0" borderId="25" xfId="4" applyNumberFormat="1" applyFont="1" applyBorder="1" applyAlignment="1" applyProtection="1">
      <alignment horizontal="center" vertical="center" shrinkToFit="1"/>
      <protection locked="0"/>
    </xf>
    <xf numFmtId="180" fontId="73" fillId="0" borderId="126" xfId="4" applyNumberFormat="1" applyFont="1" applyBorder="1" applyAlignment="1" applyProtection="1">
      <alignment horizontal="center" vertical="center" shrinkToFit="1"/>
      <protection locked="0"/>
    </xf>
    <xf numFmtId="180" fontId="73" fillId="0" borderId="11" xfId="4" applyNumberFormat="1" applyFont="1" applyBorder="1" applyAlignment="1" applyProtection="1">
      <alignment horizontal="center" vertical="center" shrinkToFit="1"/>
      <protection locked="0"/>
    </xf>
    <xf numFmtId="180" fontId="73" fillId="0" borderId="12" xfId="4" applyNumberFormat="1" applyFont="1" applyBorder="1" applyAlignment="1" applyProtection="1">
      <alignment horizontal="center" vertical="center" shrinkToFit="1"/>
      <protection locked="0"/>
    </xf>
    <xf numFmtId="180" fontId="73" fillId="0" borderId="127" xfId="4" applyNumberFormat="1" applyFont="1" applyBorder="1" applyAlignment="1" applyProtection="1">
      <alignment horizontal="center" vertical="center" shrinkToFit="1"/>
      <protection locked="0"/>
    </xf>
    <xf numFmtId="0" fontId="27" fillId="7" borderId="41" xfId="4" applyNumberFormat="1" applyFont="1" applyFill="1" applyBorder="1" applyAlignment="1" applyProtection="1">
      <alignment horizontal="center" vertical="center"/>
      <protection hidden="1"/>
    </xf>
    <xf numFmtId="0" fontId="27" fillId="7" borderId="23" xfId="4" applyNumberFormat="1" applyFont="1" applyFill="1" applyBorder="1" applyAlignment="1" applyProtection="1">
      <alignment horizontal="center" vertical="center" wrapText="1"/>
      <protection hidden="1"/>
    </xf>
    <xf numFmtId="0" fontId="27" fillId="7" borderId="24" xfId="4" applyNumberFormat="1" applyFont="1" applyFill="1" applyBorder="1" applyAlignment="1" applyProtection="1">
      <alignment horizontal="center" vertical="center" wrapText="1"/>
      <protection hidden="1"/>
    </xf>
    <xf numFmtId="0" fontId="27" fillId="7" borderId="11" xfId="4" applyNumberFormat="1" applyFont="1" applyFill="1" applyBorder="1" applyAlignment="1" applyProtection="1">
      <alignment horizontal="center" vertical="center" wrapText="1"/>
      <protection hidden="1"/>
    </xf>
    <xf numFmtId="0" fontId="27" fillId="7" borderId="13" xfId="4" applyNumberFormat="1" applyFont="1" applyFill="1" applyBorder="1" applyAlignment="1" applyProtection="1">
      <alignment horizontal="center" vertical="center" wrapText="1"/>
      <protection hidden="1"/>
    </xf>
    <xf numFmtId="0" fontId="27" fillId="0" borderId="128" xfId="4" applyNumberFormat="1" applyFont="1" applyBorder="1" applyAlignment="1" applyProtection="1">
      <alignment horizontal="center" vertical="center" wrapText="1"/>
      <protection locked="0"/>
    </xf>
    <xf numFmtId="0" fontId="27" fillId="0" borderId="20" xfId="4" applyNumberFormat="1" applyFont="1" applyBorder="1" applyAlignment="1" applyProtection="1">
      <alignment horizontal="center" vertical="center" wrapText="1"/>
      <protection locked="0"/>
    </xf>
    <xf numFmtId="0" fontId="27" fillId="0" borderId="34" xfId="4" applyNumberFormat="1" applyFont="1" applyBorder="1" applyAlignment="1" applyProtection="1">
      <alignment horizontal="center" vertical="center" wrapText="1"/>
      <protection locked="0"/>
    </xf>
    <xf numFmtId="0" fontId="27" fillId="7" borderId="1" xfId="4" applyNumberFormat="1" applyFont="1" applyFill="1" applyBorder="1" applyAlignment="1" applyProtection="1">
      <alignment horizontal="center" vertical="center" wrapText="1"/>
      <protection hidden="1"/>
    </xf>
    <xf numFmtId="0" fontId="27" fillId="7" borderId="32" xfId="4" applyNumberFormat="1" applyFont="1" applyFill="1" applyBorder="1" applyAlignment="1" applyProtection="1">
      <alignment horizontal="center" vertical="center" wrapText="1"/>
      <protection hidden="1"/>
    </xf>
    <xf numFmtId="0" fontId="27" fillId="7" borderId="33" xfId="4" applyNumberFormat="1" applyFont="1" applyFill="1" applyBorder="1" applyAlignment="1" applyProtection="1">
      <alignment horizontal="center" vertical="center" wrapText="1"/>
      <protection hidden="1"/>
    </xf>
    <xf numFmtId="0" fontId="27" fillId="0" borderId="41" xfId="4" applyNumberFormat="1" applyFont="1" applyBorder="1" applyAlignment="1" applyProtection="1">
      <alignment horizontal="center" vertical="center" wrapText="1"/>
    </xf>
    <xf numFmtId="0" fontId="27" fillId="2" borderId="32" xfId="4" applyNumberFormat="1" applyFont="1" applyFill="1" applyBorder="1" applyAlignment="1" applyProtection="1">
      <alignment horizontal="center" vertical="center"/>
      <protection hidden="1"/>
    </xf>
    <xf numFmtId="0" fontId="27" fillId="2" borderId="33" xfId="4" applyNumberFormat="1" applyFont="1" applyFill="1" applyBorder="1" applyAlignment="1" applyProtection="1">
      <alignment horizontal="center" vertical="center"/>
      <protection hidden="1"/>
    </xf>
    <xf numFmtId="0" fontId="27" fillId="7" borderId="128" xfId="4" applyNumberFormat="1" applyFont="1" applyFill="1" applyBorder="1" applyAlignment="1" applyProtection="1">
      <alignment horizontal="center" vertical="center"/>
      <protection hidden="1"/>
    </xf>
    <xf numFmtId="0" fontId="27" fillId="7" borderId="25" xfId="4" applyNumberFormat="1" applyFont="1" applyFill="1" applyBorder="1" applyAlignment="1" applyProtection="1">
      <alignment horizontal="center" vertical="center"/>
      <protection hidden="1"/>
    </xf>
    <xf numFmtId="0" fontId="72" fillId="0" borderId="21" xfId="4" applyNumberFormat="1" applyFont="1" applyBorder="1" applyAlignment="1">
      <alignment horizontal="left" vertical="center"/>
    </xf>
    <xf numFmtId="0" fontId="72" fillId="0" borderId="118" xfId="4" applyNumberFormat="1" applyFont="1" applyBorder="1" applyAlignment="1">
      <alignment horizontal="left" vertical="center"/>
    </xf>
    <xf numFmtId="0" fontId="27" fillId="7" borderId="125" xfId="4" applyNumberFormat="1" applyFont="1" applyFill="1" applyBorder="1" applyAlignment="1">
      <alignment horizontal="center" vertical="center"/>
    </xf>
    <xf numFmtId="0" fontId="27" fillId="7" borderId="32" xfId="4" applyNumberFormat="1" applyFont="1" applyFill="1" applyBorder="1" applyAlignment="1">
      <alignment horizontal="center" vertical="center"/>
    </xf>
    <xf numFmtId="0" fontId="27" fillId="7" borderId="2" xfId="4" applyNumberFormat="1" applyFont="1" applyFill="1" applyBorder="1" applyAlignment="1">
      <alignment horizontal="center" vertical="center"/>
    </xf>
    <xf numFmtId="0" fontId="27" fillId="7" borderId="1" xfId="4" applyNumberFormat="1" applyFont="1" applyFill="1" applyBorder="1" applyAlignment="1">
      <alignment horizontal="center" vertical="center" shrinkToFit="1"/>
    </xf>
    <xf numFmtId="0" fontId="27" fillId="7" borderId="32" xfId="4" applyNumberFormat="1" applyFont="1" applyFill="1" applyBorder="1" applyAlignment="1">
      <alignment horizontal="center" vertical="center" shrinkToFit="1"/>
    </xf>
    <xf numFmtId="0" fontId="27" fillId="7" borderId="33" xfId="4" applyNumberFormat="1" applyFont="1" applyFill="1" applyBorder="1" applyAlignment="1">
      <alignment horizontal="center" vertical="center" shrinkToFit="1"/>
    </xf>
    <xf numFmtId="0" fontId="74" fillId="0" borderId="0" xfId="4" applyNumberFormat="1" applyFont="1" applyBorder="1" applyAlignment="1" applyProtection="1">
      <alignment horizontal="center" vertical="center"/>
      <protection locked="0"/>
    </xf>
    <xf numFmtId="0" fontId="27" fillId="0" borderId="125" xfId="4" applyNumberFormat="1" applyFont="1" applyBorder="1" applyAlignment="1">
      <alignment horizontal="center" vertical="center"/>
    </xf>
    <xf numFmtId="0" fontId="27" fillId="0" borderId="32" xfId="4" applyNumberFormat="1" applyFont="1" applyBorder="1" applyAlignment="1">
      <alignment horizontal="center" vertical="center"/>
    </xf>
    <xf numFmtId="0" fontId="27" fillId="0" borderId="2" xfId="4" applyNumberFormat="1" applyFont="1" applyBorder="1" applyAlignment="1" applyProtection="1">
      <alignment horizontal="center" vertical="center"/>
      <protection locked="0"/>
    </xf>
    <xf numFmtId="0" fontId="27" fillId="0" borderId="1" xfId="4" applyNumberFormat="1" applyFont="1" applyBorder="1" applyAlignment="1" applyProtection="1">
      <alignment horizontal="center" vertical="center"/>
      <protection locked="0"/>
    </xf>
    <xf numFmtId="0" fontId="27" fillId="0" borderId="32" xfId="4" applyNumberFormat="1" applyFont="1" applyBorder="1" applyAlignment="1" applyProtection="1">
      <alignment horizontal="center" vertical="center"/>
      <protection locked="0"/>
    </xf>
    <xf numFmtId="0" fontId="27" fillId="0" borderId="129" xfId="4" applyNumberFormat="1" applyFont="1" applyBorder="1" applyAlignment="1">
      <alignment horizontal="center" vertical="center"/>
    </xf>
    <xf numFmtId="0" fontId="27" fillId="0" borderId="113" xfId="4" applyNumberFormat="1" applyFont="1" applyBorder="1" applyAlignment="1">
      <alignment horizontal="center" vertical="center"/>
    </xf>
    <xf numFmtId="0" fontId="27" fillId="0" borderId="44" xfId="4" applyNumberFormat="1" applyFont="1" applyBorder="1" applyAlignment="1" applyProtection="1">
      <alignment horizontal="center" vertical="center" shrinkToFit="1"/>
      <protection locked="0"/>
    </xf>
    <xf numFmtId="0" fontId="27" fillId="0" borderId="44" xfId="4" applyNumberFormat="1" applyFont="1" applyBorder="1" applyAlignment="1" applyProtection="1">
      <alignment horizontal="center" vertical="center"/>
      <protection locked="0"/>
    </xf>
    <xf numFmtId="0" fontId="27" fillId="0" borderId="112" xfId="4" applyNumberFormat="1" applyFont="1" applyBorder="1" applyAlignment="1" applyProtection="1">
      <alignment horizontal="center" vertical="center"/>
      <protection locked="0"/>
    </xf>
    <xf numFmtId="0" fontId="27" fillId="0" borderId="113" xfId="4" applyNumberFormat="1" applyFont="1" applyBorder="1" applyAlignment="1" applyProtection="1">
      <alignment horizontal="center" vertical="center"/>
      <protection locked="0"/>
    </xf>
    <xf numFmtId="0" fontId="8" fillId="5" borderId="22" xfId="0" applyNumberFormat="1" applyFont="1" applyFill="1" applyBorder="1" applyAlignment="1" applyProtection="1">
      <alignment horizontal="center" vertical="center"/>
    </xf>
    <xf numFmtId="0" fontId="8" fillId="5" borderId="2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horizontal="center" vertical="center"/>
    </xf>
    <xf numFmtId="0" fontId="8" fillId="19" borderId="2" xfId="0" applyNumberFormat="1" applyFont="1" applyFill="1" applyBorder="1" applyAlignment="1">
      <alignment horizontal="left" vertical="center"/>
    </xf>
    <xf numFmtId="0" fontId="75" fillId="5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 applyAlignment="1">
      <alignment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2" xfId="0" applyNumberFormat="1" applyFont="1" applyFill="1" applyBorder="1" applyAlignment="1" applyProtection="1">
      <alignment horizontal="center" vertical="center" wrapText="1"/>
    </xf>
    <xf numFmtId="0" fontId="8" fillId="5" borderId="21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8" fillId="11" borderId="46" xfId="0" applyNumberFormat="1" applyFont="1" applyFill="1" applyBorder="1" applyAlignment="1">
      <alignment horizontal="center" vertical="center"/>
    </xf>
    <xf numFmtId="0" fontId="8" fillId="11" borderId="41" xfId="0" applyNumberFormat="1" applyFont="1" applyFill="1" applyBorder="1" applyAlignment="1">
      <alignment horizontal="center" vertical="center"/>
    </xf>
    <xf numFmtId="0" fontId="8" fillId="11" borderId="47" xfId="0" applyNumberFormat="1" applyFont="1" applyFill="1" applyBorder="1" applyAlignment="1">
      <alignment horizontal="center" vertical="center"/>
    </xf>
    <xf numFmtId="0" fontId="8" fillId="11" borderId="48" xfId="0" applyNumberFormat="1" applyFont="1" applyFill="1" applyBorder="1" applyAlignment="1">
      <alignment horizontal="center" vertical="center"/>
    </xf>
    <xf numFmtId="0" fontId="8" fillId="11" borderId="42" xfId="0" applyNumberFormat="1" applyFont="1" applyFill="1" applyBorder="1" applyAlignment="1">
      <alignment horizontal="center" vertical="center"/>
    </xf>
    <xf numFmtId="0" fontId="0" fillId="0" borderId="41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/>
    </xf>
    <xf numFmtId="0" fontId="0" fillId="0" borderId="130" xfId="0" applyNumberFormat="1" applyFill="1" applyBorder="1" applyAlignment="1">
      <alignment horizontal="center" vertical="center"/>
    </xf>
    <xf numFmtId="0" fontId="8" fillId="0" borderId="46" xfId="0" applyNumberFormat="1" applyFont="1" applyFill="1" applyBorder="1" applyAlignment="1">
      <alignment horizontal="left" vertical="center"/>
    </xf>
    <xf numFmtId="0" fontId="8" fillId="0" borderId="47" xfId="0" applyNumberFormat="1" applyFont="1" applyFill="1" applyBorder="1" applyAlignment="1">
      <alignment horizontal="left" vertical="center"/>
    </xf>
    <xf numFmtId="0" fontId="8" fillId="0" borderId="48" xfId="0" applyNumberFormat="1" applyFont="1" applyFill="1" applyBorder="1" applyAlignment="1">
      <alignment horizontal="left" vertical="center"/>
    </xf>
    <xf numFmtId="0" fontId="8" fillId="0" borderId="43" xfId="0" applyNumberFormat="1" applyFont="1" applyFill="1" applyBorder="1" applyAlignment="1">
      <alignment horizontal="left" vertical="center"/>
    </xf>
    <xf numFmtId="0" fontId="8" fillId="0" borderId="44" xfId="0" applyNumberFormat="1" applyFont="1" applyFill="1" applyBorder="1" applyAlignment="1">
      <alignment horizontal="left" vertical="center"/>
    </xf>
    <xf numFmtId="0" fontId="8" fillId="0" borderId="45" xfId="0" applyNumberFormat="1" applyFont="1" applyFill="1" applyBorder="1" applyAlignment="1">
      <alignment horizontal="left" vertical="center"/>
    </xf>
    <xf numFmtId="0" fontId="75" fillId="0" borderId="46" xfId="0" applyNumberFormat="1" applyFont="1" applyFill="1" applyBorder="1" applyAlignment="1">
      <alignment horizontal="center" vertical="center"/>
    </xf>
    <xf numFmtId="0" fontId="75" fillId="0" borderId="41" xfId="0" applyNumberFormat="1" applyFont="1" applyFill="1" applyBorder="1" applyAlignment="1">
      <alignment horizontal="center" vertical="center"/>
    </xf>
    <xf numFmtId="0" fontId="75" fillId="0" borderId="43" xfId="0" applyNumberFormat="1" applyFont="1" applyFill="1" applyBorder="1" applyAlignment="1">
      <alignment horizontal="center" vertical="center"/>
    </xf>
    <xf numFmtId="0" fontId="26" fillId="0" borderId="47" xfId="0" applyNumberFormat="1" applyFont="1" applyFill="1" applyBorder="1" applyAlignment="1">
      <alignment horizontal="center" vertical="center"/>
    </xf>
    <xf numFmtId="0" fontId="26" fillId="0" borderId="48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42" xfId="0" applyNumberFormat="1" applyFont="1" applyFill="1" applyBorder="1" applyAlignment="1">
      <alignment horizontal="center" vertical="center"/>
    </xf>
    <xf numFmtId="0" fontId="26" fillId="0" borderId="44" xfId="0" applyNumberFormat="1" applyFont="1" applyFill="1" applyBorder="1" applyAlignment="1">
      <alignment horizontal="center" vertical="center"/>
    </xf>
    <xf numFmtId="0" fontId="26" fillId="0" borderId="45" xfId="0" applyNumberFormat="1" applyFont="1" applyFill="1" applyBorder="1" applyAlignment="1">
      <alignment horizontal="center" vertical="center"/>
    </xf>
    <xf numFmtId="176" fontId="11" fillId="15" borderId="23" xfId="0" applyNumberFormat="1" applyFont="1" applyFill="1" applyBorder="1" applyAlignment="1" applyProtection="1">
      <alignment horizontal="center" vertical="center" wrapText="1" shrinkToFit="1"/>
      <protection hidden="1"/>
    </xf>
    <xf numFmtId="176" fontId="11" fillId="15" borderId="11" xfId="0" applyNumberFormat="1" applyFont="1" applyFill="1" applyBorder="1" applyAlignment="1" applyProtection="1">
      <alignment horizontal="center" vertical="center" shrinkToFit="1"/>
      <protection hidden="1"/>
    </xf>
    <xf numFmtId="0" fontId="76" fillId="15" borderId="1" xfId="0" applyNumberFormat="1" applyFont="1" applyFill="1" applyBorder="1" applyAlignment="1" applyProtection="1">
      <alignment horizontal="center" vertical="center" shrinkToFit="1"/>
      <protection hidden="1"/>
    </xf>
    <xf numFmtId="0" fontId="76" fillId="15" borderId="32" xfId="0" applyNumberFormat="1" applyFont="1" applyFill="1" applyBorder="1" applyAlignment="1" applyProtection="1">
      <alignment horizontal="center" vertical="center" shrinkToFit="1"/>
      <protection hidden="1"/>
    </xf>
    <xf numFmtId="0" fontId="76" fillId="15" borderId="4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22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2" xfId="0" applyNumberFormat="1" applyFont="1" applyFill="1" applyBorder="1" applyAlignment="1" applyProtection="1">
      <alignment horizontal="center" vertical="center" wrapText="1" shrinkToFit="1"/>
      <protection hidden="1"/>
    </xf>
    <xf numFmtId="0" fontId="6" fillId="15" borderId="22" xfId="0" applyNumberFormat="1" applyFont="1" applyFill="1" applyBorder="1" applyAlignment="1" applyProtection="1">
      <alignment horizontal="center" vertical="center" wrapText="1" shrinkToFit="1"/>
      <protection hidden="1"/>
    </xf>
    <xf numFmtId="0" fontId="6" fillId="15" borderId="21" xfId="0" applyNumberFormat="1" applyFont="1" applyFill="1" applyBorder="1" applyAlignment="1" applyProtection="1">
      <alignment horizontal="center" vertical="center" shrinkToFit="1"/>
      <protection hidden="1"/>
    </xf>
    <xf numFmtId="0" fontId="76" fillId="15" borderId="2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22" xfId="0" applyNumberFormat="1" applyFont="1" applyFill="1" applyBorder="1" applyAlignment="1" applyProtection="1">
      <alignment horizontal="center" vertical="center" wrapText="1" shrinkToFit="1"/>
      <protection hidden="1"/>
    </xf>
    <xf numFmtId="0" fontId="11" fillId="15" borderId="21" xfId="0" applyNumberFormat="1" applyFont="1" applyFill="1" applyBorder="1" applyAlignment="1" applyProtection="1">
      <alignment horizontal="center" vertical="center" wrapText="1" shrinkToFit="1"/>
      <protection hidden="1"/>
    </xf>
    <xf numFmtId="0" fontId="11" fillId="10" borderId="2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23" xfId="0" applyNumberFormat="1" applyFont="1" applyFill="1" applyBorder="1" applyAlignment="1" applyProtection="1">
      <alignment horizontal="center" vertical="center" shrinkToFit="1"/>
      <protection hidden="1"/>
    </xf>
    <xf numFmtId="0" fontId="11" fillId="15" borderId="1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0" applyNumberFormat="1" applyFont="1" applyFill="1" applyBorder="1" applyAlignment="1" applyProtection="1">
      <alignment horizontal="center" vertical="center" shrinkToFit="1"/>
      <protection hidden="1"/>
    </xf>
    <xf numFmtId="0" fontId="54" fillId="10" borderId="2" xfId="0" applyNumberFormat="1" applyFont="1" applyFill="1" applyBorder="1" applyAlignment="1" applyProtection="1">
      <alignment horizontal="center" vertical="center" shrinkToFit="1"/>
      <protection hidden="1"/>
    </xf>
  </cellXfs>
  <cellStyles count="5">
    <cellStyle name="백분율" xfId="3" builtinId="5"/>
    <cellStyle name="표준" xfId="0" builtinId="0"/>
    <cellStyle name="표준 2" xfId="2" xr:uid="{00000000-0005-0000-0000-000002000000}"/>
    <cellStyle name="표준 3" xfId="4" xr:uid="{00000000-0005-0000-0000-000003000000}"/>
    <cellStyle name="표준_Sheet1" xfId="1" xr:uid="{00000000-0005-0000-0000-000004000000}"/>
  </cellStyles>
  <dxfs count="106">
    <dxf>
      <font>
        <color rgb="FF9C0006"/>
      </font>
      <fill>
        <patternFill>
          <bgColor rgb="FFFFC7CE"/>
        </patternFill>
      </fill>
    </dxf>
    <dxf>
      <font>
        <i/>
        <color rgb="FFFF0000"/>
      </font>
    </dxf>
    <dxf>
      <font>
        <i/>
        <color rgb="FF0000FF"/>
      </font>
    </dxf>
    <dxf>
      <font>
        <i/>
        <color rgb="FFFF0000"/>
      </font>
    </dxf>
    <dxf>
      <font>
        <i/>
        <color rgb="FFFF0000"/>
      </font>
    </dxf>
    <dxf>
      <font>
        <i/>
        <color rgb="FFFF0000"/>
      </font>
    </dxf>
    <dxf>
      <fill>
        <patternFill>
          <bgColor rgb="FFFFFFFF"/>
        </patternFill>
      </fill>
    </dxf>
    <dxf>
      <fill>
        <patternFill>
          <bgColor rgb="FFFFFF00"/>
        </patternFill>
      </fill>
    </dxf>
    <dxf>
      <fill>
        <patternFill>
          <bgColor rgb="FFC6DAF1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E6B8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ont>
        <color rgb="FFFFFFFF"/>
      </font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numFmt numFmtId="2" formatCode="0.00"/>
    </dxf>
    <dxf>
      <numFmt numFmtId="187" formatCode="&quot;해당없음&quot;"/>
    </dxf>
    <dxf>
      <numFmt numFmtId="2" formatCode="0.00"/>
    </dxf>
    <dxf>
      <numFmt numFmtId="187" formatCode="&quot;해당없음&quot;"/>
    </dxf>
    <dxf>
      <numFmt numFmtId="187" formatCode="&quot;해당없음&quot;"/>
    </dxf>
    <dxf>
      <numFmt numFmtId="188" formatCode="\1&quot;희&quot;&quot;망&quot;"/>
    </dxf>
    <dxf>
      <numFmt numFmtId="189" formatCode="\2&quot;희&quot;&quot;망&quot;"/>
    </dxf>
    <dxf>
      <numFmt numFmtId="187" formatCode="&quot;해당없음&quot;"/>
    </dxf>
    <dxf>
      <font>
        <b/>
        <color rgb="FF1F497D"/>
      </font>
    </dxf>
    <dxf>
      <font>
        <color rgb="FF9C0006"/>
      </font>
      <fill>
        <patternFill>
          <bgColor rgb="FFFFC7CE"/>
        </patternFill>
      </fill>
    </dxf>
    <dxf>
      <numFmt numFmtId="187" formatCode="&quot;해당없음&quot;"/>
    </dxf>
    <dxf>
      <numFmt numFmtId="190" formatCode="\3&quot;희&quot;&quot;망&quot;"/>
    </dxf>
    <dxf>
      <numFmt numFmtId="187" formatCode="&quot;해당없음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개별기초자료!$F$26" lockText="1" noThreeD="1"/>
</file>

<file path=xl/ctrlProps/ctrlProp2.xml><?xml version="1.0" encoding="utf-8"?>
<formControlPr xmlns="http://schemas.microsoft.com/office/spreadsheetml/2009/9/main" objectType="CheckBox" fmlaLink="개별기초자료!$E$26" lockText="1" noThreeD="1"/>
</file>

<file path=xl/ctrlProps/ctrlProp3.xml><?xml version="1.0" encoding="utf-8"?>
<formControlPr xmlns="http://schemas.microsoft.com/office/spreadsheetml/2009/9/main" objectType="CheckBox" fmlaLink="개별기초자료!$G$26" lockText="1" noThreeD="1"/>
</file>

<file path=xl/ctrlProps/ctrlProp4.xml><?xml version="1.0" encoding="utf-8"?>
<formControlPr xmlns="http://schemas.microsoft.com/office/spreadsheetml/2009/9/main" objectType="CheckBox" fmlaLink="개별기초자료!$H$26" lockText="1" noThreeD="1"/>
</file>

<file path=xl/ctrlProps/ctrlProp5.xml><?xml version="1.0" encoding="utf-8"?>
<formControlPr xmlns="http://schemas.microsoft.com/office/spreadsheetml/2009/9/main" objectType="Drop" dropLines="5" dropStyle="combo" dx="16" fmlaLink="개별기초자료!$E$19" fmlaRange="조견표!$T$44:$U$52" noThreeD="1" sel="1" val="0"/>
</file>

<file path=xl/ctrlProps/ctrlProp6.xml><?xml version="1.0" encoding="utf-8"?>
<formControlPr xmlns="http://schemas.microsoft.com/office/spreadsheetml/2009/9/main" objectType="Drop" dropLines="5" dropStyle="combo" dx="16" fmlaLink="개별기초자료!$I$9" fmlaRange="조견표!$T$55:$T$66" noThreeD="1" sel="5" val="0"/>
</file>

<file path=xl/ctrlProps/ctrlProp7.xml><?xml version="1.0" encoding="utf-8"?>
<formControlPr xmlns="http://schemas.microsoft.com/office/spreadsheetml/2009/9/main" objectType="Drop" dropLines="5" dropStyle="combo" dx="16" fmlaLink="개별기초자료!$I$18" fmlaRange="조견표!$T$69:$T$74" noThreeD="1" sel="2" val="0"/>
</file>

<file path=xl/ctrlProps/ctrlProp8.xml><?xml version="1.0" encoding="utf-8"?>
<formControlPr xmlns="http://schemas.microsoft.com/office/spreadsheetml/2009/9/main" objectType="CheckBox" fmlaLink="개별기초자료!$D$2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85724</xdr:rowOff>
    </xdr:from>
    <xdr:to>
      <xdr:col>4</xdr:col>
      <xdr:colOff>19050</xdr:colOff>
      <xdr:row>8</xdr:row>
      <xdr:rowOff>514350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82705" y="1871382"/>
          <a:ext cx="1624852" cy="425823"/>
        </a:xfrm>
        <a:prstGeom prst="roundRect">
          <a:avLst>
            <a:gd name="adj" fmla="val 50000"/>
          </a:avLst>
        </a:prstGeom>
        <a:noFill/>
        <a:ln w="19050"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wrap="square" lIns="18415" tIns="0" rIns="0" bIns="0" anchor="ctr"/>
        <a:lstStyle/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628650</xdr:colOff>
      <xdr:row>18</xdr:row>
      <xdr:rowOff>85724</xdr:rowOff>
    </xdr:from>
    <xdr:to>
      <xdr:col>3</xdr:col>
      <xdr:colOff>381000</xdr:colOff>
      <xdr:row>20</xdr:row>
      <xdr:rowOff>57150</xdr:rowOff>
    </xdr:to>
    <xdr:pic>
      <xdr:nvPicPr>
        <xdr:cNvPr id="5123" name="_x128930320" descr="EMB00000c285221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88676" y="6813176"/>
          <a:ext cx="515470" cy="493058"/>
        </a:xfrm>
        <a:prstGeom prst="rect">
          <a:avLst/>
        </a:prstGeom>
        <a:noFill/>
      </xdr:spPr>
    </xdr:pic>
    <xdr:clientData/>
  </xdr:twoCellAnchor>
  <xdr:twoCellAnchor>
    <xdr:from>
      <xdr:col>2</xdr:col>
      <xdr:colOff>142875</xdr:colOff>
      <xdr:row>8</xdr:row>
      <xdr:rowOff>552450</xdr:rowOff>
    </xdr:from>
    <xdr:to>
      <xdr:col>8</xdr:col>
      <xdr:colOff>66675</xdr:colOff>
      <xdr:row>9</xdr:row>
      <xdr:rowOff>1419225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Rot="1"/>
        </xdr:cNvSpPr>
      </xdr:nvSpPr>
      <xdr:spPr>
        <a:xfrm>
          <a:off x="806823" y="2330823"/>
          <a:ext cx="4818529" cy="1490382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</a:ln>
        <a:effectLst/>
      </xdr:spPr>
      <xdr:txBody>
        <a:bodyPr vertOverflow="clip" horzOverflow="overflow" wrap="square" lIns="18415" tIns="0" rIns="0" bIns="0" anchor="ctr"/>
        <a:lstStyle/>
        <a:p>
          <a:pPr algn="l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돋움"/>
              <a:ea typeface="돋움"/>
            </a:rPr>
            <a:t> </a:t>
          </a:r>
          <a:r>
            <a:rPr sz="1800" b="1">
              <a:solidFill>
                <a:srgbClr val="000000"/>
              </a:solidFill>
              <a:latin typeface="돋움"/>
              <a:ea typeface="돋움"/>
            </a:rPr>
            <a:t>① 1단계 : 개별기초자료 입력</a:t>
          </a:r>
        </a:p>
        <a:p>
          <a:pPr algn="l">
            <a:lnSpc>
              <a:spcPct val="100000"/>
            </a:lnSpc>
          </a:pP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sz="1600">
              <a:solidFill>
                <a:srgbClr val="000000"/>
              </a:solidFill>
              <a:latin typeface="Calibri"/>
              <a:ea typeface="Calibri"/>
            </a:rPr>
            <a:t>- 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기본 사항</a:t>
          </a:r>
          <a:r>
            <a:rPr sz="1600">
              <a:solidFill>
                <a:srgbClr val="000000"/>
              </a:solidFill>
              <a:latin typeface="Calibri"/>
              <a:ea typeface="Calibri"/>
            </a:rPr>
            <a:t>(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 이름</a:t>
          </a:r>
          <a:r>
            <a:rPr sz="1600">
              <a:solidFill>
                <a:srgbClr val="000000"/>
              </a:solidFill>
              <a:latin typeface="Calibri"/>
              <a:ea typeface="Calibri"/>
            </a:rPr>
            <a:t>, 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주민등록번호</a:t>
          </a:r>
          <a:r>
            <a:rPr sz="1600">
              <a:solidFill>
                <a:srgbClr val="000000"/>
              </a:solidFill>
              <a:latin typeface="Calibri"/>
              <a:ea typeface="Calibri"/>
            </a:rPr>
            <a:t>) 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직접 입력</a:t>
          </a:r>
        </a:p>
        <a:p>
          <a:pPr algn="l">
            <a:lnSpc>
              <a:spcPct val="100000"/>
            </a:lnSpc>
          </a:pPr>
          <a:r>
            <a:rPr sz="1600">
              <a:solidFill>
                <a:srgbClr val="000000"/>
              </a:solidFill>
              <a:latin typeface="돋움"/>
              <a:ea typeface="돋움"/>
            </a:rPr>
            <a:t>      - 직위, 학교명 등은 목록에서 선택</a:t>
          </a:r>
        </a:p>
        <a:p>
          <a:pPr algn="l">
            <a:lnSpc>
              <a:spcPct val="100000"/>
            </a:lnSpc>
          </a:pPr>
          <a:r>
            <a:rPr sz="1600">
              <a:solidFill>
                <a:srgbClr val="000000"/>
              </a:solidFill>
              <a:latin typeface="돋움"/>
              <a:ea typeface="돋움"/>
            </a:rPr>
            <a:t>      - 생활근거지, 전보유형 등 입력</a:t>
          </a:r>
        </a:p>
      </xdr:txBody>
    </xdr:sp>
    <xdr:clientData/>
  </xdr:twoCellAnchor>
  <xdr:twoCellAnchor>
    <xdr:from>
      <xdr:col>2</xdr:col>
      <xdr:colOff>95250</xdr:colOff>
      <xdr:row>9</xdr:row>
      <xdr:rowOff>1419225</xdr:rowOff>
    </xdr:from>
    <xdr:to>
      <xdr:col>9</xdr:col>
      <xdr:colOff>238125</xdr:colOff>
      <xdr:row>10</xdr:row>
      <xdr:rowOff>419100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Rot="1"/>
        </xdr:cNvSpPr>
      </xdr:nvSpPr>
      <xdr:spPr>
        <a:xfrm>
          <a:off x="750794" y="3821205"/>
          <a:ext cx="6185646" cy="705970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</a:ln>
        <a:effectLst/>
      </xdr:spPr>
      <xdr:txBody>
        <a:bodyPr vertOverflow="clip" horzOverflow="overflow" wrap="square" lIns="18415" tIns="0" rIns="0" bIns="0" anchor="ctr"/>
        <a:lstStyle/>
        <a:p>
          <a:pPr algn="l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돋움"/>
              <a:ea typeface="돋움"/>
            </a:rPr>
            <a:t> </a:t>
          </a:r>
          <a:r>
            <a:rPr sz="1800" b="1">
              <a:solidFill>
                <a:srgbClr val="000000"/>
              </a:solidFill>
              <a:latin typeface="돋움"/>
              <a:ea typeface="돋움"/>
            </a:rPr>
            <a:t>② 2단계 : 통합경력증명 입력</a:t>
          </a:r>
          <a:r>
            <a:rPr sz="1050">
              <a:solidFill>
                <a:srgbClr val="000000"/>
              </a:solidFill>
              <a:latin typeface="맑은 고딕"/>
              <a:ea typeface="맑은 고딕"/>
            </a:rPr>
            <a:t>         - </a:t>
          </a:r>
          <a:r>
            <a:rPr sz="1600">
              <a:solidFill>
                <a:srgbClr val="000000"/>
              </a:solidFill>
              <a:latin typeface="돋움"/>
              <a:ea typeface="돋움"/>
            </a:rPr>
            <a:t>가산년수(점수) 입력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하면 개별기초자료에 자동 반영 됨</a:t>
          </a:r>
        </a:p>
      </xdr:txBody>
    </xdr:sp>
    <xdr:clientData/>
  </xdr:twoCellAnchor>
  <xdr:twoCellAnchor>
    <xdr:from>
      <xdr:col>2</xdr:col>
      <xdr:colOff>142875</xdr:colOff>
      <xdr:row>12</xdr:row>
      <xdr:rowOff>180975</xdr:rowOff>
    </xdr:from>
    <xdr:to>
      <xdr:col>9</xdr:col>
      <xdr:colOff>180975</xdr:colOff>
      <xdr:row>15</xdr:row>
      <xdr:rowOff>400050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Rot="1"/>
        </xdr:cNvSpPr>
      </xdr:nvSpPr>
      <xdr:spPr>
        <a:xfrm>
          <a:off x="806823" y="5143500"/>
          <a:ext cx="6062382" cy="1098176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</a:ln>
        <a:effectLst/>
      </xdr:spPr>
      <xdr:txBody>
        <a:bodyPr vertOverflow="clip" horzOverflow="overflow" wrap="square" lIns="18415" tIns="0" rIns="0" bIns="0" anchor="ctr"/>
        <a:lstStyle/>
        <a:p>
          <a:pPr algn="l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돋움"/>
              <a:ea typeface="돋움"/>
            </a:rPr>
            <a:t>④ 4단계 : 제출하기</a:t>
          </a:r>
        </a:p>
        <a:p>
          <a:pPr algn="l">
            <a:lnSpc>
              <a:spcPct val="100000"/>
            </a:lnSpc>
          </a:pPr>
          <a:r>
            <a:rPr sz="180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sz="1800">
              <a:solidFill>
                <a:srgbClr val="000000"/>
              </a:solidFill>
              <a:latin typeface="Calibri"/>
              <a:ea typeface="Calibri"/>
            </a:rPr>
            <a:t>-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  개별기초자료 시트로 이동 후 출력 및 "제출파일생성" 클릭</a:t>
          </a:r>
        </a:p>
        <a:p>
          <a:pPr algn="l">
            <a:lnSpc>
              <a:spcPct val="100000"/>
            </a:lnSpc>
          </a:pPr>
          <a:r>
            <a:rPr sz="180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sz="1800">
              <a:solidFill>
                <a:srgbClr val="000000"/>
              </a:solidFill>
              <a:latin typeface="Calibri"/>
              <a:ea typeface="Calibri"/>
            </a:rPr>
            <a:t>-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  인사담당 교감선생님에게 출력물과 파일 제출</a:t>
          </a:r>
        </a:p>
      </xdr:txBody>
    </xdr:sp>
    <xdr:clientData/>
  </xdr:twoCellAnchor>
  <xdr:twoCellAnchor>
    <xdr:from>
      <xdr:col>2</xdr:col>
      <xdr:colOff>76200</xdr:colOff>
      <xdr:row>10</xdr:row>
      <xdr:rowOff>390525</xdr:rowOff>
    </xdr:from>
    <xdr:to>
      <xdr:col>9</xdr:col>
      <xdr:colOff>152400</xdr:colOff>
      <xdr:row>12</xdr:row>
      <xdr:rowOff>228600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Rot="1"/>
        </xdr:cNvSpPr>
      </xdr:nvSpPr>
      <xdr:spPr>
        <a:xfrm>
          <a:off x="739588" y="4493558"/>
          <a:ext cx="6107206" cy="694764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</a:ln>
        <a:effectLst/>
      </xdr:spPr>
      <xdr:txBody>
        <a:bodyPr vertOverflow="clip" horzOverflow="overflow" wrap="square" lIns="18415" tIns="0" rIns="0" bIns="0" anchor="ctr"/>
        <a:lstStyle/>
        <a:p>
          <a:pPr algn="l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돋움"/>
              <a:ea typeface="돋움"/>
            </a:rPr>
            <a:t> ③ 3단계 : 교육경력조서 입력</a:t>
          </a:r>
        </a:p>
        <a:p>
          <a:pPr algn="l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Calibri"/>
              <a:ea typeface="Calibri"/>
            </a:rPr>
            <a:t>   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    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   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  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 -</a:t>
          </a:r>
          <a:r>
            <a:rPr sz="1050">
              <a:solidFill>
                <a:srgbClr val="000000"/>
              </a:solidFill>
              <a:latin typeface="맑은 고딕"/>
              <a:ea typeface="맑은 고딕"/>
            </a:rPr>
            <a:t>  </a:t>
          </a:r>
          <a:r>
            <a:rPr sz="1600">
              <a:solidFill>
                <a:srgbClr val="000000"/>
              </a:solidFill>
              <a:latin typeface="돋움"/>
              <a:ea typeface="돋움"/>
            </a:rPr>
            <a:t>구역만기와 경력 단절자만 입력, </a:t>
          </a:r>
          <a:r>
            <a:rPr sz="1600">
              <a:solidFill>
                <a:srgbClr val="000000"/>
              </a:solidFill>
              <a:latin typeface="맑은 고딕"/>
              <a:ea typeface="맑은 고딕"/>
            </a:rPr>
            <a:t>해당없는 자는 미입력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pic>
      <xdr:nvPicPr>
        <xdr:cNvPr id="5140" name="Object 20" hidden="1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13794" cy="951379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pic>
      <xdr:nvPicPr>
        <xdr:cNvPr id="2" name="Object 20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13794" cy="9513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123824</xdr:colOff>
      <xdr:row>1</xdr:row>
      <xdr:rowOff>114300</xdr:rowOff>
    </xdr:from>
    <xdr:to>
      <xdr:col>9</xdr:col>
      <xdr:colOff>238125</xdr:colOff>
      <xdr:row>17</xdr:row>
      <xdr:rowOff>57150</xdr:rowOff>
    </xdr:to>
    <xdr:sp macro="" textlink="">
      <xdr:nvSpPr>
        <xdr:cNvPr id="5121" name="Group Box 1" hidden="1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/>
      </xdr:nvSpPr>
      <xdr:spPr>
        <a:xfrm>
          <a:off x="425823" y="369794"/>
          <a:ext cx="6510618" cy="629770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114300</xdr:colOff>
      <xdr:row>17</xdr:row>
      <xdr:rowOff>104775</xdr:rowOff>
    </xdr:from>
    <xdr:to>
      <xdr:col>9</xdr:col>
      <xdr:colOff>228600</xdr:colOff>
      <xdr:row>20</xdr:row>
      <xdr:rowOff>171449</xdr:rowOff>
    </xdr:to>
    <xdr:sp macro="" textlink="">
      <xdr:nvSpPr>
        <xdr:cNvPr id="5139" name="Group Box 19" hidden="1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SpPr/>
      </xdr:nvSpPr>
      <xdr:spPr>
        <a:xfrm>
          <a:off x="414617" y="6712323"/>
          <a:ext cx="6510618" cy="70597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pic>
      <xdr:nvPicPr>
        <xdr:cNvPr id="3" name="Object 20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13794" cy="951379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pic>
      <xdr:nvPicPr>
        <xdr:cNvPr id="4" name="Object 20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13794" cy="951379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5" name="AutoShape 2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7" name="AutoShape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8" name="AutoShape 2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9" name="AutoShape 2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4" name="AutoShape 2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6" name="AutoShape 2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7" name="AutoShape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8" name="AutoShape 2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2" name="도형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3" name="도형 2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4" name="도형 2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5" name="도형 2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6" name="도형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7" name="도형 2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8" name="도형 2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29" name="도형 2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30" name="도형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31" name="도형 2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5120" name="도형 20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5122" name="도형 20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571500</xdr:colOff>
      <xdr:row>28</xdr:row>
      <xdr:rowOff>200025</xdr:rowOff>
    </xdr:to>
    <xdr:sp macro="" textlink="">
      <xdr:nvSpPr>
        <xdr:cNvPr id="5124" name="도형 20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>
          <a:spLocks noChangeArrowheads="1"/>
        </xdr:cNvSpPr>
      </xdr:nvSpPr>
      <xdr:spPr>
        <a:xfrm>
          <a:off x="0" y="0"/>
          <a:ext cx="9513794" cy="951379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pic>
      <xdr:nvPicPr>
        <xdr:cNvPr id="4248" name="Object 152" hidden="1">
          <a:extLst>
            <a:ext uri="{FF2B5EF4-FFF2-40B4-BE49-F238E27FC236}">
              <a16:creationId xmlns:a16="http://schemas.microsoft.com/office/drawing/2014/main" id="{00000000-0008-0000-0100-0000981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115425" cy="9286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15</xdr:col>
      <xdr:colOff>76200</xdr:colOff>
      <xdr:row>24</xdr:row>
      <xdr:rowOff>76200</xdr:rowOff>
    </xdr:from>
    <xdr:to>
      <xdr:col>17</xdr:col>
      <xdr:colOff>600075</xdr:colOff>
      <xdr:row>25</xdr:row>
      <xdr:rowOff>114300</xdr:rowOff>
    </xdr:to>
    <xdr:sp macro="PrintView" textlink="">
      <xdr:nvSpPr>
        <xdr:cNvPr id="4249" name="모서리가 둥근 직사각형 4249">
          <a:extLst>
            <a:ext uri="{FF2B5EF4-FFF2-40B4-BE49-F238E27FC236}">
              <a16:creationId xmlns:a16="http://schemas.microsoft.com/office/drawing/2014/main" id="{00000000-0008-0000-0100-000099100000}"/>
            </a:ext>
          </a:extLst>
        </xdr:cNvPr>
        <xdr:cNvSpPr>
          <a:spLocks noRot="1"/>
        </xdr:cNvSpPr>
      </xdr:nvSpPr>
      <xdr:spPr>
        <a:xfrm>
          <a:off x="8258174" y="5219700"/>
          <a:ext cx="1800225" cy="323850"/>
        </a:xfrm>
        <a:prstGeom prst="roundRect">
          <a:avLst>
            <a:gd name="adj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90170" tIns="46990" rIns="90170" bIns="4699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FF"/>
              </a:solidFill>
              <a:latin typeface="맑은 고딕"/>
              <a:ea typeface="맑은 고딕"/>
            </a:rPr>
            <a:t>전보내신카드 출력</a:t>
          </a:r>
        </a:p>
      </xdr:txBody>
    </xdr:sp>
    <xdr:clientData/>
  </xdr:twoCellAnchor>
  <xdr:twoCellAnchor>
    <xdr:from>
      <xdr:col>15</xdr:col>
      <xdr:colOff>76200</xdr:colOff>
      <xdr:row>25</xdr:row>
      <xdr:rowOff>152400</xdr:rowOff>
    </xdr:from>
    <xdr:to>
      <xdr:col>17</xdr:col>
      <xdr:colOff>600075</xdr:colOff>
      <xdr:row>26</xdr:row>
      <xdr:rowOff>238125</xdr:rowOff>
    </xdr:to>
    <xdr:sp macro="Print_tong" textlink="">
      <xdr:nvSpPr>
        <xdr:cNvPr id="4250" name="모서리가 둥근 직사각형 4250">
          <a:extLst>
            <a:ext uri="{FF2B5EF4-FFF2-40B4-BE49-F238E27FC236}">
              <a16:creationId xmlns:a16="http://schemas.microsoft.com/office/drawing/2014/main" id="{00000000-0008-0000-0100-00009A100000}"/>
            </a:ext>
          </a:extLst>
        </xdr:cNvPr>
        <xdr:cNvSpPr>
          <a:spLocks noRot="1"/>
        </xdr:cNvSpPr>
      </xdr:nvSpPr>
      <xdr:spPr>
        <a:xfrm>
          <a:off x="8258174" y="5581650"/>
          <a:ext cx="1800225" cy="323850"/>
        </a:xfrm>
        <a:prstGeom prst="roundRect">
          <a:avLst>
            <a:gd name="adj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90170" tIns="46990" rIns="90170" bIns="4699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FF"/>
              </a:solidFill>
              <a:latin typeface="맑은 고딕"/>
              <a:ea typeface="맑은 고딕"/>
            </a:rPr>
            <a:t>통합경력증명서 출력</a:t>
          </a:r>
        </a:p>
      </xdr:txBody>
    </xdr:sp>
    <xdr:clientData/>
  </xdr:twoCellAnchor>
  <xdr:twoCellAnchor>
    <xdr:from>
      <xdr:col>15</xdr:col>
      <xdr:colOff>76200</xdr:colOff>
      <xdr:row>26</xdr:row>
      <xdr:rowOff>266700</xdr:rowOff>
    </xdr:from>
    <xdr:to>
      <xdr:col>17</xdr:col>
      <xdr:colOff>600075</xdr:colOff>
      <xdr:row>28</xdr:row>
      <xdr:rowOff>38100</xdr:rowOff>
    </xdr:to>
    <xdr:sp macro="Print_edutong" textlink="">
      <xdr:nvSpPr>
        <xdr:cNvPr id="4251" name="모서리가 둥근 직사각형 4251">
          <a:extLst>
            <a:ext uri="{FF2B5EF4-FFF2-40B4-BE49-F238E27FC236}">
              <a16:creationId xmlns:a16="http://schemas.microsoft.com/office/drawing/2014/main" id="{00000000-0008-0000-0100-00009B100000}"/>
            </a:ext>
          </a:extLst>
        </xdr:cNvPr>
        <xdr:cNvSpPr>
          <a:spLocks noRot="1"/>
        </xdr:cNvSpPr>
      </xdr:nvSpPr>
      <xdr:spPr>
        <a:xfrm>
          <a:off x="8258174" y="5934074"/>
          <a:ext cx="1800225" cy="323850"/>
        </a:xfrm>
        <a:prstGeom prst="roundRect">
          <a:avLst>
            <a:gd name="adj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90170" tIns="46990" rIns="90170" bIns="4699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FF"/>
              </a:solidFill>
              <a:latin typeface="맑은 고딕"/>
              <a:ea typeface="맑은 고딕"/>
            </a:rPr>
            <a:t>교육경력조서 출력</a:t>
          </a:r>
        </a:p>
      </xdr:txBody>
    </xdr:sp>
    <xdr:clientData/>
  </xdr:twoCellAnchor>
  <xdr:twoCellAnchor>
    <xdr:from>
      <xdr:col>15</xdr:col>
      <xdr:colOff>76200</xdr:colOff>
      <xdr:row>28</xdr:row>
      <xdr:rowOff>133350</xdr:rowOff>
    </xdr:from>
    <xdr:to>
      <xdr:col>17</xdr:col>
      <xdr:colOff>600075</xdr:colOff>
      <xdr:row>29</xdr:row>
      <xdr:rowOff>209550</xdr:rowOff>
    </xdr:to>
    <xdr:sp macro="파일저장" textlink="">
      <xdr:nvSpPr>
        <xdr:cNvPr id="4252" name="모서리가 둥근 직사각형 4252">
          <a:extLst>
            <a:ext uri="{FF2B5EF4-FFF2-40B4-BE49-F238E27FC236}">
              <a16:creationId xmlns:a16="http://schemas.microsoft.com/office/drawing/2014/main" id="{00000000-0008-0000-0100-00009C100000}"/>
            </a:ext>
          </a:extLst>
        </xdr:cNvPr>
        <xdr:cNvSpPr>
          <a:spLocks noRot="1"/>
        </xdr:cNvSpPr>
      </xdr:nvSpPr>
      <xdr:spPr>
        <a:xfrm>
          <a:off x="8258174" y="6353174"/>
          <a:ext cx="1800225" cy="323850"/>
        </a:xfrm>
        <a:prstGeom prst="roundRect">
          <a:avLst>
            <a:gd name="adj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90170" tIns="46990" rIns="90170" bIns="4699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FF"/>
              </a:solidFill>
              <a:latin typeface="맑은 고딕"/>
              <a:ea typeface="맑은 고딕"/>
            </a:rPr>
            <a:t>제출파일 생성하기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pic>
      <xdr:nvPicPr>
        <xdr:cNvPr id="4245" name="Object 149" hidden="1">
          <a:extLst>
            <a:ext uri="{FF2B5EF4-FFF2-40B4-BE49-F238E27FC236}">
              <a16:creationId xmlns:a16="http://schemas.microsoft.com/office/drawing/2014/main" id="{00000000-0008-0000-0100-0000951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115425" cy="9286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pic>
      <xdr:nvPicPr>
        <xdr:cNvPr id="2" name="Object 149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115425" cy="9286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pic>
      <xdr:nvPicPr>
        <xdr:cNvPr id="3" name="Object 149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115425" cy="9286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4" name="AutoShape 14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5" name="AutoShape 14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6" name="AutoShape 14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0</xdr:colOff>
      <xdr:row>24</xdr:row>
      <xdr:rowOff>47625</xdr:rowOff>
    </xdr:from>
    <xdr:to>
      <xdr:col>8</xdr:col>
      <xdr:colOff>38100</xdr:colOff>
      <xdr:row>26</xdr:row>
      <xdr:rowOff>247649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52400" y="5191125"/>
          <a:ext cx="4467225" cy="723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12" name="AutoShape 14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13" name="AutoShape 14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14" name="AutoShape 14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295275</xdr:colOff>
      <xdr:row>45</xdr:row>
      <xdr:rowOff>114300</xdr:rowOff>
    </xdr:to>
    <xdr:sp macro="" textlink="">
      <xdr:nvSpPr>
        <xdr:cNvPr id="15" name="AutoShape 14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>
        <a:xfrm>
          <a:off x="0" y="0"/>
          <a:ext cx="9115425" cy="9286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66675</xdr:colOff>
      <xdr:row>47</xdr:row>
      <xdr:rowOff>9525</xdr:rowOff>
    </xdr:to>
    <xdr:pic>
      <xdr:nvPicPr>
        <xdr:cNvPr id="4268" name="Object 3244" hidden="1">
          <a:extLst>
            <a:ext uri="{FF2B5EF4-FFF2-40B4-BE49-F238E27FC236}">
              <a16:creationId xmlns:a16="http://schemas.microsoft.com/office/drawing/2014/main" id="{00000000-0008-0000-0100-0000AC1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25000" cy="9525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66675</xdr:colOff>
      <xdr:row>47</xdr:row>
      <xdr:rowOff>9525</xdr:rowOff>
    </xdr:to>
    <xdr:pic>
      <xdr:nvPicPr>
        <xdr:cNvPr id="8" name="Object 172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25000" cy="9525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66675</xdr:colOff>
      <xdr:row>47</xdr:row>
      <xdr:rowOff>9525</xdr:rowOff>
    </xdr:to>
    <xdr:pic>
      <xdr:nvPicPr>
        <xdr:cNvPr id="9" name="Object 172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Select="1" noChangeArrowheads="1"/>
        </xdr:cNvPicPr>
      </xdr:nvPicPr>
      <xdr:blipFill rotWithShape="1">
        <a:blip xmlns:r="http://schemas.openxmlformats.org/officeDocument/2006/relationships"/>
        <a:srcRect/>
        <a:stretch>
          <a:fillRect/>
        </a:stretch>
      </xdr:blipFill>
      <xdr:spPr>
        <a:xfrm>
          <a:off x="0" y="0"/>
          <a:ext cx="9525000" cy="9525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66675</xdr:colOff>
      <xdr:row>47</xdr:row>
      <xdr:rowOff>9525</xdr:rowOff>
    </xdr:to>
    <xdr:pic>
      <xdr:nvPicPr>
        <xdr:cNvPr id="4276" name="Object 180" hidden="1">
          <a:extLst>
            <a:ext uri="{FF2B5EF4-FFF2-40B4-BE49-F238E27FC236}">
              <a16:creationId xmlns:a16="http://schemas.microsoft.com/office/drawing/2014/main" id="{00000000-0008-0000-0100-0000B4100000}"/>
            </a:ext>
          </a:extLst>
        </xdr:cNvPr>
        <xdr:cNvPicPr preferRelativeResize="0">
          <a:picLocks noSel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0" cy="952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25</xdr:row>
          <xdr:rowOff>161925</xdr:rowOff>
        </xdr:from>
        <xdr:to>
          <xdr:col>3</xdr:col>
          <xdr:colOff>495300</xdr:colOff>
          <xdr:row>26</xdr:row>
          <xdr:rowOff>200025</xdr:rowOff>
        </xdr:to>
        <xdr:sp macro="" textlink="">
          <xdr:nvSpPr>
            <xdr:cNvPr id="4261" name="Check Box 2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1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부부동시내신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733425</xdr:colOff>
          <xdr:row>24</xdr:row>
          <xdr:rowOff>209550</xdr:rowOff>
        </xdr:from>
        <xdr:to>
          <xdr:col>5</xdr:col>
          <xdr:colOff>171450</xdr:colOff>
          <xdr:row>25</xdr:row>
          <xdr:rowOff>219075</xdr:rowOff>
        </xdr:to>
        <xdr:sp macro="" textlink="">
          <xdr:nvSpPr>
            <xdr:cNvPr id="4266" name="Check Box 3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1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타시도전출(교환)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24</xdr:row>
          <xdr:rowOff>219075</xdr:rowOff>
        </xdr:from>
        <xdr:to>
          <xdr:col>7</xdr:col>
          <xdr:colOff>409575</xdr:colOff>
          <xdr:row>25</xdr:row>
          <xdr:rowOff>228600</xdr:rowOff>
        </xdr:to>
        <xdr:sp macro="" textlink="">
          <xdr:nvSpPr>
            <xdr:cNvPr id="4265" name="Check Box 4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1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복직(귀)동시내신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733425</xdr:colOff>
          <xdr:row>25</xdr:row>
          <xdr:rowOff>180975</xdr:rowOff>
        </xdr:from>
        <xdr:to>
          <xdr:col>6</xdr:col>
          <xdr:colOff>38100</xdr:colOff>
          <xdr:row>26</xdr:row>
          <xdr:rowOff>190500</xdr:rowOff>
        </xdr:to>
        <xdr:sp macro="" textlink="">
          <xdr:nvSpPr>
            <xdr:cNvPr id="4264" name="Check Box 14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1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본인의사에반한임지변경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18</xdr:row>
          <xdr:rowOff>0</xdr:rowOff>
        </xdr:from>
        <xdr:to>
          <xdr:col>8</xdr:col>
          <xdr:colOff>0</xdr:colOff>
          <xdr:row>19</xdr:row>
          <xdr:rowOff>19050</xdr:rowOff>
        </xdr:to>
        <xdr:sp macro="" textlink="">
          <xdr:nvSpPr>
            <xdr:cNvPr id="4269" name="콤보 상자 149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1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>
                  <a:noFill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4273" name="콤보 상자 6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1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>
                  <a:noFill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16</xdr:row>
          <xdr:rowOff>219075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4274" name="콤보 상자 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1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>
                  <a:noFill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24</xdr:row>
          <xdr:rowOff>209550</xdr:rowOff>
        </xdr:from>
        <xdr:to>
          <xdr:col>3</xdr:col>
          <xdr:colOff>609600</xdr:colOff>
          <xdr:row>25</xdr:row>
          <xdr:rowOff>219075</xdr:rowOff>
        </xdr:to>
        <xdr:sp macro="" textlink="">
          <xdr:nvSpPr>
            <xdr:cNvPr id="4275" name="선택 상자 10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1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타시군전보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1038225</xdr:colOff>
      <xdr:row>9</xdr:row>
      <xdr:rowOff>28575</xdr:rowOff>
    </xdr:from>
    <xdr:to>
      <xdr:col>2</xdr:col>
      <xdr:colOff>1181100</xdr:colOff>
      <xdr:row>9</xdr:row>
      <xdr:rowOff>152400</xdr:rowOff>
    </xdr:to>
    <xdr:sp macro="dnHideRow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Rot="1"/>
        </xdr:cNvSpPr>
      </xdr:nvSpPr>
      <xdr:spPr>
        <a:xfrm>
          <a:off x="1590261" y="1606826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9</xdr:row>
      <xdr:rowOff>28575</xdr:rowOff>
    </xdr:from>
    <xdr:to>
      <xdr:col>2</xdr:col>
      <xdr:colOff>1343025</xdr:colOff>
      <xdr:row>9</xdr:row>
      <xdr:rowOff>152400</xdr:rowOff>
    </xdr:to>
    <xdr:sp macro="upHideRow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Rot="1"/>
        </xdr:cNvSpPr>
      </xdr:nvSpPr>
      <xdr:spPr>
        <a:xfrm>
          <a:off x="1731065" y="1606826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15</xdr:row>
      <xdr:rowOff>28575</xdr:rowOff>
    </xdr:from>
    <xdr:to>
      <xdr:col>2</xdr:col>
      <xdr:colOff>1181100</xdr:colOff>
      <xdr:row>15</xdr:row>
      <xdr:rowOff>152400</xdr:rowOff>
    </xdr:to>
    <xdr:sp macro="six_dnHideRow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Rot="1"/>
        </xdr:cNvSpPr>
      </xdr:nvSpPr>
      <xdr:spPr>
        <a:xfrm>
          <a:off x="1590261" y="2700130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15</xdr:row>
      <xdr:rowOff>28575</xdr:rowOff>
    </xdr:from>
    <xdr:to>
      <xdr:col>2</xdr:col>
      <xdr:colOff>1343025</xdr:colOff>
      <xdr:row>15</xdr:row>
      <xdr:rowOff>152400</xdr:rowOff>
    </xdr:to>
    <xdr:sp macro="six_upHideRow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Rot="1"/>
        </xdr:cNvSpPr>
      </xdr:nvSpPr>
      <xdr:spPr>
        <a:xfrm>
          <a:off x="1731065" y="2700130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21</xdr:row>
      <xdr:rowOff>28575</xdr:rowOff>
    </xdr:from>
    <xdr:to>
      <xdr:col>2</xdr:col>
      <xdr:colOff>1181100</xdr:colOff>
      <xdr:row>21</xdr:row>
      <xdr:rowOff>152400</xdr:rowOff>
    </xdr:to>
    <xdr:sp macro="cu_dnHideRow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Rot="1"/>
        </xdr:cNvSpPr>
      </xdr:nvSpPr>
      <xdr:spPr>
        <a:xfrm>
          <a:off x="1590261" y="3561522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21</xdr:row>
      <xdr:rowOff>28575</xdr:rowOff>
    </xdr:from>
    <xdr:to>
      <xdr:col>2</xdr:col>
      <xdr:colOff>1343025</xdr:colOff>
      <xdr:row>21</xdr:row>
      <xdr:rowOff>152400</xdr:rowOff>
    </xdr:to>
    <xdr:sp macro="cu_upHideRow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Rot="1"/>
        </xdr:cNvSpPr>
      </xdr:nvSpPr>
      <xdr:spPr>
        <a:xfrm>
          <a:off x="1731065" y="3561522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27</xdr:row>
      <xdr:rowOff>28575</xdr:rowOff>
    </xdr:from>
    <xdr:to>
      <xdr:col>2</xdr:col>
      <xdr:colOff>1181100</xdr:colOff>
      <xdr:row>27</xdr:row>
      <xdr:rowOff>152400</xdr:rowOff>
    </xdr:to>
    <xdr:sp macro="ba_dnHideRow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Rot="1"/>
        </xdr:cNvSpPr>
      </xdr:nvSpPr>
      <xdr:spPr>
        <a:xfrm>
          <a:off x="1590261" y="4422913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27</xdr:row>
      <xdr:rowOff>28575</xdr:rowOff>
    </xdr:from>
    <xdr:to>
      <xdr:col>2</xdr:col>
      <xdr:colOff>1343025</xdr:colOff>
      <xdr:row>27</xdr:row>
      <xdr:rowOff>152400</xdr:rowOff>
    </xdr:to>
    <xdr:sp macro="ba_upHideRow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Rot="1"/>
        </xdr:cNvSpPr>
      </xdr:nvSpPr>
      <xdr:spPr>
        <a:xfrm>
          <a:off x="1731065" y="4422913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33</xdr:row>
      <xdr:rowOff>28575</xdr:rowOff>
    </xdr:from>
    <xdr:to>
      <xdr:col>2</xdr:col>
      <xdr:colOff>1181100</xdr:colOff>
      <xdr:row>33</xdr:row>
      <xdr:rowOff>152400</xdr:rowOff>
    </xdr:to>
    <xdr:sp macro="to_dnHideRow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Rot="1"/>
        </xdr:cNvSpPr>
      </xdr:nvSpPr>
      <xdr:spPr>
        <a:xfrm>
          <a:off x="1590261" y="5284304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33</xdr:row>
      <xdr:rowOff>28575</xdr:rowOff>
    </xdr:from>
    <xdr:to>
      <xdr:col>2</xdr:col>
      <xdr:colOff>1343025</xdr:colOff>
      <xdr:row>33</xdr:row>
      <xdr:rowOff>152400</xdr:rowOff>
    </xdr:to>
    <xdr:sp macro="to_upHideRow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Rot="1"/>
        </xdr:cNvSpPr>
      </xdr:nvSpPr>
      <xdr:spPr>
        <a:xfrm>
          <a:off x="1731065" y="5284304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39</xdr:row>
      <xdr:rowOff>28575</xdr:rowOff>
    </xdr:from>
    <xdr:to>
      <xdr:col>2</xdr:col>
      <xdr:colOff>1181100</xdr:colOff>
      <xdr:row>39</xdr:row>
      <xdr:rowOff>152400</xdr:rowOff>
    </xdr:to>
    <xdr:sp macro="to_rednHideIno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Rot="1"/>
        </xdr:cNvSpPr>
      </xdr:nvSpPr>
      <xdr:spPr>
        <a:xfrm>
          <a:off x="1590261" y="6112565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39</xdr:row>
      <xdr:rowOff>9525</xdr:rowOff>
    </xdr:from>
    <xdr:to>
      <xdr:col>2</xdr:col>
      <xdr:colOff>1343025</xdr:colOff>
      <xdr:row>39</xdr:row>
      <xdr:rowOff>133350</xdr:rowOff>
    </xdr:to>
    <xdr:sp macro="to_reupHideIno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Rot="1"/>
        </xdr:cNvSpPr>
      </xdr:nvSpPr>
      <xdr:spPr>
        <a:xfrm>
          <a:off x="1731065" y="6096000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59</xdr:row>
      <xdr:rowOff>19050</xdr:rowOff>
    </xdr:from>
    <xdr:to>
      <xdr:col>2</xdr:col>
      <xdr:colOff>1181100</xdr:colOff>
      <xdr:row>59</xdr:row>
      <xdr:rowOff>142875</xdr:rowOff>
    </xdr:to>
    <xdr:sp macro="je1_dnHideRow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Rot="1"/>
        </xdr:cNvSpPr>
      </xdr:nvSpPr>
      <xdr:spPr>
        <a:xfrm>
          <a:off x="1590261" y="9193696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59</xdr:row>
      <xdr:rowOff>19050</xdr:rowOff>
    </xdr:from>
    <xdr:to>
      <xdr:col>2</xdr:col>
      <xdr:colOff>1343025</xdr:colOff>
      <xdr:row>59</xdr:row>
      <xdr:rowOff>142875</xdr:rowOff>
    </xdr:to>
    <xdr:sp macro="je1_upHideRow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Rot="1"/>
        </xdr:cNvSpPr>
      </xdr:nvSpPr>
      <xdr:spPr>
        <a:xfrm>
          <a:off x="1731065" y="9193696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  <xdr:twoCellAnchor editAs="oneCell">
    <xdr:from>
      <xdr:col>2</xdr:col>
      <xdr:colOff>1038225</xdr:colOff>
      <xdr:row>53</xdr:row>
      <xdr:rowOff>47625</xdr:rowOff>
    </xdr:from>
    <xdr:to>
      <xdr:col>2</xdr:col>
      <xdr:colOff>1181100</xdr:colOff>
      <xdr:row>53</xdr:row>
      <xdr:rowOff>171449</xdr:rowOff>
    </xdr:to>
    <xdr:sp macro="je_dnHideRow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Rot="1"/>
        </xdr:cNvSpPr>
      </xdr:nvSpPr>
      <xdr:spPr>
        <a:xfrm>
          <a:off x="1590261" y="8398565"/>
          <a:ext cx="140804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▲</a:t>
          </a:r>
        </a:p>
      </xdr:txBody>
    </xdr:sp>
    <xdr:clientData fPrintsWithSheet="0"/>
  </xdr:twoCellAnchor>
  <xdr:twoCellAnchor editAs="oneCell">
    <xdr:from>
      <xdr:col>2</xdr:col>
      <xdr:colOff>1181100</xdr:colOff>
      <xdr:row>53</xdr:row>
      <xdr:rowOff>47625</xdr:rowOff>
    </xdr:from>
    <xdr:to>
      <xdr:col>2</xdr:col>
      <xdr:colOff>1343025</xdr:colOff>
      <xdr:row>53</xdr:row>
      <xdr:rowOff>171449</xdr:rowOff>
    </xdr:to>
    <xdr:sp macro="je_upHideRow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Rot="1"/>
        </xdr:cNvSpPr>
      </xdr:nvSpPr>
      <xdr:spPr>
        <a:xfrm>
          <a:off x="1731065" y="8398565"/>
          <a:ext cx="165652" cy="12423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overflow" wrap="square" lIns="0" tIns="0" rIns="0" bIns="0" anchor="ctr">
          <a:spAutoFit/>
        </a:bodyPr>
        <a:lstStyle/>
        <a:p>
          <a:pPr algn="ctr">
            <a:lnSpc>
              <a:spcPct val="100000"/>
            </a:lnSpc>
          </a:pPr>
          <a:r>
            <a:rPr sz="700">
              <a:solidFill>
                <a:srgbClr val="000000"/>
              </a:solidFill>
              <a:latin typeface="맑은 고딕"/>
              <a:ea typeface="맑은 고딕"/>
            </a:rPr>
            <a:t>▼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2</xdr:row>
      <xdr:rowOff>180975</xdr:rowOff>
    </xdr:from>
    <xdr:to>
      <xdr:col>15</xdr:col>
      <xdr:colOff>57150</xdr:colOff>
      <xdr:row>2</xdr:row>
      <xdr:rowOff>447675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Rot="1" noChangeArrowheads="1"/>
        </xdr:cNvSpPr>
      </xdr:nvSpPr>
      <xdr:spPr>
        <a:xfrm>
          <a:off x="7219950" y="1352550"/>
          <a:ext cx="1704975" cy="266700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91440" tIns="45720" rIns="91440" bIns="45720"/>
        <a:lstStyle/>
        <a:p>
          <a:pPr algn="l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경기도안산교육지원청</a:t>
          </a:r>
        </a:p>
      </xdr:txBody>
    </xdr:sp>
    <xdr:clientData/>
  </xdr:twoCellAnchor>
  <xdr:twoCellAnchor>
    <xdr:from>
      <xdr:col>3</xdr:col>
      <xdr:colOff>781050</xdr:colOff>
      <xdr:row>2</xdr:row>
      <xdr:rowOff>76200</xdr:rowOff>
    </xdr:from>
    <xdr:to>
      <xdr:col>3</xdr:col>
      <xdr:colOff>1114425</xdr:colOff>
      <xdr:row>2</xdr:row>
      <xdr:rowOff>409575</xdr:rowOff>
    </xdr:to>
    <xdr:pic>
      <xdr:nvPicPr>
        <xdr:cNvPr id="4" name="_x128930320" descr="EMB00000c28522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05100" y="1247775"/>
          <a:ext cx="333375" cy="3333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504;&#49328;%20&#51221;&#44592;&#51064;&#49324;%20&#51089;&#50629;\2017_&#44288;&#45236;&#51204;&#48372;&#45236;&#49888;&#49436;(&#45236;&#49888;&#51088;&#48176;&#54252;&#50857;)120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9733;&#50504;&#53468;&#50864;%20&#51064;&#49324;%20&#54260;&#45908;(&#50504;&#49328;&#44368;&#50977;&#50896;&#52397;%20&#44540;&#47924;&#45817;&#49884;)\&#51204;&#48372;-&#44368;&#49324;\&#44288;&#45236;&#51204;&#48372;&#54532;&#47196;&#44536;&#47016;(&#52572;&#51333;&#54032;)\2014_&#44288;&#45236;&#51204;&#48372;&#45236;&#49888;&#52712;&#54633;&#50857;(&#54617;&#44368;&#50857;_&#49688;&#5122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요"/>
      <sheetName val="개별기초자료"/>
      <sheetName val="통합경력증명"/>
      <sheetName val="DATA"/>
      <sheetName val="전보내신카드"/>
      <sheetName val="조견표"/>
      <sheetName val="조견표1"/>
      <sheetName val="교육경력조서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요"/>
      <sheetName val="전보내신카드"/>
      <sheetName val="파일취합"/>
      <sheetName val="조견표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  <a:effectLst/>
      </a:spPr>
      <a:bodyPr/>
      <a:lstStyle/>
    </a:spDef>
    <a:ln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O21"/>
  <sheetViews>
    <sheetView showGridLines="0" tabSelected="1" zoomScale="85" zoomScaleNormal="85" zoomScaleSheetLayoutView="75" workbookViewId="0">
      <selection activeCell="C4" sqref="C4:E4"/>
    </sheetView>
  </sheetViews>
  <sheetFormatPr defaultColWidth="8.88671875" defaultRowHeight="20.25" customHeight="1" x14ac:dyDescent="0.15"/>
  <cols>
    <col min="1" max="1" width="3.5546875" style="71" bestFit="1" customWidth="1"/>
    <col min="2" max="2" width="4.21875" style="71" customWidth="1"/>
    <col min="3" max="4" width="8.88671875" style="71" customWidth="1"/>
    <col min="5" max="6" width="8.88671875" style="73" customWidth="1"/>
    <col min="7" max="7" width="8.88671875" style="71" customWidth="1"/>
    <col min="8" max="8" width="12.6640625" style="71" customWidth="1"/>
    <col min="9" max="9" width="13.21875" style="73" customWidth="1"/>
    <col min="10" max="10" width="4.109375" style="73" customWidth="1"/>
    <col min="11" max="11" width="4.44140625" style="73" customWidth="1"/>
    <col min="12" max="256" width="8.88671875" style="73"/>
    <col min="257" max="257" width="3.5546875" style="73" bestFit="1" customWidth="1"/>
    <col min="258" max="258" width="4.21875" style="73" customWidth="1"/>
    <col min="259" max="265" width="8.88671875" style="73" customWidth="1"/>
    <col min="266" max="266" width="12.44140625" style="73" customWidth="1"/>
    <col min="267" max="267" width="15" style="73" customWidth="1"/>
    <col min="268" max="512" width="8.88671875" style="73"/>
    <col min="513" max="513" width="3.5546875" style="73" bestFit="1" customWidth="1"/>
    <col min="514" max="514" width="4.21875" style="73" customWidth="1"/>
    <col min="515" max="521" width="8.88671875" style="73" customWidth="1"/>
    <col min="522" max="522" width="12.44140625" style="73" customWidth="1"/>
    <col min="523" max="523" width="15" style="73" customWidth="1"/>
    <col min="524" max="768" width="8.88671875" style="73"/>
    <col min="769" max="769" width="3.5546875" style="73" bestFit="1" customWidth="1"/>
    <col min="770" max="770" width="4.21875" style="73" customWidth="1"/>
    <col min="771" max="777" width="8.88671875" style="73" customWidth="1"/>
    <col min="778" max="778" width="12.44140625" style="73" customWidth="1"/>
    <col min="779" max="779" width="15" style="73" customWidth="1"/>
    <col min="780" max="1024" width="8.88671875" style="73"/>
    <col min="1025" max="1025" width="3.5546875" style="73" bestFit="1" customWidth="1"/>
    <col min="1026" max="1026" width="4.21875" style="73" customWidth="1"/>
    <col min="1027" max="1033" width="8.88671875" style="73" customWidth="1"/>
    <col min="1034" max="1034" width="12.44140625" style="73" customWidth="1"/>
    <col min="1035" max="1035" width="15" style="73" customWidth="1"/>
    <col min="1036" max="1280" width="8.88671875" style="73"/>
    <col min="1281" max="1281" width="3.5546875" style="73" bestFit="1" customWidth="1"/>
    <col min="1282" max="1282" width="4.21875" style="73" customWidth="1"/>
    <col min="1283" max="1289" width="8.88671875" style="73" customWidth="1"/>
    <col min="1290" max="1290" width="12.44140625" style="73" customWidth="1"/>
    <col min="1291" max="1291" width="15" style="73" customWidth="1"/>
    <col min="1292" max="1536" width="8.88671875" style="73"/>
    <col min="1537" max="1537" width="3.5546875" style="73" bestFit="1" customWidth="1"/>
    <col min="1538" max="1538" width="4.21875" style="73" customWidth="1"/>
    <col min="1539" max="1545" width="8.88671875" style="73" customWidth="1"/>
    <col min="1546" max="1546" width="12.44140625" style="73" customWidth="1"/>
    <col min="1547" max="1547" width="15" style="73" customWidth="1"/>
    <col min="1548" max="1792" width="8.88671875" style="73"/>
    <col min="1793" max="1793" width="3.5546875" style="73" bestFit="1" customWidth="1"/>
    <col min="1794" max="1794" width="4.21875" style="73" customWidth="1"/>
    <col min="1795" max="1801" width="8.88671875" style="73" customWidth="1"/>
    <col min="1802" max="1802" width="12.44140625" style="73" customWidth="1"/>
    <col min="1803" max="1803" width="15" style="73" customWidth="1"/>
    <col min="1804" max="2048" width="8.88671875" style="73"/>
    <col min="2049" max="2049" width="3.5546875" style="73" bestFit="1" customWidth="1"/>
    <col min="2050" max="2050" width="4.21875" style="73" customWidth="1"/>
    <col min="2051" max="2057" width="8.88671875" style="73" customWidth="1"/>
    <col min="2058" max="2058" width="12.44140625" style="73" customWidth="1"/>
    <col min="2059" max="2059" width="15" style="73" customWidth="1"/>
    <col min="2060" max="2304" width="8.88671875" style="73"/>
    <col min="2305" max="2305" width="3.5546875" style="73" bestFit="1" customWidth="1"/>
    <col min="2306" max="2306" width="4.21875" style="73" customWidth="1"/>
    <col min="2307" max="2313" width="8.88671875" style="73" customWidth="1"/>
    <col min="2314" max="2314" width="12.44140625" style="73" customWidth="1"/>
    <col min="2315" max="2315" width="15" style="73" customWidth="1"/>
    <col min="2316" max="2560" width="8.88671875" style="73"/>
    <col min="2561" max="2561" width="3.5546875" style="73" bestFit="1" customWidth="1"/>
    <col min="2562" max="2562" width="4.21875" style="73" customWidth="1"/>
    <col min="2563" max="2569" width="8.88671875" style="73" customWidth="1"/>
    <col min="2570" max="2570" width="12.44140625" style="73" customWidth="1"/>
    <col min="2571" max="2571" width="15" style="73" customWidth="1"/>
    <col min="2572" max="2816" width="8.88671875" style="73"/>
    <col min="2817" max="2817" width="3.5546875" style="73" bestFit="1" customWidth="1"/>
    <col min="2818" max="2818" width="4.21875" style="73" customWidth="1"/>
    <col min="2819" max="2825" width="8.88671875" style="73" customWidth="1"/>
    <col min="2826" max="2826" width="12.44140625" style="73" customWidth="1"/>
    <col min="2827" max="2827" width="15" style="73" customWidth="1"/>
    <col min="2828" max="3072" width="8.88671875" style="73"/>
    <col min="3073" max="3073" width="3.5546875" style="73" bestFit="1" customWidth="1"/>
    <col min="3074" max="3074" width="4.21875" style="73" customWidth="1"/>
    <col min="3075" max="3081" width="8.88671875" style="73" customWidth="1"/>
    <col min="3082" max="3082" width="12.44140625" style="73" customWidth="1"/>
    <col min="3083" max="3083" width="15" style="73" customWidth="1"/>
    <col min="3084" max="3328" width="8.88671875" style="73"/>
    <col min="3329" max="3329" width="3.5546875" style="73" bestFit="1" customWidth="1"/>
    <col min="3330" max="3330" width="4.21875" style="73" customWidth="1"/>
    <col min="3331" max="3337" width="8.88671875" style="73" customWidth="1"/>
    <col min="3338" max="3338" width="12.44140625" style="73" customWidth="1"/>
    <col min="3339" max="3339" width="15" style="73" customWidth="1"/>
    <col min="3340" max="3584" width="8.88671875" style="73"/>
    <col min="3585" max="3585" width="3.5546875" style="73" bestFit="1" customWidth="1"/>
    <col min="3586" max="3586" width="4.21875" style="73" customWidth="1"/>
    <col min="3587" max="3593" width="8.88671875" style="73" customWidth="1"/>
    <col min="3594" max="3594" width="12.44140625" style="73" customWidth="1"/>
    <col min="3595" max="3595" width="15" style="73" customWidth="1"/>
    <col min="3596" max="3840" width="8.88671875" style="73"/>
    <col min="3841" max="3841" width="3.5546875" style="73" bestFit="1" customWidth="1"/>
    <col min="3842" max="3842" width="4.21875" style="73" customWidth="1"/>
    <col min="3843" max="3849" width="8.88671875" style="73" customWidth="1"/>
    <col min="3850" max="3850" width="12.44140625" style="73" customWidth="1"/>
    <col min="3851" max="3851" width="15" style="73" customWidth="1"/>
    <col min="3852" max="4096" width="8.88671875" style="73"/>
    <col min="4097" max="4097" width="3.5546875" style="73" bestFit="1" customWidth="1"/>
    <col min="4098" max="4098" width="4.21875" style="73" customWidth="1"/>
    <col min="4099" max="4105" width="8.88671875" style="73" customWidth="1"/>
    <col min="4106" max="4106" width="12.44140625" style="73" customWidth="1"/>
    <col min="4107" max="4107" width="15" style="73" customWidth="1"/>
    <col min="4108" max="4352" width="8.88671875" style="73"/>
    <col min="4353" max="4353" width="3.5546875" style="73" bestFit="1" customWidth="1"/>
    <col min="4354" max="4354" width="4.21875" style="73" customWidth="1"/>
    <col min="4355" max="4361" width="8.88671875" style="73" customWidth="1"/>
    <col min="4362" max="4362" width="12.44140625" style="73" customWidth="1"/>
    <col min="4363" max="4363" width="15" style="73" customWidth="1"/>
    <col min="4364" max="4608" width="8.88671875" style="73"/>
    <col min="4609" max="4609" width="3.5546875" style="73" bestFit="1" customWidth="1"/>
    <col min="4610" max="4610" width="4.21875" style="73" customWidth="1"/>
    <col min="4611" max="4617" width="8.88671875" style="73" customWidth="1"/>
    <col min="4618" max="4618" width="12.44140625" style="73" customWidth="1"/>
    <col min="4619" max="4619" width="15" style="73" customWidth="1"/>
    <col min="4620" max="4864" width="8.88671875" style="73"/>
    <col min="4865" max="4865" width="3.5546875" style="73" bestFit="1" customWidth="1"/>
    <col min="4866" max="4866" width="4.21875" style="73" customWidth="1"/>
    <col min="4867" max="4873" width="8.88671875" style="73" customWidth="1"/>
    <col min="4874" max="4874" width="12.44140625" style="73" customWidth="1"/>
    <col min="4875" max="4875" width="15" style="73" customWidth="1"/>
    <col min="4876" max="5120" width="8.88671875" style="73"/>
    <col min="5121" max="5121" width="3.5546875" style="73" bestFit="1" customWidth="1"/>
    <col min="5122" max="5122" width="4.21875" style="73" customWidth="1"/>
    <col min="5123" max="5129" width="8.88671875" style="73" customWidth="1"/>
    <col min="5130" max="5130" width="12.44140625" style="73" customWidth="1"/>
    <col min="5131" max="5131" width="15" style="73" customWidth="1"/>
    <col min="5132" max="5376" width="8.88671875" style="73"/>
    <col min="5377" max="5377" width="3.5546875" style="73" bestFit="1" customWidth="1"/>
    <col min="5378" max="5378" width="4.21875" style="73" customWidth="1"/>
    <col min="5379" max="5385" width="8.88671875" style="73" customWidth="1"/>
    <col min="5386" max="5386" width="12.44140625" style="73" customWidth="1"/>
    <col min="5387" max="5387" width="15" style="73" customWidth="1"/>
    <col min="5388" max="5632" width="8.88671875" style="73"/>
    <col min="5633" max="5633" width="3.5546875" style="73" bestFit="1" customWidth="1"/>
    <col min="5634" max="5634" width="4.21875" style="73" customWidth="1"/>
    <col min="5635" max="5641" width="8.88671875" style="73" customWidth="1"/>
    <col min="5642" max="5642" width="12.44140625" style="73" customWidth="1"/>
    <col min="5643" max="5643" width="15" style="73" customWidth="1"/>
    <col min="5644" max="5888" width="8.88671875" style="73"/>
    <col min="5889" max="5889" width="3.5546875" style="73" bestFit="1" customWidth="1"/>
    <col min="5890" max="5890" width="4.21875" style="73" customWidth="1"/>
    <col min="5891" max="5897" width="8.88671875" style="73" customWidth="1"/>
    <col min="5898" max="5898" width="12.44140625" style="73" customWidth="1"/>
    <col min="5899" max="5899" width="15" style="73" customWidth="1"/>
    <col min="5900" max="6144" width="8.88671875" style="73"/>
    <col min="6145" max="6145" width="3.5546875" style="73" bestFit="1" customWidth="1"/>
    <col min="6146" max="6146" width="4.21875" style="73" customWidth="1"/>
    <col min="6147" max="6153" width="8.88671875" style="73" customWidth="1"/>
    <col min="6154" max="6154" width="12.44140625" style="73" customWidth="1"/>
    <col min="6155" max="6155" width="15" style="73" customWidth="1"/>
    <col min="6156" max="6400" width="8.88671875" style="73"/>
    <col min="6401" max="6401" width="3.5546875" style="73" bestFit="1" customWidth="1"/>
    <col min="6402" max="6402" width="4.21875" style="73" customWidth="1"/>
    <col min="6403" max="6409" width="8.88671875" style="73" customWidth="1"/>
    <col min="6410" max="6410" width="12.44140625" style="73" customWidth="1"/>
    <col min="6411" max="6411" width="15" style="73" customWidth="1"/>
    <col min="6412" max="6656" width="8.88671875" style="73"/>
    <col min="6657" max="6657" width="3.5546875" style="73" bestFit="1" customWidth="1"/>
    <col min="6658" max="6658" width="4.21875" style="73" customWidth="1"/>
    <col min="6659" max="6665" width="8.88671875" style="73" customWidth="1"/>
    <col min="6666" max="6666" width="12.44140625" style="73" customWidth="1"/>
    <col min="6667" max="6667" width="15" style="73" customWidth="1"/>
    <col min="6668" max="6912" width="8.88671875" style="73"/>
    <col min="6913" max="6913" width="3.5546875" style="73" bestFit="1" customWidth="1"/>
    <col min="6914" max="6914" width="4.21875" style="73" customWidth="1"/>
    <col min="6915" max="6921" width="8.88671875" style="73" customWidth="1"/>
    <col min="6922" max="6922" width="12.44140625" style="73" customWidth="1"/>
    <col min="6923" max="6923" width="15" style="73" customWidth="1"/>
    <col min="6924" max="7168" width="8.88671875" style="73"/>
    <col min="7169" max="7169" width="3.5546875" style="73" bestFit="1" customWidth="1"/>
    <col min="7170" max="7170" width="4.21875" style="73" customWidth="1"/>
    <col min="7171" max="7177" width="8.88671875" style="73" customWidth="1"/>
    <col min="7178" max="7178" width="12.44140625" style="73" customWidth="1"/>
    <col min="7179" max="7179" width="15" style="73" customWidth="1"/>
    <col min="7180" max="7424" width="8.88671875" style="73"/>
    <col min="7425" max="7425" width="3.5546875" style="73" bestFit="1" customWidth="1"/>
    <col min="7426" max="7426" width="4.21875" style="73" customWidth="1"/>
    <col min="7427" max="7433" width="8.88671875" style="73" customWidth="1"/>
    <col min="7434" max="7434" width="12.44140625" style="73" customWidth="1"/>
    <col min="7435" max="7435" width="15" style="73" customWidth="1"/>
    <col min="7436" max="7680" width="8.88671875" style="73"/>
    <col min="7681" max="7681" width="3.5546875" style="73" bestFit="1" customWidth="1"/>
    <col min="7682" max="7682" width="4.21875" style="73" customWidth="1"/>
    <col min="7683" max="7689" width="8.88671875" style="73" customWidth="1"/>
    <col min="7690" max="7690" width="12.44140625" style="73" customWidth="1"/>
    <col min="7691" max="7691" width="15" style="73" customWidth="1"/>
    <col min="7692" max="7936" width="8.88671875" style="73"/>
    <col min="7937" max="7937" width="3.5546875" style="73" bestFit="1" customWidth="1"/>
    <col min="7938" max="7938" width="4.21875" style="73" customWidth="1"/>
    <col min="7939" max="7945" width="8.88671875" style="73" customWidth="1"/>
    <col min="7946" max="7946" width="12.44140625" style="73" customWidth="1"/>
    <col min="7947" max="7947" width="15" style="73" customWidth="1"/>
    <col min="7948" max="8192" width="8.88671875" style="73"/>
    <col min="8193" max="8193" width="3.5546875" style="73" bestFit="1" customWidth="1"/>
    <col min="8194" max="8194" width="4.21875" style="73" customWidth="1"/>
    <col min="8195" max="8201" width="8.88671875" style="73" customWidth="1"/>
    <col min="8202" max="8202" width="12.44140625" style="73" customWidth="1"/>
    <col min="8203" max="8203" width="15" style="73" customWidth="1"/>
    <col min="8204" max="8448" width="8.88671875" style="73"/>
    <col min="8449" max="8449" width="3.5546875" style="73" bestFit="1" customWidth="1"/>
    <col min="8450" max="8450" width="4.21875" style="73" customWidth="1"/>
    <col min="8451" max="8457" width="8.88671875" style="73" customWidth="1"/>
    <col min="8458" max="8458" width="12.44140625" style="73" customWidth="1"/>
    <col min="8459" max="8459" width="15" style="73" customWidth="1"/>
    <col min="8460" max="8704" width="8.88671875" style="73"/>
    <col min="8705" max="8705" width="3.5546875" style="73" bestFit="1" customWidth="1"/>
    <col min="8706" max="8706" width="4.21875" style="73" customWidth="1"/>
    <col min="8707" max="8713" width="8.88671875" style="73" customWidth="1"/>
    <col min="8714" max="8714" width="12.44140625" style="73" customWidth="1"/>
    <col min="8715" max="8715" width="15" style="73" customWidth="1"/>
    <col min="8716" max="8960" width="8.88671875" style="73"/>
    <col min="8961" max="8961" width="3.5546875" style="73" bestFit="1" customWidth="1"/>
    <col min="8962" max="8962" width="4.21875" style="73" customWidth="1"/>
    <col min="8963" max="8969" width="8.88671875" style="73" customWidth="1"/>
    <col min="8970" max="8970" width="12.44140625" style="73" customWidth="1"/>
    <col min="8971" max="8971" width="15" style="73" customWidth="1"/>
    <col min="8972" max="9216" width="8.88671875" style="73"/>
    <col min="9217" max="9217" width="3.5546875" style="73" bestFit="1" customWidth="1"/>
    <col min="9218" max="9218" width="4.21875" style="73" customWidth="1"/>
    <col min="9219" max="9225" width="8.88671875" style="73" customWidth="1"/>
    <col min="9226" max="9226" width="12.44140625" style="73" customWidth="1"/>
    <col min="9227" max="9227" width="15" style="73" customWidth="1"/>
    <col min="9228" max="9472" width="8.88671875" style="73"/>
    <col min="9473" max="9473" width="3.5546875" style="73" bestFit="1" customWidth="1"/>
    <col min="9474" max="9474" width="4.21875" style="73" customWidth="1"/>
    <col min="9475" max="9481" width="8.88671875" style="73" customWidth="1"/>
    <col min="9482" max="9482" width="12.44140625" style="73" customWidth="1"/>
    <col min="9483" max="9483" width="15" style="73" customWidth="1"/>
    <col min="9484" max="9728" width="8.88671875" style="73"/>
    <col min="9729" max="9729" width="3.5546875" style="73" bestFit="1" customWidth="1"/>
    <col min="9730" max="9730" width="4.21875" style="73" customWidth="1"/>
    <col min="9731" max="9737" width="8.88671875" style="73" customWidth="1"/>
    <col min="9738" max="9738" width="12.44140625" style="73" customWidth="1"/>
    <col min="9739" max="9739" width="15" style="73" customWidth="1"/>
    <col min="9740" max="9984" width="8.88671875" style="73"/>
    <col min="9985" max="9985" width="3.5546875" style="73" bestFit="1" customWidth="1"/>
    <col min="9986" max="9986" width="4.21875" style="73" customWidth="1"/>
    <col min="9987" max="9993" width="8.88671875" style="73" customWidth="1"/>
    <col min="9994" max="9994" width="12.44140625" style="73" customWidth="1"/>
    <col min="9995" max="9995" width="15" style="73" customWidth="1"/>
    <col min="9996" max="10240" width="8.88671875" style="73"/>
    <col min="10241" max="10241" width="3.5546875" style="73" bestFit="1" customWidth="1"/>
    <col min="10242" max="10242" width="4.21875" style="73" customWidth="1"/>
    <col min="10243" max="10249" width="8.88671875" style="73" customWidth="1"/>
    <col min="10250" max="10250" width="12.44140625" style="73" customWidth="1"/>
    <col min="10251" max="10251" width="15" style="73" customWidth="1"/>
    <col min="10252" max="10496" width="8.88671875" style="73"/>
    <col min="10497" max="10497" width="3.5546875" style="73" bestFit="1" customWidth="1"/>
    <col min="10498" max="10498" width="4.21875" style="73" customWidth="1"/>
    <col min="10499" max="10505" width="8.88671875" style="73" customWidth="1"/>
    <col min="10506" max="10506" width="12.44140625" style="73" customWidth="1"/>
    <col min="10507" max="10507" width="15" style="73" customWidth="1"/>
    <col min="10508" max="10752" width="8.88671875" style="73"/>
    <col min="10753" max="10753" width="3.5546875" style="73" bestFit="1" customWidth="1"/>
    <col min="10754" max="10754" width="4.21875" style="73" customWidth="1"/>
    <col min="10755" max="10761" width="8.88671875" style="73" customWidth="1"/>
    <col min="10762" max="10762" width="12.44140625" style="73" customWidth="1"/>
    <col min="10763" max="10763" width="15" style="73" customWidth="1"/>
    <col min="10764" max="11008" width="8.88671875" style="73"/>
    <col min="11009" max="11009" width="3.5546875" style="73" bestFit="1" customWidth="1"/>
    <col min="11010" max="11010" width="4.21875" style="73" customWidth="1"/>
    <col min="11011" max="11017" width="8.88671875" style="73" customWidth="1"/>
    <col min="11018" max="11018" width="12.44140625" style="73" customWidth="1"/>
    <col min="11019" max="11019" width="15" style="73" customWidth="1"/>
    <col min="11020" max="11264" width="8.88671875" style="73"/>
    <col min="11265" max="11265" width="3.5546875" style="73" bestFit="1" customWidth="1"/>
    <col min="11266" max="11266" width="4.21875" style="73" customWidth="1"/>
    <col min="11267" max="11273" width="8.88671875" style="73" customWidth="1"/>
    <col min="11274" max="11274" width="12.44140625" style="73" customWidth="1"/>
    <col min="11275" max="11275" width="15" style="73" customWidth="1"/>
    <col min="11276" max="11520" width="8.88671875" style="73"/>
    <col min="11521" max="11521" width="3.5546875" style="73" bestFit="1" customWidth="1"/>
    <col min="11522" max="11522" width="4.21875" style="73" customWidth="1"/>
    <col min="11523" max="11529" width="8.88671875" style="73" customWidth="1"/>
    <col min="11530" max="11530" width="12.44140625" style="73" customWidth="1"/>
    <col min="11531" max="11531" width="15" style="73" customWidth="1"/>
    <col min="11532" max="11776" width="8.88671875" style="73"/>
    <col min="11777" max="11777" width="3.5546875" style="73" bestFit="1" customWidth="1"/>
    <col min="11778" max="11778" width="4.21875" style="73" customWidth="1"/>
    <col min="11779" max="11785" width="8.88671875" style="73" customWidth="1"/>
    <col min="11786" max="11786" width="12.44140625" style="73" customWidth="1"/>
    <col min="11787" max="11787" width="15" style="73" customWidth="1"/>
    <col min="11788" max="12032" width="8.88671875" style="73"/>
    <col min="12033" max="12033" width="3.5546875" style="73" bestFit="1" customWidth="1"/>
    <col min="12034" max="12034" width="4.21875" style="73" customWidth="1"/>
    <col min="12035" max="12041" width="8.88671875" style="73" customWidth="1"/>
    <col min="12042" max="12042" width="12.44140625" style="73" customWidth="1"/>
    <col min="12043" max="12043" width="15" style="73" customWidth="1"/>
    <col min="12044" max="12288" width="8.88671875" style="73"/>
    <col min="12289" max="12289" width="3.5546875" style="73" bestFit="1" customWidth="1"/>
    <col min="12290" max="12290" width="4.21875" style="73" customWidth="1"/>
    <col min="12291" max="12297" width="8.88671875" style="73" customWidth="1"/>
    <col min="12298" max="12298" width="12.44140625" style="73" customWidth="1"/>
    <col min="12299" max="12299" width="15" style="73" customWidth="1"/>
    <col min="12300" max="12544" width="8.88671875" style="73"/>
    <col min="12545" max="12545" width="3.5546875" style="73" bestFit="1" customWidth="1"/>
    <col min="12546" max="12546" width="4.21875" style="73" customWidth="1"/>
    <col min="12547" max="12553" width="8.88671875" style="73" customWidth="1"/>
    <col min="12554" max="12554" width="12.44140625" style="73" customWidth="1"/>
    <col min="12555" max="12555" width="15" style="73" customWidth="1"/>
    <col min="12556" max="12800" width="8.88671875" style="73"/>
    <col min="12801" max="12801" width="3.5546875" style="73" bestFit="1" customWidth="1"/>
    <col min="12802" max="12802" width="4.21875" style="73" customWidth="1"/>
    <col min="12803" max="12809" width="8.88671875" style="73" customWidth="1"/>
    <col min="12810" max="12810" width="12.44140625" style="73" customWidth="1"/>
    <col min="12811" max="12811" width="15" style="73" customWidth="1"/>
    <col min="12812" max="13056" width="8.88671875" style="73"/>
    <col min="13057" max="13057" width="3.5546875" style="73" bestFit="1" customWidth="1"/>
    <col min="13058" max="13058" width="4.21875" style="73" customWidth="1"/>
    <col min="13059" max="13065" width="8.88671875" style="73" customWidth="1"/>
    <col min="13066" max="13066" width="12.44140625" style="73" customWidth="1"/>
    <col min="13067" max="13067" width="15" style="73" customWidth="1"/>
    <col min="13068" max="13312" width="8.88671875" style="73"/>
    <col min="13313" max="13313" width="3.5546875" style="73" bestFit="1" customWidth="1"/>
    <col min="13314" max="13314" width="4.21875" style="73" customWidth="1"/>
    <col min="13315" max="13321" width="8.88671875" style="73" customWidth="1"/>
    <col min="13322" max="13322" width="12.44140625" style="73" customWidth="1"/>
    <col min="13323" max="13323" width="15" style="73" customWidth="1"/>
    <col min="13324" max="13568" width="8.88671875" style="73"/>
    <col min="13569" max="13569" width="3.5546875" style="73" bestFit="1" customWidth="1"/>
    <col min="13570" max="13570" width="4.21875" style="73" customWidth="1"/>
    <col min="13571" max="13577" width="8.88671875" style="73" customWidth="1"/>
    <col min="13578" max="13578" width="12.44140625" style="73" customWidth="1"/>
    <col min="13579" max="13579" width="15" style="73" customWidth="1"/>
    <col min="13580" max="13824" width="8.88671875" style="73"/>
    <col min="13825" max="13825" width="3.5546875" style="73" bestFit="1" customWidth="1"/>
    <col min="13826" max="13826" width="4.21875" style="73" customWidth="1"/>
    <col min="13827" max="13833" width="8.88671875" style="73" customWidth="1"/>
    <col min="13834" max="13834" width="12.44140625" style="73" customWidth="1"/>
    <col min="13835" max="13835" width="15" style="73" customWidth="1"/>
    <col min="13836" max="14080" width="8.88671875" style="73"/>
    <col min="14081" max="14081" width="3.5546875" style="73" bestFit="1" customWidth="1"/>
    <col min="14082" max="14082" width="4.21875" style="73" customWidth="1"/>
    <col min="14083" max="14089" width="8.88671875" style="73" customWidth="1"/>
    <col min="14090" max="14090" width="12.44140625" style="73" customWidth="1"/>
    <col min="14091" max="14091" width="15" style="73" customWidth="1"/>
    <col min="14092" max="14336" width="8.88671875" style="73"/>
    <col min="14337" max="14337" width="3.5546875" style="73" bestFit="1" customWidth="1"/>
    <col min="14338" max="14338" width="4.21875" style="73" customWidth="1"/>
    <col min="14339" max="14345" width="8.88671875" style="73" customWidth="1"/>
    <col min="14346" max="14346" width="12.44140625" style="73" customWidth="1"/>
    <col min="14347" max="14347" width="15" style="73" customWidth="1"/>
    <col min="14348" max="14592" width="8.88671875" style="73"/>
    <col min="14593" max="14593" width="3.5546875" style="73" bestFit="1" customWidth="1"/>
    <col min="14594" max="14594" width="4.21875" style="73" customWidth="1"/>
    <col min="14595" max="14601" width="8.88671875" style="73" customWidth="1"/>
    <col min="14602" max="14602" width="12.44140625" style="73" customWidth="1"/>
    <col min="14603" max="14603" width="15" style="73" customWidth="1"/>
    <col min="14604" max="14848" width="8.88671875" style="73"/>
    <col min="14849" max="14849" width="3.5546875" style="73" bestFit="1" customWidth="1"/>
    <col min="14850" max="14850" width="4.21875" style="73" customWidth="1"/>
    <col min="14851" max="14857" width="8.88671875" style="73" customWidth="1"/>
    <col min="14858" max="14858" width="12.44140625" style="73" customWidth="1"/>
    <col min="14859" max="14859" width="15" style="73" customWidth="1"/>
    <col min="14860" max="15104" width="8.88671875" style="73"/>
    <col min="15105" max="15105" width="3.5546875" style="73" bestFit="1" customWidth="1"/>
    <col min="15106" max="15106" width="4.21875" style="73" customWidth="1"/>
    <col min="15107" max="15113" width="8.88671875" style="73" customWidth="1"/>
    <col min="15114" max="15114" width="12.44140625" style="73" customWidth="1"/>
    <col min="15115" max="15115" width="15" style="73" customWidth="1"/>
    <col min="15116" max="15360" width="8.88671875" style="73"/>
    <col min="15361" max="15361" width="3.5546875" style="73" bestFit="1" customWidth="1"/>
    <col min="15362" max="15362" width="4.21875" style="73" customWidth="1"/>
    <col min="15363" max="15369" width="8.88671875" style="73" customWidth="1"/>
    <col min="15370" max="15370" width="12.44140625" style="73" customWidth="1"/>
    <col min="15371" max="15371" width="15" style="73" customWidth="1"/>
    <col min="15372" max="15616" width="8.88671875" style="73"/>
    <col min="15617" max="15617" width="3.5546875" style="73" bestFit="1" customWidth="1"/>
    <col min="15618" max="15618" width="4.21875" style="73" customWidth="1"/>
    <col min="15619" max="15625" width="8.88671875" style="73" customWidth="1"/>
    <col min="15626" max="15626" width="12.44140625" style="73" customWidth="1"/>
    <col min="15627" max="15627" width="15" style="73" customWidth="1"/>
    <col min="15628" max="15872" width="8.88671875" style="73"/>
    <col min="15873" max="15873" width="3.5546875" style="73" bestFit="1" customWidth="1"/>
    <col min="15874" max="15874" width="4.21875" style="73" customWidth="1"/>
    <col min="15875" max="15881" width="8.88671875" style="73" customWidth="1"/>
    <col min="15882" max="15882" width="12.44140625" style="73" customWidth="1"/>
    <col min="15883" max="15883" width="15" style="73" customWidth="1"/>
    <col min="15884" max="16128" width="8.88671875" style="73"/>
    <col min="16129" max="16129" width="3.5546875" style="73" bestFit="1" customWidth="1"/>
    <col min="16130" max="16130" width="4.21875" style="73" customWidth="1"/>
    <col min="16131" max="16137" width="8.88671875" style="73" customWidth="1"/>
    <col min="16138" max="16138" width="12.44140625" style="73" customWidth="1"/>
    <col min="16139" max="16139" width="15" style="73" customWidth="1"/>
    <col min="16140" max="16384" width="8.88671875" style="73"/>
  </cols>
  <sheetData>
    <row r="1" spans="2:15" s="71" customFormat="1" ht="20.25" customHeight="1" x14ac:dyDescent="0.15">
      <c r="B1" s="70"/>
    </row>
    <row r="2" spans="2:15" ht="20.25" customHeight="1" x14ac:dyDescent="0.15">
      <c r="B2" s="72"/>
      <c r="C2" s="72"/>
      <c r="D2" s="72"/>
      <c r="E2" s="72"/>
      <c r="F2" s="72"/>
      <c r="G2" s="72"/>
      <c r="H2" s="72"/>
      <c r="I2" s="72"/>
      <c r="J2" s="72"/>
      <c r="K2" s="71"/>
      <c r="L2" s="71"/>
      <c r="M2" s="71"/>
    </row>
    <row r="3" spans="2:15" ht="9.75" customHeight="1" x14ac:dyDescent="0.15">
      <c r="B3" s="72"/>
      <c r="C3" s="72"/>
      <c r="D3" s="72"/>
      <c r="E3" s="72"/>
      <c r="F3" s="72"/>
      <c r="G3" s="72"/>
      <c r="H3" s="72"/>
      <c r="I3" s="72"/>
      <c r="J3" s="72"/>
      <c r="K3" s="71"/>
      <c r="L3" s="71"/>
      <c r="M3" s="71"/>
    </row>
    <row r="4" spans="2:15" ht="41.25" customHeight="1" x14ac:dyDescent="0.15">
      <c r="B4" s="91"/>
      <c r="C4" s="10">
        <v>43525</v>
      </c>
      <c r="D4" s="10"/>
      <c r="E4" s="10"/>
      <c r="F4" s="9" t="s">
        <v>523</v>
      </c>
      <c r="G4" s="9"/>
      <c r="H4" s="9"/>
      <c r="I4" s="9"/>
      <c r="J4" s="91"/>
      <c r="K4" s="71"/>
      <c r="L4" s="71"/>
      <c r="M4" s="71"/>
    </row>
    <row r="5" spans="2:15" ht="9" customHeight="1" x14ac:dyDescent="0.15">
      <c r="B5" s="72"/>
      <c r="C5" s="72"/>
      <c r="D5" s="72"/>
      <c r="E5" s="72"/>
      <c r="F5" s="72"/>
      <c r="G5" s="72"/>
      <c r="H5" s="72"/>
      <c r="I5" s="72"/>
      <c r="J5" s="72"/>
      <c r="K5" s="71"/>
      <c r="L5" s="71"/>
      <c r="M5" s="71"/>
    </row>
    <row r="6" spans="2:15" ht="9.75" customHeight="1" x14ac:dyDescent="0.15">
      <c r="B6" s="72"/>
      <c r="C6" s="72"/>
      <c r="D6" s="72"/>
      <c r="E6" s="72"/>
      <c r="F6" s="72"/>
      <c r="G6" s="72"/>
      <c r="H6" s="72"/>
      <c r="I6" s="72"/>
      <c r="J6" s="74"/>
    </row>
    <row r="7" spans="2:15" ht="20.25" customHeight="1" x14ac:dyDescent="0.15">
      <c r="B7" s="72"/>
      <c r="C7" s="77" t="s">
        <v>215</v>
      </c>
      <c r="D7" s="78"/>
      <c r="E7" s="78"/>
      <c r="F7" s="78"/>
      <c r="G7" s="78"/>
      <c r="H7" s="78"/>
      <c r="I7" s="78"/>
      <c r="J7" s="79"/>
    </row>
    <row r="8" spans="2:15" ht="9.75" customHeight="1" x14ac:dyDescent="0.15">
      <c r="B8" s="72"/>
      <c r="C8" s="77"/>
      <c r="D8" s="78"/>
      <c r="E8" s="78"/>
      <c r="F8" s="78"/>
      <c r="G8" s="78"/>
      <c r="H8" s="78"/>
      <c r="I8" s="78"/>
      <c r="J8" s="79"/>
      <c r="L8" s="80"/>
      <c r="M8" s="80"/>
      <c r="N8" s="80"/>
      <c r="O8" s="80"/>
    </row>
    <row r="9" spans="2:15" ht="48.75" customHeight="1" x14ac:dyDescent="0.15">
      <c r="B9" s="72"/>
      <c r="C9" s="6" t="s">
        <v>309</v>
      </c>
      <c r="D9" s="6"/>
      <c r="E9" s="6"/>
      <c r="F9" s="6"/>
      <c r="G9" s="6"/>
      <c r="H9" s="6"/>
      <c r="I9" s="6"/>
      <c r="J9" s="6"/>
      <c r="L9" s="80"/>
      <c r="M9" s="80"/>
      <c r="N9" s="80"/>
      <c r="O9" s="80"/>
    </row>
    <row r="10" spans="2:15" ht="135" customHeight="1" x14ac:dyDescent="0.15">
      <c r="B10" s="72"/>
      <c r="C10" s="77"/>
      <c r="D10" s="8"/>
      <c r="E10" s="8"/>
      <c r="F10" s="8"/>
      <c r="G10" s="8"/>
      <c r="H10" s="8"/>
      <c r="I10" s="8"/>
      <c r="J10" s="79"/>
      <c r="L10" s="80"/>
      <c r="M10" s="80"/>
      <c r="N10" s="81"/>
      <c r="O10" s="80"/>
    </row>
    <row r="11" spans="2:15" ht="33.75" customHeight="1" x14ac:dyDescent="0.15">
      <c r="B11" s="72"/>
      <c r="C11" s="77"/>
      <c r="D11" s="72"/>
      <c r="E11" s="78"/>
      <c r="F11" s="78"/>
      <c r="G11" s="78"/>
      <c r="H11" s="78"/>
      <c r="I11" s="78"/>
      <c r="J11" s="79"/>
      <c r="L11" s="82"/>
      <c r="M11" s="80"/>
      <c r="N11" s="80"/>
      <c r="O11" s="80"/>
    </row>
    <row r="12" spans="2:15" ht="33.75" customHeight="1" x14ac:dyDescent="0.15">
      <c r="B12" s="72"/>
      <c r="C12" s="77"/>
      <c r="D12" s="72"/>
      <c r="E12" s="78"/>
      <c r="F12" s="78"/>
      <c r="G12" s="78"/>
      <c r="H12" s="78"/>
      <c r="I12" s="78"/>
      <c r="J12" s="79"/>
      <c r="L12" s="80"/>
      <c r="M12" s="81"/>
      <c r="N12" s="80"/>
      <c r="O12" s="80"/>
    </row>
    <row r="13" spans="2:15" ht="20.25" customHeight="1" x14ac:dyDescent="0.15">
      <c r="B13" s="72"/>
      <c r="C13" s="75"/>
      <c r="D13" s="72"/>
      <c r="E13" s="72"/>
      <c r="F13" s="72"/>
      <c r="G13" s="72"/>
      <c r="H13" s="72"/>
      <c r="I13" s="72"/>
      <c r="J13" s="74"/>
      <c r="L13" s="80"/>
      <c r="M13" s="80"/>
      <c r="N13" s="80"/>
      <c r="O13" s="80"/>
    </row>
    <row r="14" spans="2:15" ht="20.25" customHeight="1" x14ac:dyDescent="0.15">
      <c r="B14" s="72"/>
      <c r="C14" s="76"/>
      <c r="D14" s="72"/>
      <c r="E14" s="72"/>
      <c r="F14" s="72"/>
      <c r="G14" s="72"/>
      <c r="H14" s="72"/>
      <c r="I14" s="72"/>
      <c r="J14" s="74"/>
      <c r="L14" s="80"/>
      <c r="M14" s="80"/>
      <c r="N14" s="80"/>
      <c r="O14" s="80"/>
    </row>
    <row r="15" spans="2:15" ht="28.5" customHeight="1" x14ac:dyDescent="0.15">
      <c r="B15" s="4"/>
      <c r="C15" s="4"/>
      <c r="D15" s="4"/>
      <c r="E15" s="4"/>
      <c r="F15" s="4"/>
      <c r="G15" s="4"/>
      <c r="H15" s="4"/>
      <c r="I15" s="4"/>
      <c r="J15" s="4"/>
      <c r="L15" s="80"/>
      <c r="M15" s="80"/>
      <c r="N15" s="80"/>
      <c r="O15" s="80"/>
    </row>
    <row r="16" spans="2:15" ht="33" customHeight="1" x14ac:dyDescent="0.15">
      <c r="B16" s="4"/>
      <c r="C16" s="4"/>
      <c r="D16" s="4"/>
      <c r="E16" s="4"/>
      <c r="F16" s="4"/>
      <c r="G16" s="4"/>
      <c r="H16" s="4"/>
      <c r="I16" s="4"/>
      <c r="J16" s="4"/>
    </row>
    <row r="17" spans="2:10" ht="28.5" customHeight="1" x14ac:dyDescent="0.15">
      <c r="B17" s="5" t="s">
        <v>620</v>
      </c>
      <c r="C17" s="5"/>
      <c r="D17" s="5"/>
      <c r="E17" s="5"/>
      <c r="F17" s="5"/>
      <c r="G17" s="5"/>
      <c r="H17" s="5"/>
      <c r="I17" s="5"/>
      <c r="J17" s="5"/>
    </row>
    <row r="18" spans="2:10" ht="9" customHeight="1" x14ac:dyDescent="0.15">
      <c r="B18" s="72"/>
      <c r="C18" s="72"/>
      <c r="D18" s="72"/>
      <c r="E18" s="74"/>
      <c r="F18" s="74"/>
      <c r="G18" s="72"/>
      <c r="H18" s="72"/>
      <c r="I18" s="74"/>
      <c r="J18" s="74"/>
    </row>
    <row r="19" spans="2:10" ht="11.25" customHeight="1" x14ac:dyDescent="0.15">
      <c r="B19" s="72"/>
      <c r="C19" s="72"/>
      <c r="D19" s="72"/>
      <c r="E19" s="74"/>
      <c r="F19" s="74"/>
      <c r="G19" s="72"/>
      <c r="H19" s="72"/>
      <c r="I19" s="74"/>
      <c r="J19" s="74"/>
    </row>
    <row r="20" spans="2:10" ht="30" customHeight="1" x14ac:dyDescent="0.15">
      <c r="B20" s="72"/>
      <c r="C20" s="7" t="s">
        <v>2</v>
      </c>
      <c r="D20" s="7"/>
      <c r="E20" s="7"/>
      <c r="F20" s="7"/>
      <c r="G20" s="7"/>
      <c r="H20" s="7"/>
      <c r="I20" s="7"/>
      <c r="J20" s="74"/>
    </row>
    <row r="21" spans="2:10" ht="20.25" customHeight="1" x14ac:dyDescent="0.15">
      <c r="B21" s="72"/>
      <c r="C21" s="72"/>
      <c r="D21" s="72"/>
      <c r="E21" s="74"/>
      <c r="F21" s="74"/>
      <c r="G21" s="72"/>
      <c r="H21" s="72"/>
      <c r="I21" s="74"/>
      <c r="J21" s="74"/>
    </row>
  </sheetData>
  <sheetProtection password="DA8F" sheet="1" objects="1" scenarios="1" selectLockedCells="1"/>
  <mergeCells count="8">
    <mergeCell ref="C4:E4"/>
    <mergeCell ref="F4:I4"/>
    <mergeCell ref="D10:I10"/>
    <mergeCell ref="C20:I20"/>
    <mergeCell ref="C9:J9"/>
    <mergeCell ref="B17:J17"/>
    <mergeCell ref="B16:J16"/>
    <mergeCell ref="B15:J15"/>
  </mergeCells>
  <phoneticPr fontId="81" type="noConversion"/>
  <dataValidations count="1">
    <dataValidation type="date" allowBlank="1" showInputMessage="1" showErrorMessage="1" sqref="C4:E4" xr:uid="{00000000-0002-0000-0000-000000000000}">
      <formula1>36586</formula1>
      <formula2>219206</formula2>
    </dataValidation>
  </dataValidations>
  <pageMargins left="0.19666667282581329" right="0.15722222626209259" top="0.6691666841506958" bottom="0.39347222447395325" header="0.51138889789581299" footer="0.31486111879348755"/>
  <pageSetup paperSize="9" fitToWidth="2" fitToHeight="32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1:AC31"/>
  <sheetViews>
    <sheetView showGridLines="0" zoomScaleNormal="100" zoomScaleSheetLayoutView="75" workbookViewId="0">
      <selection activeCell="E30" sqref="E30:N30"/>
    </sheetView>
  </sheetViews>
  <sheetFormatPr defaultColWidth="8.88671875" defaultRowHeight="13.5" x14ac:dyDescent="0.15"/>
  <cols>
    <col min="1" max="1" width="0.88671875" style="28" customWidth="1"/>
    <col min="2" max="2" width="0.88671875" style="32" customWidth="1"/>
    <col min="3" max="3" width="8.6640625" style="28" customWidth="1"/>
    <col min="4" max="5" width="10.88671875" style="28" customWidth="1"/>
    <col min="6" max="6" width="4.88671875" style="28" bestFit="1" customWidth="1"/>
    <col min="7" max="7" width="10" style="28" customWidth="1"/>
    <col min="8" max="8" width="6.33203125" style="28" customWidth="1"/>
    <col min="9" max="9" width="0.77734375" style="28" customWidth="1"/>
    <col min="10" max="10" width="13" style="28" customWidth="1"/>
    <col min="11" max="11" width="14.33203125" style="28" customWidth="1"/>
    <col min="12" max="12" width="0.5546875" style="28" customWidth="1"/>
    <col min="13" max="13" width="0.77734375" style="28" customWidth="1"/>
    <col min="14" max="14" width="11.88671875" style="28" customWidth="1"/>
    <col min="15" max="15" width="0.6640625" style="28" customWidth="1"/>
    <col min="16" max="17" width="7.44140625" style="28" customWidth="1"/>
    <col min="18" max="18" width="8" style="28" customWidth="1"/>
    <col min="19" max="19" width="0.6640625" style="32" customWidth="1"/>
    <col min="20" max="23" width="9.21875" style="332" customWidth="1"/>
    <col min="24" max="24" width="9.21875" style="329" customWidth="1"/>
    <col min="25" max="26" width="9.21875" style="303" customWidth="1"/>
    <col min="27" max="27" width="8.88671875" style="303"/>
    <col min="28" max="28" width="8.88671875" style="254"/>
    <col min="29" max="16384" width="8.88671875" style="28"/>
  </cols>
  <sheetData>
    <row r="1" spans="2:29" ht="5.25" customHeight="1" x14ac:dyDescent="0.15">
      <c r="N1" s="32"/>
      <c r="O1" s="240" t="str">
        <f>IF(F26=TRUE,"부부동시 내신","")</f>
        <v/>
      </c>
      <c r="P1" s="240" t="str">
        <f>IF(D26=TRUE,"타시군 내신","")</f>
        <v/>
      </c>
      <c r="Q1" s="240" t="str">
        <f>IF(E26=TRUE,"타시도전출(교환)","")</f>
        <v/>
      </c>
      <c r="R1" s="240" t="str">
        <f>IF(G26=TRUE,"복직(귀)동시 내신","")</f>
        <v/>
      </c>
      <c r="S1" s="294" t="str">
        <f>CONCATENATE(O1," ",P1," ",Q1," ",R1)</f>
        <v xml:space="preserve">   </v>
      </c>
    </row>
    <row r="2" spans="2:29" ht="9" customHeight="1" x14ac:dyDescent="0.15">
      <c r="C2" s="67">
        <f>개요!C4-1</f>
        <v>43524</v>
      </c>
      <c r="L2" s="455">
        <f>개요!C4</f>
        <v>43525</v>
      </c>
      <c r="M2" s="456"/>
      <c r="N2" s="456"/>
      <c r="R2" s="32"/>
    </row>
    <row r="3" spans="2:29" ht="6" customHeight="1" x14ac:dyDescent="0.15">
      <c r="B3" s="18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295"/>
      <c r="AC3" s="31"/>
    </row>
    <row r="4" spans="2:29" ht="36" customHeight="1" x14ac:dyDescent="0.15">
      <c r="B4" s="187"/>
      <c r="C4" s="392">
        <f>개요!C4</f>
        <v>43525</v>
      </c>
      <c r="D4" s="393"/>
      <c r="E4" s="393"/>
      <c r="F4" s="1" t="s">
        <v>535</v>
      </c>
      <c r="G4" s="1"/>
      <c r="H4" s="1"/>
      <c r="I4" s="1"/>
      <c r="J4" s="1"/>
      <c r="K4" s="1"/>
      <c r="L4" s="1"/>
      <c r="M4" s="1"/>
      <c r="N4" s="377"/>
      <c r="O4" s="37"/>
      <c r="P4" s="378" t="s">
        <v>453</v>
      </c>
      <c r="Q4" s="379"/>
      <c r="R4" s="380"/>
      <c r="S4" s="295"/>
      <c r="Y4" s="304">
        <f>MOD(66/12,1)*12/100</f>
        <v>0.06</v>
      </c>
      <c r="AC4" s="31"/>
    </row>
    <row r="5" spans="2:29" ht="9.75" customHeight="1" x14ac:dyDescent="0.15">
      <c r="B5" s="18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431" t="s">
        <v>502</v>
      </c>
      <c r="Q5" s="432"/>
      <c r="R5" s="433"/>
      <c r="S5" s="295"/>
      <c r="V5" s="332">
        <v>12</v>
      </c>
      <c r="AC5" s="31"/>
    </row>
    <row r="6" spans="2:29" ht="23.25" customHeight="1" x14ac:dyDescent="0.15">
      <c r="B6" s="187"/>
      <c r="C6" s="396" t="s">
        <v>571</v>
      </c>
      <c r="D6" s="397"/>
      <c r="E6" s="397"/>
      <c r="F6" s="397"/>
      <c r="G6" s="397"/>
      <c r="H6" s="398"/>
      <c r="I6" s="37"/>
      <c r="J6" s="440" t="s">
        <v>613</v>
      </c>
      <c r="K6" s="441"/>
      <c r="L6" s="441"/>
      <c r="M6" s="441"/>
      <c r="N6" s="442"/>
      <c r="O6" s="37"/>
      <c r="P6" s="434"/>
      <c r="Q6" s="435"/>
      <c r="R6" s="436"/>
      <c r="S6" s="295"/>
      <c r="U6" s="332">
        <f>IF(B15="",0,VALUE(LEFT(B15,1)))</f>
        <v>5</v>
      </c>
      <c r="V6" s="332">
        <f>IF(B15="",0,VALUE(MID(B15,3,2)))</f>
        <v>0</v>
      </c>
      <c r="Y6" s="303">
        <f>MOD(4,3)</f>
        <v>1</v>
      </c>
      <c r="AC6" s="31"/>
    </row>
    <row r="7" spans="2:29" ht="6.75" customHeight="1" x14ac:dyDescent="0.15">
      <c r="B7" s="18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434"/>
      <c r="Q7" s="435"/>
      <c r="R7" s="436"/>
      <c r="S7" s="295"/>
      <c r="AC7" s="31"/>
    </row>
    <row r="8" spans="2:29" ht="18" customHeight="1" x14ac:dyDescent="0.15">
      <c r="B8" s="187"/>
      <c r="C8" s="453" t="s">
        <v>592</v>
      </c>
      <c r="D8" s="449"/>
      <c r="E8" s="387" t="s">
        <v>512</v>
      </c>
      <c r="F8" s="382"/>
      <c r="G8" s="382"/>
      <c r="H8" s="383"/>
      <c r="I8" s="38"/>
      <c r="J8" s="61" t="s">
        <v>119</v>
      </c>
      <c r="K8" s="384">
        <f>U22</f>
        <v>0</v>
      </c>
      <c r="L8" s="385"/>
      <c r="M8" s="386"/>
      <c r="N8" s="319" t="s">
        <v>100</v>
      </c>
      <c r="O8" s="37"/>
      <c r="P8" s="434"/>
      <c r="Q8" s="435"/>
      <c r="R8" s="436"/>
      <c r="S8" s="299"/>
      <c r="U8" s="332">
        <f>IF(E15=0,0,VALUE(LEFT(E15,1)))</f>
        <v>0</v>
      </c>
      <c r="V8" s="332">
        <f>IFERROR(IF(E15=0,0,IF(LEN(E15)=3,10,VALUE(MID(E15,3,2)))),0)</f>
        <v>0</v>
      </c>
      <c r="W8" s="333"/>
      <c r="AC8" s="31"/>
    </row>
    <row r="9" spans="2:29" ht="18" customHeight="1" x14ac:dyDescent="0.15">
      <c r="B9" s="187"/>
      <c r="C9" s="453" t="s">
        <v>575</v>
      </c>
      <c r="D9" s="449"/>
      <c r="E9" s="388" t="str">
        <f>INDEX(직위,I9,2)</f>
        <v>초등교사</v>
      </c>
      <c r="F9" s="389"/>
      <c r="G9" s="389"/>
      <c r="H9" s="390"/>
      <c r="I9" s="252">
        <v>5</v>
      </c>
      <c r="J9" s="30" t="s">
        <v>121</v>
      </c>
      <c r="K9" s="384">
        <f>통합경력증명!J50</f>
        <v>0</v>
      </c>
      <c r="L9" s="385"/>
      <c r="M9" s="386"/>
      <c r="N9" s="318">
        <f>통합경력증명!L43</f>
        <v>0</v>
      </c>
      <c r="O9" s="37"/>
      <c r="P9" s="434"/>
      <c r="Q9" s="435"/>
      <c r="R9" s="436"/>
      <c r="S9" s="299"/>
      <c r="U9" s="332">
        <f>IF(V6&lt;V8,U6-1-U8,U6-U8)</f>
        <v>5</v>
      </c>
      <c r="V9" s="332">
        <f>IF(V6&lt;V8,SUM(V5:V6)-V8,V6-V8)/100</f>
        <v>0</v>
      </c>
      <c r="W9" s="332">
        <f>IF(SUM(U9:V9)&gt;5,5,SUM(U9:V9))</f>
        <v>5</v>
      </c>
      <c r="AC9" s="31"/>
    </row>
    <row r="10" spans="2:29" ht="18" customHeight="1" x14ac:dyDescent="0.15">
      <c r="B10" s="314"/>
      <c r="C10" s="453" t="s">
        <v>28</v>
      </c>
      <c r="D10" s="449"/>
      <c r="E10" s="463">
        <v>7210011234561</v>
      </c>
      <c r="F10" s="464"/>
      <c r="G10" s="465"/>
      <c r="H10" s="320" t="str">
        <f>IFERROR(DATEDIF(DATE(LEFT(E10,2),MID(E10,3,2),MID(E10,5,2)),$L$2,"Y"),"")&amp;" 세"</f>
        <v>46 세</v>
      </c>
      <c r="I10" s="38"/>
      <c r="J10" s="30" t="s">
        <v>145</v>
      </c>
      <c r="K10" s="384">
        <f>통합경력증명!L15</f>
        <v>0</v>
      </c>
      <c r="L10" s="385"/>
      <c r="M10" s="386"/>
      <c r="N10" s="86" t="s">
        <v>94</v>
      </c>
      <c r="O10" s="37"/>
      <c r="P10" s="434"/>
      <c r="Q10" s="435"/>
      <c r="R10" s="436"/>
      <c r="S10" s="299"/>
      <c r="W10" s="333"/>
      <c r="AC10" s="31"/>
    </row>
    <row r="11" spans="2:29" ht="18" customHeight="1" x14ac:dyDescent="0.15">
      <c r="B11" s="187"/>
      <c r="C11" s="406" t="s">
        <v>516</v>
      </c>
      <c r="D11" s="61" t="s">
        <v>390</v>
      </c>
      <c r="E11" s="391" t="s">
        <v>3</v>
      </c>
      <c r="F11" s="382"/>
      <c r="G11" s="382"/>
      <c r="H11" s="383"/>
      <c r="I11" s="38"/>
      <c r="J11" s="29" t="s">
        <v>80</v>
      </c>
      <c r="K11" s="384">
        <f>통합경력증명!L27</f>
        <v>0</v>
      </c>
      <c r="L11" s="385"/>
      <c r="M11" s="386"/>
      <c r="N11" s="317">
        <f>통합경력증명!L47</f>
        <v>0</v>
      </c>
      <c r="O11" s="37"/>
      <c r="P11" s="434"/>
      <c r="Q11" s="435"/>
      <c r="R11" s="436"/>
      <c r="S11" s="295"/>
      <c r="W11" s="333"/>
      <c r="AC11" s="31"/>
    </row>
    <row r="12" spans="2:29" ht="18" customHeight="1" x14ac:dyDescent="0.15">
      <c r="B12" s="170"/>
      <c r="C12" s="408"/>
      <c r="D12" s="39" t="s">
        <v>455</v>
      </c>
      <c r="E12" s="387" t="s">
        <v>543</v>
      </c>
      <c r="F12" s="382"/>
      <c r="G12" s="382"/>
      <c r="H12" s="383"/>
      <c r="I12" s="38"/>
      <c r="J12" s="29" t="s">
        <v>68</v>
      </c>
      <c r="K12" s="384">
        <f>통합경력증명!L39</f>
        <v>0</v>
      </c>
      <c r="L12" s="385"/>
      <c r="M12" s="386"/>
      <c r="N12" s="323" t="s">
        <v>93</v>
      </c>
      <c r="O12" s="37"/>
      <c r="P12" s="434"/>
      <c r="Q12" s="435"/>
      <c r="R12" s="436"/>
      <c r="S12" s="295"/>
      <c r="T12" s="332">
        <f>INT(T13/12)+MOD(T13/12,1)*12/100</f>
        <v>0</v>
      </c>
      <c r="W12" s="333"/>
      <c r="AC12" s="31"/>
    </row>
    <row r="13" spans="2:29" ht="18" customHeight="1" x14ac:dyDescent="0.15">
      <c r="B13" s="170"/>
      <c r="C13" s="454" t="s">
        <v>225</v>
      </c>
      <c r="D13" s="40" t="s">
        <v>384</v>
      </c>
      <c r="E13" s="381" t="s">
        <v>67</v>
      </c>
      <c r="F13" s="382"/>
      <c r="G13" s="383"/>
      <c r="H13" s="41" t="str">
        <f>""&amp;IFERROR(IF(OR(E9="유치원교사",E9="원감"),VLOOKUP(E13,유치원학교,5,0),VLOOKUP(E13,학교,5,0)),"")&amp;""</f>
        <v>갑</v>
      </c>
      <c r="I13" s="38"/>
      <c r="J13" s="29" t="s">
        <v>37</v>
      </c>
      <c r="K13" s="384">
        <f>통합경력증명!L33</f>
        <v>0</v>
      </c>
      <c r="L13" s="385"/>
      <c r="M13" s="386"/>
      <c r="N13" s="315">
        <f>INT(SUM(K8:M15,N9,N11))+INT((SUM(K8:M15,N9,N11)-INT(SUM(K8:M15,N9,N11)))*100/12)+MOD((SUM(K8:M15,N9,N11)-INT(SUM(K8:M15,N9,N11)))*100/12,1)*12/100</f>
        <v>0</v>
      </c>
      <c r="O13" s="37"/>
      <c r="P13" s="434"/>
      <c r="Q13" s="435"/>
      <c r="R13" s="436"/>
      <c r="S13" s="295"/>
      <c r="T13" s="334">
        <f>IF(OR(Z13=1,Z13=2),Y13,IF(OR(Z13=3,Z13=4),Y13+Y14,IF(Z13=5,Y13+Y14+Y15,"")))</f>
        <v>0</v>
      </c>
      <c r="U13" s="335">
        <f>E14</f>
        <v>41699</v>
      </c>
      <c r="V13" s="332" t="str">
        <f>IF(U14="","",DATEDIF(U13,U14+1,"M"))</f>
        <v/>
      </c>
      <c r="W13" s="335" t="str">
        <f>IF(통합경력증명!E61="","",통합경력증명!E61)</f>
        <v/>
      </c>
      <c r="X13" s="330" t="str">
        <f>IFERROR(DATEDIF(W13,W14+1,"M"),"")</f>
        <v/>
      </c>
      <c r="Y13" s="305">
        <f>IFERROR(IF(AND(U13&lt;=W13,W13&lt;=U14),DATEDIF(U13,W13+1,"M"),DATEDIF(U13,U14+1,"M")),0)</f>
        <v>0</v>
      </c>
      <c r="Z13" s="307">
        <f>IF(W16&gt;=U14,IF(W15&gt;=U14,IF(W14&gt;=U14,IF(W13&gt;=U14,1,2),3),4),5)</f>
        <v>1</v>
      </c>
      <c r="AC13" s="31"/>
    </row>
    <row r="14" spans="2:29" ht="18" customHeight="1" x14ac:dyDescent="0.15">
      <c r="B14" s="170"/>
      <c r="C14" s="407"/>
      <c r="D14" s="42" t="s">
        <v>442</v>
      </c>
      <c r="E14" s="460">
        <v>41699</v>
      </c>
      <c r="F14" s="461"/>
      <c r="G14" s="461"/>
      <c r="H14" s="462"/>
      <c r="I14" s="38"/>
      <c r="J14" s="30" t="str">
        <f>IF(E9="초등교사","6학년담임",IF(E9="보건교사","과대학급담당","6학년담임"))</f>
        <v>6학년담임</v>
      </c>
      <c r="K14" s="384">
        <f>통합경력증명!L21</f>
        <v>0</v>
      </c>
      <c r="L14" s="385"/>
      <c r="M14" s="386"/>
      <c r="N14" s="322" t="s">
        <v>60</v>
      </c>
      <c r="O14" s="37"/>
      <c r="P14" s="434"/>
      <c r="Q14" s="435"/>
      <c r="R14" s="436"/>
      <c r="S14" s="295"/>
      <c r="T14" s="334">
        <f>IF(OR(Z13=1,Z13=2),Y14+Y15+Y16,IF(OR(Z13=3,Z13=4),Y15+Y16,IF(Z13=5,Y16,"")))</f>
        <v>60</v>
      </c>
      <c r="U14" s="335" t="str">
        <f>IF(OR(E14&gt;=VLOOKUP(E13,조견표!A5:R112,8,0),VLOOKUP(E13,조견표!A5:R112,8,0)&gt;=42794),"",VLOOKUP(E13,조견표!A5:R112,8,0))</f>
        <v/>
      </c>
      <c r="V14" s="332">
        <f>IF(U14="",DATEDIF(U13,U15+1,"M"),DATEDIF(U14,U15+1,"M"))</f>
        <v>60</v>
      </c>
      <c r="W14" s="335" t="str">
        <f>IF(통합경력증명!H61="","",통합경력증명!H61)</f>
        <v/>
      </c>
      <c r="X14" s="330"/>
      <c r="Y14" s="305">
        <f>IFERROR(IF(V13=Y13,IF(AND(U14&lt;=W13,W13&lt;=U15),DATEDIF(U14,W13+1,"M"),DATEDIF(W14,U14+1,"M")),IF(W15="",DATEDIF(W14,U14+1,"M"),IF(AND(W15&gt;U14,W14&gt;U14),DATEDIF(W14,W15+1,"M"),IF(AND(W15&lt;=U14,W14&lt;=U14),DATEDIF(W14,W15+1,"M"),DATEDIF(W14,U14+1,"M"))))),IF(AND(W13="",W14="",W15=""),V14,IF(U14="",DATEDIF(W14,U15+1,"M"),0)))</f>
        <v>60</v>
      </c>
      <c r="Z14" s="306"/>
      <c r="AC14" s="31"/>
    </row>
    <row r="15" spans="2:29" ht="18" customHeight="1" x14ac:dyDescent="0.15">
      <c r="B15" s="171" t="str">
        <f>IF(E14="","",IF(DATEDIF(E14,C2,"ym")+IF(DATEDIF(E14,C2,"md")+1&gt;=15,1,0)=12,DATEDIF(E14,C2,"y")+1&amp;"."&amp;"00",IF(OR(DATEDIF(E14,C2,"ym")+IF(DATEDIF(E14,C2,"md")+1&gt;=15,1,0)=11,DATEDIF(E14,C2,"ym")+IF(DATEDIF(E14,C2,"md")+1&gt;=15,1,0)=10),DATEDIF(E14,C2,"y")&amp;"."&amp;DATEDIF(E14,C2,"ym")+IF(DATEDIF(E14,C2,"md")+1&gt;=15,1,0),DATEDIF(E14,C2,"y")&amp;".0"&amp;DATEDIF(E14,C2,"ym")+IF(DATEDIF(E14,C2,"md")+1&gt;=15,1,0))))</f>
        <v>5.00</v>
      </c>
      <c r="C15" s="407"/>
      <c r="D15" s="43" t="s">
        <v>59</v>
      </c>
      <c r="E15" s="3">
        <f>통합경력증명!M66</f>
        <v>0</v>
      </c>
      <c r="F15" s="3"/>
      <c r="G15" s="3"/>
      <c r="H15" s="3"/>
      <c r="I15" s="38"/>
      <c r="J15" s="29" t="s">
        <v>449</v>
      </c>
      <c r="K15" s="384">
        <f>통합경력증명!G53</f>
        <v>0</v>
      </c>
      <c r="L15" s="385"/>
      <c r="M15" s="386"/>
      <c r="N15" s="316">
        <f>INT(E16)+INT(N13)+INT((E16-INT(E16)+N13-INT(N13))*100/12)+MOD((E16-INT(E16)+N13-INT(N13))*100/12,1)*12/100</f>
        <v>5</v>
      </c>
      <c r="O15" s="37"/>
      <c r="P15" s="434"/>
      <c r="Q15" s="435"/>
      <c r="R15" s="436"/>
      <c r="S15" s="295"/>
      <c r="T15" s="336">
        <f>INT(T14/12)+MOD(T14/12,1)*12/100</f>
        <v>5</v>
      </c>
      <c r="U15" s="335">
        <f>C2</f>
        <v>43524</v>
      </c>
      <c r="W15" s="335" t="str">
        <f>IF(통합경력증명!E62="","",통합경력증명!E62)</f>
        <v/>
      </c>
      <c r="X15" s="330" t="str">
        <f>IFERROR(DATEDIF(W15,W16+1,"M"),"")</f>
        <v/>
      </c>
      <c r="Y15" s="305">
        <f>IFERROR(IF(X15="",IF(U14&gt;=W14,DATEDIF(U14,U15+1,"M"),DATEDIF(W14,U15+1,"M")),IF(AND(U14&gt;=W14,W15&gt;=U14),DATEDIF(U14,W15+1,"M"),DATEDIF(W16,U14+1,"M"))),0)</f>
        <v>0</v>
      </c>
      <c r="Z15" s="306"/>
      <c r="AC15" s="31"/>
    </row>
    <row r="16" spans="2:29" ht="18" customHeight="1" x14ac:dyDescent="0.15">
      <c r="B16" s="170">
        <f>VALUE(E16)</f>
        <v>5</v>
      </c>
      <c r="C16" s="408"/>
      <c r="D16" s="39" t="s">
        <v>53</v>
      </c>
      <c r="E16" s="3">
        <f>U18</f>
        <v>5</v>
      </c>
      <c r="F16" s="2"/>
      <c r="G16" s="2"/>
      <c r="H16" s="2"/>
      <c r="I16" s="38"/>
      <c r="J16" s="450" t="str">
        <f>IF(E18="구역만기","④ 갑 구역만기 전보자 근무 년수 확인","④ 해당없음(갑구역 만기자만 해당됨)")</f>
        <v>④ 해당없음(갑구역 만기자만 해당됨)</v>
      </c>
      <c r="K16" s="451"/>
      <c r="L16" s="451"/>
      <c r="M16" s="451"/>
      <c r="N16" s="452"/>
      <c r="O16" s="37"/>
      <c r="P16" s="434"/>
      <c r="Q16" s="435"/>
      <c r="R16" s="436"/>
      <c r="S16" s="295"/>
      <c r="T16" s="336"/>
      <c r="W16" s="335" t="str">
        <f>IF(통합경력증명!H62="","",통합경력증명!H62)</f>
        <v/>
      </c>
      <c r="X16" s="330"/>
      <c r="Y16" s="305">
        <f>IFERROR(IF(U14&gt;=W16,DATEDIF(U14,U15+1,"M"),DATEDIF(W16,U15+1,"M")),0)</f>
        <v>0</v>
      </c>
      <c r="Z16" s="305"/>
      <c r="AC16" s="31"/>
    </row>
    <row r="17" spans="2:29" ht="18" customHeight="1" x14ac:dyDescent="0.15">
      <c r="B17" s="170"/>
      <c r="C17" s="453" t="s">
        <v>25</v>
      </c>
      <c r="D17" s="449"/>
      <c r="E17" s="387" t="s">
        <v>4</v>
      </c>
      <c r="F17" s="382"/>
      <c r="G17" s="382"/>
      <c r="H17" s="383"/>
      <c r="I17" s="38"/>
      <c r="J17" s="34" t="s">
        <v>127</v>
      </c>
      <c r="K17" s="34" t="s">
        <v>133</v>
      </c>
      <c r="L17" s="447" t="s">
        <v>53</v>
      </c>
      <c r="M17" s="448"/>
      <c r="N17" s="449"/>
      <c r="O17" s="37"/>
      <c r="P17" s="434"/>
      <c r="Q17" s="435"/>
      <c r="R17" s="436"/>
      <c r="S17" s="295"/>
      <c r="T17" s="334"/>
      <c r="U17" s="335"/>
      <c r="W17" s="335" t="str">
        <f>IF(통합경력증명!E63="","",통합경력증명!E63)</f>
        <v/>
      </c>
      <c r="X17" s="330" t="str">
        <f>IFERROR(DATEDIF(W17,W18+1,"M"),"")</f>
        <v/>
      </c>
      <c r="Y17" s="305"/>
      <c r="Z17" s="305"/>
      <c r="AC17" s="31"/>
    </row>
    <row r="18" spans="2:29" ht="18" customHeight="1" x14ac:dyDescent="0.15">
      <c r="B18" s="170"/>
      <c r="C18" s="453" t="s">
        <v>23</v>
      </c>
      <c r="D18" s="449"/>
      <c r="E18" s="387" t="str">
        <f>INDEX(전보유형,I18,2)</f>
        <v>학교만기</v>
      </c>
      <c r="F18" s="382"/>
      <c r="G18" s="382"/>
      <c r="H18" s="383"/>
      <c r="I18" s="252">
        <v>2</v>
      </c>
      <c r="J18" s="34" t="str">
        <f>IF(E18="구역만기","전임교","해당없음")</f>
        <v>해당없음</v>
      </c>
      <c r="K18" s="374"/>
      <c r="L18" s="443"/>
      <c r="M18" s="444"/>
      <c r="N18" s="445"/>
      <c r="O18" s="37"/>
      <c r="P18" s="434"/>
      <c r="Q18" s="435"/>
      <c r="R18" s="436"/>
      <c r="S18" s="295"/>
      <c r="T18" s="336">
        <f>IF(E14="",0,IF(DATEDIF(E14,C2+1,"ym")/100-MOD((E15-INT(E15))*100/12,1)*12/100&lt;0,DATEDIF(E14,C2+1,"y")-INT(E15)-1+DATEDIF(E14,C2+1,"ym")/100+0.12-MOD((E15-INT(E15))*100/12,1)*12/100,DATEDIF(E14,C2+1,"y")-INT(E15)+DATEDIF(E14,C2+1,"ym")/100-MOD((E15-INT(E15))*100/12,1)*12/100))</f>
        <v>5</v>
      </c>
      <c r="U18" s="337">
        <f>IF(T18=4.12,5,IF(T18=3.12,4,IF(T18=2.12,3,IF(T18=1.12,2,T18))))</f>
        <v>5</v>
      </c>
      <c r="W18" s="335" t="str">
        <f>IF(통합경력증명!H63="","",통합경력증명!H63)</f>
        <v/>
      </c>
      <c r="X18" s="330"/>
      <c r="Y18" s="305"/>
      <c r="Z18" s="305"/>
      <c r="AC18" s="31"/>
    </row>
    <row r="19" spans="2:29" ht="18" customHeight="1" x14ac:dyDescent="0.15">
      <c r="B19" s="170"/>
      <c r="C19" s="453" t="s">
        <v>383</v>
      </c>
      <c r="D19" s="449"/>
      <c r="E19" s="388">
        <v>1</v>
      </c>
      <c r="F19" s="389"/>
      <c r="G19" s="389"/>
      <c r="H19" s="390"/>
      <c r="I19" s="251"/>
      <c r="J19" s="34" t="str">
        <f>IF(E18="구역만기","전전임교","해당없음")</f>
        <v>해당없음</v>
      </c>
      <c r="K19" s="374"/>
      <c r="L19" s="443"/>
      <c r="M19" s="444"/>
      <c r="N19" s="445"/>
      <c r="O19" s="37"/>
      <c r="P19" s="437"/>
      <c r="Q19" s="438"/>
      <c r="R19" s="439"/>
      <c r="S19" s="295"/>
      <c r="T19" s="334"/>
      <c r="V19" s="334"/>
      <c r="W19" s="334"/>
      <c r="X19" s="330"/>
      <c r="Y19" s="305"/>
      <c r="Z19" s="305"/>
      <c r="AC19" s="31"/>
    </row>
    <row r="20" spans="2:29" ht="18" customHeight="1" x14ac:dyDescent="0.15">
      <c r="B20" s="187"/>
      <c r="C20" s="453" t="s">
        <v>38</v>
      </c>
      <c r="D20" s="449"/>
      <c r="E20" s="457" t="str">
        <f>INDEX(우대조항,E19,2)</f>
        <v/>
      </c>
      <c r="F20" s="458"/>
      <c r="G20" s="458"/>
      <c r="H20" s="459"/>
      <c r="I20" s="38"/>
      <c r="J20" s="34" t="str">
        <f>IF(E18="구역만기","전전전임교","해당없음")</f>
        <v>해당없음</v>
      </c>
      <c r="K20" s="374"/>
      <c r="L20" s="446"/>
      <c r="M20" s="444"/>
      <c r="N20" s="445"/>
      <c r="O20" s="37"/>
      <c r="P20" s="423" t="s">
        <v>279</v>
      </c>
      <c r="Q20" s="424"/>
      <c r="R20" s="425"/>
      <c r="S20" s="295"/>
      <c r="T20" s="334">
        <f>IF(ISERROR(IF(OR(E18="학교만기",E18="구역만기"),INT(E16)*VLOOKUP(E13,조견표!A5:R112,9,0),INT((INT(E16)*12+VALUE(TEXT(MOD(E16,1)*100,"00")))*VLOOKUP(E13,조견표!A5:R112,9,0))/100)),VALUE(0),IF(OR(E18="학교만기",E18="구역만기"),(INT(E16)*VLOOKUP(E13,조견표!A5:R112,9,0)),(INT((INT(E16)*12+VALUE(TEXT(MOD(E16,1)*100,"00")))*VLOOKUP(E13,조견표!A5:R112,11,0))/100)))</f>
        <v>0</v>
      </c>
      <c r="U20" s="334">
        <f>IF(OR(E18="학교만기",E18="구역만기"),(INT((INT(E16)*12+VALUE(TEXT(MOD(E16,1)*100,"00")))*VLOOKUP(E13,조견표!A5:R112,10,0))/100),(INT((INT(E16)*12+VALUE(TEXT(MOD(E16,1)*100,"00")))*VLOOKUP(E13,조견표!A5:R112,12,0))/100))</f>
        <v>0</v>
      </c>
      <c r="V20" s="334"/>
      <c r="W20" s="334"/>
      <c r="X20" s="330"/>
      <c r="Y20" s="305"/>
      <c r="Z20" s="305"/>
      <c r="AC20" s="31"/>
    </row>
    <row r="21" spans="2:29" ht="21" customHeight="1" x14ac:dyDescent="0.15">
      <c r="B21" s="187"/>
      <c r="C21" s="396" t="str">
        <f>IF(OR(E18="학교만기",E18="구역만기"),"② 희망교 지정 : 3희망까지 모두 선택",IF(E18="비정기","② 희망교 지정 : 미입력",IF(E18="초빙","② 희망교 지정 : 초빙학교를 1희망에 선택","② 희망교 지정 : 1희망 또는 2희망 선택")))</f>
        <v>② 희망교 지정 : 3희망까지 모두 선택</v>
      </c>
      <c r="D21" s="397"/>
      <c r="E21" s="397"/>
      <c r="F21" s="397"/>
      <c r="G21" s="397"/>
      <c r="H21" s="398"/>
      <c r="I21" s="38"/>
      <c r="J21" s="396" t="s">
        <v>311</v>
      </c>
      <c r="K21" s="397"/>
      <c r="L21" s="397"/>
      <c r="M21" s="397"/>
      <c r="N21" s="398"/>
      <c r="O21" s="37"/>
      <c r="P21" s="426"/>
      <c r="Q21" s="427"/>
      <c r="R21" s="428"/>
      <c r="S21" s="295"/>
      <c r="T21" s="334">
        <f>IF(ISERROR(IF(OR(E18="학교만기",E18="구역만기"),INT(T12)*VLOOKUP(E13,조견표!A5:R112,9,0),INT((INT(T12)*12+VALUE(TEXT(MOD(T12,1)*100,"00")))*VLOOKUP(E13,조견표!A5:R112,9,0))/100)),VALUE(0),IF(OR(E18="학교만기",E18="구역만기"),(INT(T12)*VLOOKUP(E13,조견표!A5:R112,9,0)),(INT((INT(T12)*12+VALUE(TEXT(MOD(T12,1)*100,"00")))*VLOOKUP(E13,조견표!A5:R112,11,0))/100)))</f>
        <v>0</v>
      </c>
      <c r="U21" s="336">
        <f>INT(U20*100/12)+MOD(U20*100,1)/100*12+MOD((U20)*100/12,1)*12/100</f>
        <v>0</v>
      </c>
      <c r="V21" s="336">
        <f>MOD((U21)*100/12,1)*12/100</f>
        <v>0</v>
      </c>
      <c r="W21" s="334"/>
      <c r="X21" s="330"/>
      <c r="Y21" s="305"/>
      <c r="Z21" s="305"/>
      <c r="AC21" s="31"/>
    </row>
    <row r="22" spans="2:29" ht="18" customHeight="1" x14ac:dyDescent="0.15">
      <c r="B22" s="187"/>
      <c r="C22" s="406" t="s">
        <v>406</v>
      </c>
      <c r="D22" s="60">
        <v>0</v>
      </c>
      <c r="E22" s="381" t="s">
        <v>21</v>
      </c>
      <c r="F22" s="382"/>
      <c r="G22" s="382"/>
      <c r="H22" s="383"/>
      <c r="I22" s="38"/>
      <c r="J22" s="39" t="str">
        <f>IF(개별기초자료!E9="유치원교사","원장","교장")</f>
        <v>교장</v>
      </c>
      <c r="K22" s="388" t="s">
        <v>103</v>
      </c>
      <c r="L22" s="429"/>
      <c r="M22" s="429"/>
      <c r="N22" s="430"/>
      <c r="O22" s="37"/>
      <c r="P22" s="414" t="str">
        <f>IF(E8="","※ 전보자 성명 미기재!",IF(E14="","※ 현임교 발령일자 미기재!",IF(E9="","※ 직위 미기재.",IF(E13="","※ 현임교 미선택.",IF(E10="","※ 주민등록번호 미기재!",IF(OR(ISERROR(TEXT(LEFT(E10,6),"00-00-00")*1),LEN(CLEAN(E10))&lt;&gt;13,OR(MID(E10,7,1)*1&lt;1,MID(E10,7,1)*1&gt;4)),"※ 주민등록번호 형식 오류",IF(OR(E11="",E12=""),"※ 내신자 연락처 미기재!.",IF(E17="","※내신자 생활근거지 미기재!",IF(E18="","※ 전보유형 확인 요망!",IF(OR(K22="",K23=""),"※ 서류 확인자 성명 미기재!.",IF(K24="","※ 교감 휴대폰 미기재!",IF(E16&gt;5,"통합경력증명서에서 제외기간 넣어 실근무년수 5.00으로 맞추기","정상 입력 완료!"))))))))))))</f>
        <v>정상 입력 완료!</v>
      </c>
      <c r="Q22" s="415"/>
      <c r="R22" s="416"/>
      <c r="S22" s="295"/>
      <c r="T22" s="334">
        <f>IF(ISERROR(IF(OR(E18="학교만기",E18="구역만기"),INT(T15)*VLOOKUP(E13,조견표!A5:R112,10,0),INT((INT(T15)*12+VALUE(TEXT(MOD(T15,1)*100,"00")))*VLOOKUP(E13,조견표!A5:R112,10,0))/100)),VALUE(0),IF(OR(E18="학교만기",E18="구역만기"),(INT(T15)*VLOOKUP(E13,조견표!A5:R112,10,0)),(INT((INT(T15)*12+VALUE(TEXT(MOD(T15,1)*100,"00")))*VLOOKUP(E13,조견표!A5:R112,12,0))/100)))</f>
        <v>0</v>
      </c>
      <c r="U22" s="334">
        <f>IF(통합경력증명!E55="",개별기초자료!U21,통합경력증명!L59)</f>
        <v>0</v>
      </c>
      <c r="V22" s="334"/>
      <c r="W22" s="334"/>
      <c r="X22" s="330"/>
      <c r="Y22" s="305"/>
      <c r="Z22" s="305"/>
      <c r="AC22" s="31"/>
    </row>
    <row r="23" spans="2:29" ht="18" customHeight="1" x14ac:dyDescent="0.15">
      <c r="B23" s="187"/>
      <c r="C23" s="407"/>
      <c r="D23" s="60">
        <v>0</v>
      </c>
      <c r="E23" s="381" t="s">
        <v>183</v>
      </c>
      <c r="F23" s="382"/>
      <c r="G23" s="382"/>
      <c r="H23" s="383"/>
      <c r="I23" s="38"/>
      <c r="J23" s="39" t="str">
        <f>IF(개별기초자료!E9="유치원교사","원감","교감")</f>
        <v>교감</v>
      </c>
      <c r="K23" s="388" t="s">
        <v>105</v>
      </c>
      <c r="L23" s="389"/>
      <c r="M23" s="389"/>
      <c r="N23" s="390"/>
      <c r="O23" s="37"/>
      <c r="P23" s="417"/>
      <c r="Q23" s="418"/>
      <c r="R23" s="419"/>
      <c r="S23" s="295"/>
      <c r="T23" s="336">
        <f>SUM(T16:T22)</f>
        <v>5</v>
      </c>
      <c r="U23" s="334"/>
      <c r="V23" s="334"/>
      <c r="W23" s="334"/>
      <c r="X23" s="330"/>
      <c r="Y23" s="305"/>
      <c r="Z23" s="305"/>
      <c r="AC23" s="31"/>
    </row>
    <row r="24" spans="2:29" ht="18" customHeight="1" x14ac:dyDescent="0.15">
      <c r="B24" s="187"/>
      <c r="C24" s="408"/>
      <c r="D24" s="60">
        <v>0</v>
      </c>
      <c r="E24" s="381" t="s">
        <v>162</v>
      </c>
      <c r="F24" s="382"/>
      <c r="G24" s="382"/>
      <c r="H24" s="383"/>
      <c r="I24" s="38"/>
      <c r="J24" s="61" t="str">
        <f>IF(개별기초자료!E9="유치원교사","원감휴대전화","교감휴대전화")</f>
        <v>교감휴대전화</v>
      </c>
      <c r="K24" s="388" t="s">
        <v>544</v>
      </c>
      <c r="L24" s="389"/>
      <c r="M24" s="389"/>
      <c r="N24" s="390"/>
      <c r="O24" s="37"/>
      <c r="P24" s="420"/>
      <c r="Q24" s="421"/>
      <c r="R24" s="422"/>
      <c r="S24" s="295"/>
      <c r="T24" s="338"/>
      <c r="U24" s="334"/>
      <c r="V24" s="334"/>
      <c r="W24" s="334"/>
      <c r="X24" s="330"/>
      <c r="Y24" s="305"/>
      <c r="Z24" s="305"/>
      <c r="AC24" s="31"/>
    </row>
    <row r="25" spans="2:29" ht="22.5" customHeight="1" x14ac:dyDescent="0.15">
      <c r="B25" s="187"/>
      <c r="C25" s="241"/>
      <c r="D25" s="241"/>
      <c r="E25" s="242"/>
      <c r="F25" s="242"/>
      <c r="G25" s="242"/>
      <c r="H25" s="242"/>
      <c r="I25" s="38"/>
      <c r="J25" s="399" t="str">
        <f>IF(H26=TRUE,"⑥ 신설, 폐교, 학급감축 등으로 의사와 반한 전보","⑥ 해당없음(본인의사에 반한 임지변경만 해당)")</f>
        <v>⑥ 해당없음(본인의사에 반한 임지변경만 해당)</v>
      </c>
      <c r="K25" s="400"/>
      <c r="L25" s="400"/>
      <c r="M25" s="400"/>
      <c r="N25" s="401"/>
      <c r="O25" s="37"/>
      <c r="P25" s="57"/>
      <c r="Q25" s="58"/>
      <c r="R25" s="59"/>
      <c r="S25" s="295"/>
      <c r="W25" s="335"/>
      <c r="X25" s="331"/>
      <c r="AC25" s="31"/>
    </row>
    <row r="26" spans="2:29" ht="18.75" customHeight="1" x14ac:dyDescent="0.15">
      <c r="B26" s="188"/>
      <c r="C26" s="186"/>
      <c r="D26" s="186" t="b">
        <v>0</v>
      </c>
      <c r="E26" s="64" t="b">
        <v>0</v>
      </c>
      <c r="F26" s="64" t="b">
        <v>0</v>
      </c>
      <c r="G26" s="64" t="b">
        <v>0</v>
      </c>
      <c r="H26" s="64" t="b">
        <v>0</v>
      </c>
      <c r="I26" s="38"/>
      <c r="J26" s="39" t="s">
        <v>520</v>
      </c>
      <c r="K26" s="402" t="s">
        <v>30</v>
      </c>
      <c r="L26" s="403"/>
      <c r="M26" s="403" t="s">
        <v>370</v>
      </c>
      <c r="N26" s="403"/>
      <c r="O26" s="37"/>
      <c r="P26" s="57"/>
      <c r="Q26" s="58"/>
      <c r="R26" s="59"/>
      <c r="S26" s="295"/>
      <c r="W26" s="335"/>
      <c r="X26" s="331"/>
      <c r="Z26" s="305"/>
      <c r="AC26" s="31"/>
    </row>
    <row r="27" spans="2:29" ht="24" customHeight="1" x14ac:dyDescent="0.15">
      <c r="B27" s="187"/>
      <c r="C27" s="243"/>
      <c r="D27" s="243"/>
      <c r="E27" s="243"/>
      <c r="F27" s="243"/>
      <c r="G27" s="243"/>
      <c r="H27" s="243"/>
      <c r="I27" s="38"/>
      <c r="J27" s="321"/>
      <c r="K27" s="410"/>
      <c r="L27" s="411"/>
      <c r="M27" s="412">
        <f>IFERROR(IF(K27="",0,VALUE(DATEDIF(K27,E14+1,"y")&amp;"."&amp;TEXT(DATEDIF(K27,E14+1,"ym"),"00"))),"0")</f>
        <v>0</v>
      </c>
      <c r="N27" s="412"/>
      <c r="O27" s="37"/>
      <c r="P27" s="52"/>
      <c r="Q27" s="51"/>
      <c r="R27" s="53"/>
      <c r="S27" s="295"/>
      <c r="W27" s="339"/>
      <c r="X27" s="331"/>
      <c r="Z27" s="305"/>
      <c r="AC27" s="31"/>
    </row>
    <row r="28" spans="2:29" ht="19.5" customHeight="1" x14ac:dyDescent="0.15">
      <c r="B28" s="187"/>
      <c r="C28" s="409" t="s">
        <v>564</v>
      </c>
      <c r="D28" s="409"/>
      <c r="E28" s="404" t="s">
        <v>536</v>
      </c>
      <c r="F28" s="405"/>
      <c r="G28" s="405"/>
      <c r="H28" s="405"/>
      <c r="I28" s="405"/>
      <c r="J28" s="405"/>
      <c r="K28" s="405"/>
      <c r="L28" s="405"/>
      <c r="M28" s="405"/>
      <c r="N28" s="405"/>
      <c r="O28" s="37"/>
      <c r="P28" s="52"/>
      <c r="Q28" s="51"/>
      <c r="R28" s="53"/>
      <c r="S28" s="295"/>
      <c r="W28" s="334"/>
      <c r="X28" s="330"/>
      <c r="Y28" s="305"/>
      <c r="Z28" s="305"/>
    </row>
    <row r="29" spans="2:29" ht="19.5" customHeight="1" x14ac:dyDescent="0.15">
      <c r="B29" s="187"/>
      <c r="C29" s="409" t="s">
        <v>585</v>
      </c>
      <c r="D29" s="409"/>
      <c r="E29" s="413" t="s">
        <v>604</v>
      </c>
      <c r="F29" s="413"/>
      <c r="G29" s="413"/>
      <c r="H29" s="413"/>
      <c r="I29" s="413"/>
      <c r="J29" s="413"/>
      <c r="K29" s="413"/>
      <c r="L29" s="413"/>
      <c r="M29" s="413"/>
      <c r="N29" s="413"/>
      <c r="O29" s="37"/>
      <c r="P29" s="52"/>
      <c r="Q29" s="51"/>
      <c r="R29" s="53"/>
      <c r="S29" s="295"/>
    </row>
    <row r="30" spans="2:29" ht="19.5" customHeight="1" x14ac:dyDescent="0.15">
      <c r="B30" s="187"/>
      <c r="C30" s="409" t="s">
        <v>553</v>
      </c>
      <c r="D30" s="409"/>
      <c r="E30" s="387" t="s">
        <v>605</v>
      </c>
      <c r="F30" s="394"/>
      <c r="G30" s="394"/>
      <c r="H30" s="394"/>
      <c r="I30" s="394"/>
      <c r="J30" s="394"/>
      <c r="K30" s="394"/>
      <c r="L30" s="394"/>
      <c r="M30" s="394"/>
      <c r="N30" s="395"/>
      <c r="O30" s="37"/>
      <c r="P30" s="54"/>
      <c r="Q30" s="55"/>
      <c r="R30" s="56"/>
      <c r="S30" s="295"/>
    </row>
    <row r="31" spans="2:29" ht="4.5" customHeight="1" x14ac:dyDescent="0.15">
      <c r="B31" s="18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295"/>
    </row>
  </sheetData>
  <sheetProtection password="DA8F" sheet="1" objects="1" scenarios="1" selectLockedCells="1"/>
  <mergeCells count="64">
    <mergeCell ref="L2:N2"/>
    <mergeCell ref="C8:D8"/>
    <mergeCell ref="E19:H19"/>
    <mergeCell ref="E20:H20"/>
    <mergeCell ref="E18:H18"/>
    <mergeCell ref="C19:D19"/>
    <mergeCell ref="C20:D20"/>
    <mergeCell ref="E14:H14"/>
    <mergeCell ref="C17:D17"/>
    <mergeCell ref="E17:H17"/>
    <mergeCell ref="E15:H15"/>
    <mergeCell ref="C18:D18"/>
    <mergeCell ref="C6:H6"/>
    <mergeCell ref="C11:C12"/>
    <mergeCell ref="C9:D9"/>
    <mergeCell ref="E10:G10"/>
    <mergeCell ref="C28:D28"/>
    <mergeCell ref="P5:R19"/>
    <mergeCell ref="J6:N6"/>
    <mergeCell ref="K8:M8"/>
    <mergeCell ref="L19:N19"/>
    <mergeCell ref="L20:N20"/>
    <mergeCell ref="K9:M9"/>
    <mergeCell ref="K12:M12"/>
    <mergeCell ref="K14:M14"/>
    <mergeCell ref="K15:M15"/>
    <mergeCell ref="L17:N17"/>
    <mergeCell ref="J16:N16"/>
    <mergeCell ref="L18:N18"/>
    <mergeCell ref="C10:D10"/>
    <mergeCell ref="C13:C16"/>
    <mergeCell ref="E29:N29"/>
    <mergeCell ref="P22:R24"/>
    <mergeCell ref="P20:R21"/>
    <mergeCell ref="K22:N22"/>
    <mergeCell ref="K24:N24"/>
    <mergeCell ref="E30:N30"/>
    <mergeCell ref="J21:N21"/>
    <mergeCell ref="J25:N25"/>
    <mergeCell ref="K26:L26"/>
    <mergeCell ref="M26:N26"/>
    <mergeCell ref="E24:H24"/>
    <mergeCell ref="C21:H21"/>
    <mergeCell ref="E28:N28"/>
    <mergeCell ref="C22:C24"/>
    <mergeCell ref="C30:D30"/>
    <mergeCell ref="K27:L27"/>
    <mergeCell ref="M27:N27"/>
    <mergeCell ref="E22:H22"/>
    <mergeCell ref="E23:H23"/>
    <mergeCell ref="K23:N23"/>
    <mergeCell ref="C29:D29"/>
    <mergeCell ref="E16:H16"/>
    <mergeCell ref="F4:N4"/>
    <mergeCell ref="P4:R4"/>
    <mergeCell ref="E13:G13"/>
    <mergeCell ref="K13:M13"/>
    <mergeCell ref="K10:M10"/>
    <mergeCell ref="K11:M11"/>
    <mergeCell ref="E8:H8"/>
    <mergeCell ref="E9:H9"/>
    <mergeCell ref="E11:H11"/>
    <mergeCell ref="E12:H12"/>
    <mergeCell ref="C4:E4"/>
  </mergeCells>
  <phoneticPr fontId="81" type="noConversion"/>
  <conditionalFormatting sqref="D24">
    <cfRule type="expression" dxfId="105" priority="21" stopIfTrue="1">
      <formula>E18="일반"</formula>
    </cfRule>
    <cfRule type="expression" dxfId="104" priority="20" stopIfTrue="1">
      <formula>$E$18&lt;&gt;"일반"</formula>
    </cfRule>
    <cfRule type="expression" dxfId="103" priority="15" stopIfTrue="1">
      <formula>$E$18="비정기"</formula>
    </cfRule>
  </conditionalFormatting>
  <conditionalFormatting sqref="P25:R26">
    <cfRule type="containsText" dxfId="102" priority="13" stopIfTrue="1" operator="containsText" text=" ">
      <formula>NOT(ISERROR(SEARCH(" ",P25)))</formula>
    </cfRule>
  </conditionalFormatting>
  <conditionalFormatting sqref="P22">
    <cfRule type="expression" dxfId="101" priority="12">
      <formula>P22="정상 입력 완료!"</formula>
    </cfRule>
  </conditionalFormatting>
  <conditionalFormatting sqref="D23">
    <cfRule type="expression" dxfId="100" priority="19" stopIfTrue="1">
      <formula>$E$18="비정기"</formula>
    </cfRule>
    <cfRule type="expression" dxfId="99" priority="18" stopIfTrue="1">
      <formula>$E$18&lt;&gt;"비정기"</formula>
    </cfRule>
  </conditionalFormatting>
  <conditionalFormatting sqref="D22">
    <cfRule type="expression" dxfId="98" priority="9" stopIfTrue="1">
      <formula>$E$18&lt;&gt;"비정기"</formula>
    </cfRule>
    <cfRule type="expression" dxfId="97" priority="8" stopIfTrue="1">
      <formula>E18="비정기"</formula>
    </cfRule>
  </conditionalFormatting>
  <conditionalFormatting sqref="L19:N20">
    <cfRule type="expression" dxfId="96" priority="24" stopIfTrue="1">
      <formula>$H$13&lt;&gt;"갑"</formula>
    </cfRule>
    <cfRule type="expression" dxfId="95" priority="10">
      <formula>$H$13="갑"</formula>
    </cfRule>
  </conditionalFormatting>
  <conditionalFormatting sqref="L18:N18">
    <cfRule type="expression" dxfId="94" priority="4" stopIfTrue="1">
      <formula>$H$13&lt;&gt;"갑"</formula>
    </cfRule>
    <cfRule type="expression" dxfId="93" priority="3">
      <formula>$H$13="갑"</formula>
    </cfRule>
  </conditionalFormatting>
  <conditionalFormatting sqref="E16:H16">
    <cfRule type="expression" dxfId="92" priority="2">
      <formula>$E$16&gt;5</formula>
    </cfRule>
  </conditionalFormatting>
  <dataValidations xWindow="434" yWindow="378" count="16">
    <dataValidation type="list" allowBlank="1" showInputMessage="1" showErrorMessage="1" sqref="J27" xr:uid="{00000000-0002-0000-0100-000000000000}">
      <formula1>IF(OR($E$9="유치원교사",$E$9="유치원특수교사",$E$9="원감"),유치원,학교선택)</formula1>
    </dataValidation>
    <dataValidation allowBlank="1" showErrorMessage="1" promptTitle="입력형식" prompt="▼목록에서 선택하세요" sqref="E18:H18" xr:uid="{00000000-0002-0000-0100-000001000000}"/>
    <dataValidation allowBlank="1" showErrorMessage="1" promptTitle="입력형식" prompt="▼목록에서 선택" sqref="E9:H9" xr:uid="{00000000-0002-0000-0100-000002000000}"/>
    <dataValidation type="custom" allowBlank="1" showInputMessage="1" showErrorMessage="1" errorTitle="입력안내" error="주민등록번호에 '-'를 빼고 숫자로만 입력하세요!!!!" promptTitle="입력형식" prompt="'-'없이 숫자만 입력하세요" sqref="E10" xr:uid="{00000000-0002-0000-0100-000003000000}">
      <formula1>ISNUMBER(E10)</formula1>
    </dataValidation>
    <dataValidation allowBlank="1" showInputMessage="1" showErrorMessage="1" errorTitle="입력안내" error="날짜 입력 형식을 '0000-00-00'형식으로 맞춰 주세요!!!" promptTitle="입력형식" prompt="날짜_x000a_2000-03-01_x000a_형식으로 입력" sqref="E14:H14" xr:uid="{00000000-0002-0000-0100-000004000000}"/>
    <dataValidation type="list" allowBlank="1" showInputMessage="1" showErrorMessage="1" sqref="E22:H24" xr:uid="{00000000-0002-0000-0100-000005000000}">
      <formula1>IF(OR($E$9="유치원교사",$E$9="유치원특수교사",$E$9="원감"),유치원희망교,희망교)</formula1>
    </dataValidation>
    <dataValidation allowBlank="1" showErrorMessage="1" sqref="E8:H8" xr:uid="{00000000-0002-0000-0100-000006000000}"/>
    <dataValidation type="list" allowBlank="1" showErrorMessage="1" promptTitle="입력형식" prompt="▼목록에서 선택하세요" sqref="E13:G13" xr:uid="{00000000-0002-0000-0100-000007000000}">
      <formula1>IF(OR($E$9="유치원교사",$E$9="유치원특수교사",$E$9="원감"),유치원,학교선택)</formula1>
    </dataValidation>
    <dataValidation allowBlank="1" showErrorMessage="1" promptTitle="입력형식" prompt="OO시 OO구 OO동" sqref="E17:H17" xr:uid="{00000000-0002-0000-0100-000008000000}"/>
    <dataValidation type="custom" allowBlank="1" showInputMessage="1" showErrorMessage="1" errorTitle="입력안내" error="실근무년수를 00.00 으로 숫자로만 입력하세요._x000a_예) 1년 6개월 : 01.06" sqref="L18:N18" xr:uid="{00000000-0002-0000-0100-000009000000}">
      <formula1>ISNUMBER(L18)</formula1>
    </dataValidation>
    <dataValidation type="custom" allowBlank="1" showInputMessage="1" showErrorMessage="1" errorTitle="입력안내" error="실근무년수를 00.00 으로 숫자로만 입력하세요._x000a_            예) 1년 6개월 : 01.06" sqref="L19:N20" xr:uid="{00000000-0002-0000-0100-00000A000000}">
      <formula1>ISNUMBER(L19)</formula1>
    </dataValidation>
    <dataValidation allowBlank="1" showInputMessage="1" showErrorMessage="1" errorTitle="입력안내" error="날짜 입력 형식을 '0000-00-00'형식으로 맞춰 주세요!!!" sqref="K27:L27" xr:uid="{00000000-0002-0000-0100-00000B000000}"/>
    <dataValidation allowBlank="1" showInputMessage="1" showErrorMessage="1" errorTitle="입력안내" error="주민등록번호에 '-'를 빼고 숫자로만 입력하세요!!!!" promptTitle="입력형식" prompt="'-'없이 숫자만 입력하세요" sqref="H10" xr:uid="{00000000-0002-0000-0100-00000C000000}"/>
    <dataValidation type="list" operator="equal" allowBlank="1" showInputMessage="1" showErrorMessage="1" sqref="K18" xr:uid="{00000000-0002-0000-0100-00000D000000}">
      <formula1>IF(OR($E$9="유치원교사",$E$9="유치원특수교사",$E$9="원감"),유치원희망교,희망교)</formula1>
    </dataValidation>
    <dataValidation type="list" operator="equal" allowBlank="1" showInputMessage="1" showErrorMessage="1" sqref="K19" xr:uid="{00000000-0002-0000-0100-00000E000000}">
      <formula1>IF(OR($E$9="유치원교사",$E$9="유치원특수교사",$E$9="원감"),유치원희망교,희망교)</formula1>
    </dataValidation>
    <dataValidation type="list" operator="equal" allowBlank="1" showInputMessage="1" showErrorMessage="1" sqref="K20" xr:uid="{00000000-0002-0000-0100-00000F000000}">
      <formula1>IF(OR($E$9="유치원교사",$E$9="유치원특수교사",$E$9="원감"),유치원희망교,희망교)</formula1>
    </dataValidation>
  </dataValidations>
  <printOptions horizontalCentered="1" verticalCentered="1"/>
  <pageMargins left="0.7086111307144165" right="0.7086111307144165" top="0.74750000238418579" bottom="0.74750000238418579" header="0.31486111879348755" footer="0.31486111879348755"/>
  <pageSetup paperSize="9" scale="94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261" r:id="rId3" name="Check Box 2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25</xdr:row>
                    <xdr:rowOff>161925</xdr:rowOff>
                  </from>
                  <to>
                    <xdr:col>3</xdr:col>
                    <xdr:colOff>495300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" name="Check Box 3">
              <controlPr defaultSize="0" autoFill="0" autoLine="0" autoPict="0">
                <anchor moveWithCells="1" sizeWithCells="1">
                  <from>
                    <xdr:col>3</xdr:col>
                    <xdr:colOff>733425</xdr:colOff>
                    <xdr:row>24</xdr:row>
                    <xdr:rowOff>209550</xdr:rowOff>
                  </from>
                  <to>
                    <xdr:col>5</xdr:col>
                    <xdr:colOff>171450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5" name="Check Box 4">
              <controlPr defaultSize="0" autoFill="0" autoLine="0" autoPict="0">
                <anchor moveWithCells="1" sizeWithCells="1">
                  <from>
                    <xdr:col>5</xdr:col>
                    <xdr:colOff>266700</xdr:colOff>
                    <xdr:row>24</xdr:row>
                    <xdr:rowOff>219075</xdr:rowOff>
                  </from>
                  <to>
                    <xdr:col>7</xdr:col>
                    <xdr:colOff>409575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6" name="Check Box 148">
              <controlPr defaultSize="0" autoFill="0" autoLine="0" autoPict="0">
                <anchor moveWithCells="1" sizeWithCells="1">
                  <from>
                    <xdr:col>3</xdr:col>
                    <xdr:colOff>733425</xdr:colOff>
                    <xdr:row>25</xdr:row>
                    <xdr:rowOff>180975</xdr:rowOff>
                  </from>
                  <to>
                    <xdr:col>6</xdr:col>
                    <xdr:colOff>38100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7" name="콤보 상자 149">
              <controlPr defaultSize="0" autoLine="0" autoPict="0">
                <anchor moveWithCells="1" sizeWithCells="1">
                  <from>
                    <xdr:col>4</xdr:col>
                    <xdr:colOff>9525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8" name="콤보 상자 6">
              <controlPr defaultSize="0" autoLine="0" autoPict="0">
                <anchor moveWithCells="1" sizeWithCells="1">
                  <from>
                    <xdr:col>4</xdr:col>
                    <xdr:colOff>9525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9" name="콤보 상자 8">
              <controlPr defaultSize="0" autoLine="0" autoPict="0">
                <anchor moveWithCells="1" sizeWithCells="1">
                  <from>
                    <xdr:col>4</xdr:col>
                    <xdr:colOff>9525</xdr:colOff>
                    <xdr:row>16</xdr:row>
                    <xdr:rowOff>219075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0" name="선택 상자 10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24</xdr:row>
                    <xdr:rowOff>209550</xdr:rowOff>
                  </from>
                  <to>
                    <xdr:col>3</xdr:col>
                    <xdr:colOff>609600</xdr:colOff>
                    <xdr:row>25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U81"/>
  <sheetViews>
    <sheetView showGridLines="0" zoomScale="115" zoomScaleNormal="115" zoomScaleSheetLayoutView="75" workbookViewId="0">
      <selection activeCell="E53" sqref="E53:F53"/>
    </sheetView>
  </sheetViews>
  <sheetFormatPr defaultColWidth="8.88671875" defaultRowHeight="13.5" x14ac:dyDescent="0.15"/>
  <cols>
    <col min="1" max="1" width="2" style="36" customWidth="1"/>
    <col min="2" max="2" width="4.44140625" style="33" customWidth="1"/>
    <col min="3" max="3" width="15.88671875" style="33" customWidth="1"/>
    <col min="4" max="4" width="11.77734375" style="33" customWidth="1"/>
    <col min="5" max="5" width="4.88671875" style="33" customWidth="1"/>
    <col min="6" max="6" width="6.33203125" style="33" customWidth="1"/>
    <col min="7" max="7" width="1.6640625" style="33" customWidth="1"/>
    <col min="8" max="10" width="3.21875" style="33" customWidth="1"/>
    <col min="11" max="11" width="3.5546875" style="33" customWidth="1"/>
    <col min="12" max="12" width="5.6640625" style="33" customWidth="1"/>
    <col min="13" max="13" width="7.109375" style="33" customWidth="1"/>
    <col min="14" max="14" width="3.77734375" style="33" customWidth="1"/>
    <col min="15" max="15" width="12.109375" style="33" customWidth="1"/>
    <col min="16" max="16" width="12.109375" style="33" hidden="1" customWidth="1"/>
    <col min="17" max="17" width="13.77734375" style="259" customWidth="1"/>
    <col min="18" max="18" width="4.33203125" style="260" customWidth="1"/>
    <col min="19" max="19" width="8.88671875" style="257" customWidth="1"/>
    <col min="20" max="20" width="11.44140625" style="33" bestFit="1" customWidth="1"/>
    <col min="21" max="16384" width="8.88671875" style="33"/>
  </cols>
  <sheetData>
    <row r="1" spans="1:20" ht="3.75" customHeight="1" x14ac:dyDescent="0.15"/>
    <row r="2" spans="1:20" ht="12" customHeight="1" x14ac:dyDescent="0.15"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5"/>
      <c r="P2" s="151"/>
      <c r="Q2" s="261"/>
      <c r="R2" s="262"/>
      <c r="S2" s="258"/>
    </row>
    <row r="3" spans="1:20" ht="27.75" customHeight="1" x14ac:dyDescent="0.15">
      <c r="B3" s="496" t="s">
        <v>570</v>
      </c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8"/>
      <c r="P3" s="152"/>
      <c r="Q3" s="261"/>
      <c r="R3" s="262"/>
      <c r="S3" s="258"/>
      <c r="T3" s="68"/>
    </row>
    <row r="4" spans="1:20" ht="21.75" customHeight="1" x14ac:dyDescent="0.15">
      <c r="B4" s="499" t="s">
        <v>486</v>
      </c>
      <c r="C4" s="500"/>
      <c r="D4" s="63" t="s">
        <v>138</v>
      </c>
      <c r="E4" s="501" t="str">
        <f>개별기초자료!E8&amp;"  (인)"</f>
        <v>나교사  (인)</v>
      </c>
      <c r="F4" s="502"/>
      <c r="G4" s="502"/>
      <c r="H4" s="503"/>
      <c r="I4" s="594" t="s">
        <v>28</v>
      </c>
      <c r="J4" s="595"/>
      <c r="K4" s="595"/>
      <c r="L4" s="595"/>
      <c r="M4" s="504">
        <f>개별기초자료!E10</f>
        <v>7210011234561</v>
      </c>
      <c r="N4" s="505"/>
      <c r="O4" s="506"/>
      <c r="P4" s="153"/>
      <c r="Q4" s="261"/>
      <c r="R4" s="262"/>
      <c r="S4" s="258"/>
    </row>
    <row r="5" spans="1:20" ht="6.75" customHeight="1" x14ac:dyDescent="0.15">
      <c r="B5" s="507" t="s">
        <v>320</v>
      </c>
      <c r="C5" s="508"/>
      <c r="D5" s="511" t="str">
        <f>IF(개별기초자료!E13="대남초풍도분교","대남초등학교 풍도분교",IF(OR(개별기초자료!E9="유치원교사",개별기초자료!E9="원감"),개별기초자료!E13,개별기초자료!E13&amp;"등학교"))</f>
        <v>안산양지초등학교</v>
      </c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3"/>
      <c r="P5" s="154"/>
      <c r="Q5" s="261"/>
      <c r="R5" s="262"/>
      <c r="S5" s="258"/>
    </row>
    <row r="6" spans="1:20" ht="15" customHeight="1" x14ac:dyDescent="0.15">
      <c r="B6" s="509"/>
      <c r="C6" s="510"/>
      <c r="D6" s="514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6"/>
      <c r="P6" s="154"/>
      <c r="Q6" s="261"/>
      <c r="R6" s="262"/>
      <c r="S6" s="258"/>
    </row>
    <row r="7" spans="1:20" ht="14.25" customHeight="1" x14ac:dyDescent="0.15">
      <c r="B7" s="517" t="s">
        <v>395</v>
      </c>
      <c r="C7" s="591" t="s">
        <v>143</v>
      </c>
      <c r="D7" s="594" t="s">
        <v>598</v>
      </c>
      <c r="E7" s="595"/>
      <c r="F7" s="500"/>
      <c r="G7" s="523" t="s">
        <v>580</v>
      </c>
      <c r="H7" s="576"/>
      <c r="I7" s="576"/>
      <c r="J7" s="576"/>
      <c r="K7" s="508"/>
      <c r="L7" s="532" t="s">
        <v>93</v>
      </c>
      <c r="M7" s="523" t="s">
        <v>476</v>
      </c>
      <c r="N7" s="576"/>
      <c r="O7" s="596"/>
      <c r="P7" s="93"/>
      <c r="Q7" s="261"/>
      <c r="R7" s="262"/>
      <c r="S7" s="327"/>
    </row>
    <row r="8" spans="1:20" ht="12" customHeight="1" x14ac:dyDescent="0.15">
      <c r="B8" s="518"/>
      <c r="C8" s="592"/>
      <c r="D8" s="92" t="s">
        <v>517</v>
      </c>
      <c r="E8" s="523" t="s">
        <v>522</v>
      </c>
      <c r="F8" s="508"/>
      <c r="G8" s="597"/>
      <c r="H8" s="598"/>
      <c r="I8" s="598"/>
      <c r="J8" s="598"/>
      <c r="K8" s="601"/>
      <c r="L8" s="533"/>
      <c r="M8" s="597"/>
      <c r="N8" s="598"/>
      <c r="O8" s="599"/>
      <c r="P8" s="93"/>
      <c r="Q8" s="261"/>
      <c r="R8" s="262"/>
      <c r="S8" s="258"/>
    </row>
    <row r="9" spans="1:20" ht="12" customHeight="1" x14ac:dyDescent="0.15">
      <c r="B9" s="518"/>
      <c r="C9" s="593"/>
      <c r="D9" s="266" t="s">
        <v>593</v>
      </c>
      <c r="E9" s="524" t="s">
        <v>593</v>
      </c>
      <c r="F9" s="525"/>
      <c r="G9" s="597"/>
      <c r="H9" s="598"/>
      <c r="I9" s="598"/>
      <c r="J9" s="598"/>
      <c r="K9" s="601"/>
      <c r="L9" s="534"/>
      <c r="M9" s="577"/>
      <c r="N9" s="578"/>
      <c r="O9" s="600"/>
      <c r="P9" s="93"/>
      <c r="Q9" s="261"/>
      <c r="R9" s="262"/>
      <c r="S9" s="258"/>
    </row>
    <row r="10" spans="1:20" ht="17.25" customHeight="1" x14ac:dyDescent="0.15">
      <c r="A10" s="255">
        <v>5</v>
      </c>
      <c r="B10" s="518"/>
      <c r="C10" s="535" t="s">
        <v>205</v>
      </c>
      <c r="D10" s="308"/>
      <c r="E10" s="487"/>
      <c r="F10" s="487"/>
      <c r="G10" s="483" t="str">
        <f t="shared" ref="G10:G38" si="0">IFERROR(INT((DATEDIF(D10,E10+1,"m")+N(DATEDIF(D10,E10+1,"md")&gt;=15))/12)&amp;"."&amp;TEXT(MOD(DATEDIF(D10,E10+1,"m")+N(DATEDIF(D10,E10+1,"md")&gt;=15),12),"00"),"")</f>
        <v>0.00</v>
      </c>
      <c r="H10" s="483"/>
      <c r="I10" s="483"/>
      <c r="J10" s="483"/>
      <c r="K10" s="483"/>
      <c r="L10" s="289">
        <f>IFERROR(IF(개별기초자료!$E$13="",0,IF(D10="",0,IF(AND(YEAR(D10)&gt;2017,AND(VALUE(G10)&gt;0.05,VALUE(G10)&lt;1)),0.02,IF(AND(YEAR(D10)&gt;=2017,VALUE(G10)&gt;=1),INT(G10)/100*VLOOKUP(개별기초자료!$E$13,조견표!$A$5:$S$112,18,0),INT(G10)/100*VLOOKUP(개별기초자료!$E$13,조견표!$A$5:$S$112,17,0))))),"")</f>
        <v>0</v>
      </c>
      <c r="M10" s="480" t="s">
        <v>621</v>
      </c>
      <c r="N10" s="481"/>
      <c r="O10" s="482"/>
      <c r="P10" s="155"/>
      <c r="Q10" s="261" t="str">
        <f>IFERROR(IF(OR(D10="",VALUE(G10)&gt;1),"",IF(YEAR(D10)&lt;2007,"&lt;-오류(2007이후만 해당)","")),"기간 입력 오류")</f>
        <v/>
      </c>
      <c r="R10" s="262"/>
      <c r="S10" s="326"/>
    </row>
    <row r="11" spans="1:20" ht="17.25" customHeight="1" x14ac:dyDescent="0.15">
      <c r="B11" s="518"/>
      <c r="C11" s="530"/>
      <c r="D11" s="308"/>
      <c r="E11" s="487"/>
      <c r="F11" s="487"/>
      <c r="G11" s="483" t="str">
        <f t="shared" si="0"/>
        <v>0.00</v>
      </c>
      <c r="H11" s="483"/>
      <c r="I11" s="483"/>
      <c r="J11" s="483"/>
      <c r="K11" s="483"/>
      <c r="L11" s="289">
        <f>IFERROR(IF(개별기초자료!$E$13="",0,IF(D11="",0,IF(AND(YEAR(D11)&gt;2017,AND(VALUE(G11)&gt;0.05,VALUE(G11)&lt;1)),0.02,IF(AND(YEAR(D11)&gt;=2017,VALUE(G11)&gt;=1),INT(G11)/100*VLOOKUP(개별기초자료!$E$13,조견표!$A$5:$S$112,18,0),INT(G11)/100*VLOOKUP(개별기초자료!$E$13,조견표!$A$5:$S$112,17,0))))),"")</f>
        <v>0</v>
      </c>
      <c r="M11" s="480"/>
      <c r="N11" s="481"/>
      <c r="O11" s="482"/>
      <c r="P11" s="155"/>
      <c r="Q11" s="261" t="str">
        <f t="shared" ref="Q11:Q12" si="1">IFERROR(IF(OR(D11="",VALUE(G11)&gt;1),"",IF(YEAR(D11)&lt;2007,"&lt;-오류(2007이후만 해당)","")),"기간 입력 오류")</f>
        <v/>
      </c>
      <c r="R11" s="262"/>
      <c r="S11" s="258"/>
    </row>
    <row r="12" spans="1:20" ht="17.25" customHeight="1" x14ac:dyDescent="0.15">
      <c r="B12" s="518"/>
      <c r="C12" s="530"/>
      <c r="D12" s="308"/>
      <c r="E12" s="487"/>
      <c r="F12" s="487"/>
      <c r="G12" s="483" t="str">
        <f t="shared" si="0"/>
        <v>0.00</v>
      </c>
      <c r="H12" s="483"/>
      <c r="I12" s="483"/>
      <c r="J12" s="483"/>
      <c r="K12" s="483"/>
      <c r="L12" s="289">
        <f>IFERROR(IF(개별기초자료!$E$13="",0,IF(D12="",0,IF(AND(YEAR(D12)&gt;2017,AND(VALUE(G12)&gt;0.05,VALUE(G12)&lt;1)),0.02,IF(AND(YEAR(D12)&gt;=2017,VALUE(G12)&gt;=1),INT(G12)/100*VLOOKUP(개별기초자료!$E$13,조견표!$A$5:$S$112,18,0),INT(G12)/100*VLOOKUP(개별기초자료!$E$13,조견표!$A$5:$S$112,17,0))))),"")</f>
        <v>0</v>
      </c>
      <c r="M12" s="480"/>
      <c r="N12" s="481"/>
      <c r="O12" s="482"/>
      <c r="P12" s="155"/>
      <c r="Q12" s="261" t="str">
        <f t="shared" si="1"/>
        <v/>
      </c>
      <c r="R12" s="262"/>
      <c r="S12" s="258"/>
    </row>
    <row r="13" spans="1:20" ht="18" customHeight="1" x14ac:dyDescent="0.15">
      <c r="B13" s="518"/>
      <c r="C13" s="530"/>
      <c r="D13" s="308"/>
      <c r="E13" s="487"/>
      <c r="F13" s="487"/>
      <c r="G13" s="483" t="str">
        <f t="shared" si="0"/>
        <v>0.00</v>
      </c>
      <c r="H13" s="483"/>
      <c r="I13" s="483"/>
      <c r="J13" s="483"/>
      <c r="K13" s="483"/>
      <c r="L13" s="289">
        <f>IFERROR(IF(개별기초자료!$E$13="",0,IF(D13="",0,IF(AND(YEAR(D13)&gt;2017,AND(VALUE(G13)&gt;0.05,VALUE(G13)&lt;1)),0.02,IF(AND(YEAR(D13)&gt;=2017,VALUE(G13)&gt;=1),INT(G13)/100*VLOOKUP(개별기초자료!$E$13,조견표!$A$5:$S$112,18,0),INT(G13)/100*VLOOKUP(개별기초자료!$E$13,조견표!$A$5:$S$112,17,0))))),"")</f>
        <v>0</v>
      </c>
      <c r="M13" s="480"/>
      <c r="N13" s="481"/>
      <c r="O13" s="482"/>
      <c r="P13" s="155"/>
      <c r="Q13" s="261" t="str">
        <f t="shared" ref="Q13:Q14" si="2">IFERROR(IF(OR(D13="",VALUE(G13)&gt;1),"",IF(YEAR(D13)&lt;2007,"&lt;-오류(2007이후만 해당)","")),"기간 입력 오류")</f>
        <v/>
      </c>
      <c r="R13" s="262"/>
      <c r="S13" s="258"/>
    </row>
    <row r="14" spans="1:20" ht="17.25" customHeight="1" x14ac:dyDescent="0.15">
      <c r="B14" s="518"/>
      <c r="C14" s="531"/>
      <c r="D14" s="308"/>
      <c r="E14" s="487"/>
      <c r="F14" s="487"/>
      <c r="G14" s="483" t="str">
        <f t="shared" si="0"/>
        <v>0.00</v>
      </c>
      <c r="H14" s="483"/>
      <c r="I14" s="483"/>
      <c r="J14" s="483"/>
      <c r="K14" s="483"/>
      <c r="L14" s="289">
        <f>IFERROR(IF(개별기초자료!$E$13="",0,IF(D14="",0,IF(AND(YEAR(D14)&gt;2017,AND(VALUE(G14)&gt;0.05,VALUE(G14)&lt;1)),0.02,IF(AND(YEAR(D14)&gt;=2017,VALUE(G14)&gt;=1),INT(G14)/100*VLOOKUP(개별기초자료!$E$13,조견표!$A$5:$S$112,18,0),INT(G14)/100*VLOOKUP(개별기초자료!$E$13,조견표!$A$5:$S$112,17,0))))),"")</f>
        <v>0</v>
      </c>
      <c r="M14" s="480"/>
      <c r="N14" s="481"/>
      <c r="O14" s="482"/>
      <c r="P14" s="155"/>
      <c r="Q14" s="261" t="str">
        <f t="shared" si="2"/>
        <v/>
      </c>
      <c r="R14" s="262" t="str">
        <f t="shared" ref="R14:R38" si="3">+IF(E14=0,"",IF(MOD(YEAR(E14),4)=0,"◀ 윤년!!",""))</f>
        <v/>
      </c>
      <c r="S14" s="258"/>
    </row>
    <row r="15" spans="1:20" ht="17.25" hidden="1" customHeight="1" x14ac:dyDescent="0.15">
      <c r="B15" s="518"/>
      <c r="C15" s="290"/>
      <c r="D15" s="308"/>
      <c r="E15" s="487"/>
      <c r="F15" s="487"/>
      <c r="G15" s="605">
        <f>INT(SUM(L10:L14)*100/12)+MOD(SUM(L10:L14)*100/12,1)*12/100</f>
        <v>0</v>
      </c>
      <c r="H15" s="605"/>
      <c r="I15" s="605"/>
      <c r="J15" s="605"/>
      <c r="K15" s="605"/>
      <c r="L15" s="291">
        <f>INT(SUM(L10:L14)*100/12)+MOD(SUM(L10:L14)*100/12,1)*12/100</f>
        <v>0</v>
      </c>
      <c r="M15" s="490"/>
      <c r="N15" s="491"/>
      <c r="O15" s="492"/>
      <c r="P15" s="155"/>
      <c r="Q15" s="261" t="str">
        <f>IF(D15="","",IF(YEAR(D15)&lt;2011,"&lt;-오류(2011이후만 해당)",IF(VALUE(G15)&gt;1,"&lt;-년도단위로 입력할 것","")))</f>
        <v/>
      </c>
      <c r="R15" s="262" t="str">
        <f t="shared" si="3"/>
        <v/>
      </c>
      <c r="S15" s="258"/>
    </row>
    <row r="16" spans="1:20" ht="17.25" customHeight="1" x14ac:dyDescent="0.15">
      <c r="A16" s="255">
        <v>4</v>
      </c>
      <c r="B16" s="518"/>
      <c r="C16" s="529" t="str">
        <f>IF(개별기초자료!E9&lt;&gt;"보건교사","② 6학년 담임"&amp;CHAR(10)&amp;"(2011학년도부터 해당)","② 보건교사"&amp;CHAR(10)&amp;"   과대학급"&amp;CHAR(10)&amp;"(2013학년도부터 해당)")</f>
        <v>② 6학년 담임
(2011학년도부터 해당)</v>
      </c>
      <c r="D16" s="308"/>
      <c r="E16" s="487"/>
      <c r="F16" s="487"/>
      <c r="G16" s="483" t="str">
        <f t="shared" si="0"/>
        <v>0.00</v>
      </c>
      <c r="H16" s="483"/>
      <c r="I16" s="483"/>
      <c r="J16" s="483"/>
      <c r="K16" s="483"/>
      <c r="L16" s="280">
        <f>IF(D16="",0,IF(AND(DATEDIF(D16,E16+1,"m")&lt;6,TEXT(D16,"yyyy")&lt;="2016"),0,IF(AND(VALUE(G16)&lt;1,TEXT(D16,"yyyy")="2011"),0,IF(AND(VALUE(G16)=1,TEXT(D16,"yyyy")="2011"),0.01,IF(AND(VALUE(G16)=1,TEXT(D16,"yyyy")&gt;"2011"),0.03,0.02)))))</f>
        <v>0</v>
      </c>
      <c r="M16" s="480" t="s">
        <v>530</v>
      </c>
      <c r="N16" s="481"/>
      <c r="O16" s="482"/>
      <c r="P16" s="155"/>
      <c r="Q16" s="261" t="str">
        <f>IFERROR(IF(D16="","",IF(YEAR(D16)&lt;2011,"&lt;-오류(2011이후만 해당)",IF(VALUE(G16)&gt;1,"&lt;-년도단위로 입력할 것",""))),"기간 입력 오류")</f>
        <v/>
      </c>
      <c r="R16" s="262" t="str">
        <f t="shared" si="3"/>
        <v/>
      </c>
      <c r="S16" s="258"/>
    </row>
    <row r="17" spans="1:19" ht="17.25" customHeight="1" x14ac:dyDescent="0.15">
      <c r="B17" s="518"/>
      <c r="C17" s="524"/>
      <c r="D17" s="308"/>
      <c r="E17" s="487"/>
      <c r="F17" s="487"/>
      <c r="G17" s="483" t="str">
        <f t="shared" si="0"/>
        <v>0.00</v>
      </c>
      <c r="H17" s="483"/>
      <c r="I17" s="483"/>
      <c r="J17" s="483"/>
      <c r="K17" s="483"/>
      <c r="L17" s="280">
        <f t="shared" ref="L17:L20" si="4">IF(D17="",0,IF(AND(DATEDIF(D17,E17+1,"m")&lt;6,TEXT(D17,"yyyy")&lt;="2016"),0,IF(AND(VALUE(G17)&lt;1,TEXT(D17,"yyyy")="2011"),0,IF(AND(VALUE(G17)=1,TEXT(D17,"yyyy")="2011"),0.01,IF(AND(VALUE(G17)=1,TEXT(D17,"yyyy")&gt;"2011"),0.03,0.02)))))</f>
        <v>0</v>
      </c>
      <c r="M17" s="588"/>
      <c r="N17" s="589"/>
      <c r="O17" s="590"/>
      <c r="P17" s="155"/>
      <c r="Q17" s="261" t="str">
        <f t="shared" ref="Q17:Q20" si="5">IFERROR(IF(D17="","",IF(YEAR(D17)&lt;2011,"&lt;-오류(2011이후만 해당)",IF(VALUE(G17)&gt;1,"&lt;-년도단위로 입력할 것",""))),"기간 입력 오류")</f>
        <v/>
      </c>
      <c r="R17" s="262" t="str">
        <f t="shared" si="3"/>
        <v/>
      </c>
      <c r="S17" s="258"/>
    </row>
    <row r="18" spans="1:19" ht="17.25" customHeight="1" x14ac:dyDescent="0.15">
      <c r="B18" s="518"/>
      <c r="C18" s="524"/>
      <c r="D18" s="308"/>
      <c r="E18" s="487"/>
      <c r="F18" s="487"/>
      <c r="G18" s="483" t="str">
        <f t="shared" si="0"/>
        <v>0.00</v>
      </c>
      <c r="H18" s="483"/>
      <c r="I18" s="483"/>
      <c r="J18" s="483"/>
      <c r="K18" s="483"/>
      <c r="L18" s="280">
        <f t="shared" si="4"/>
        <v>0</v>
      </c>
      <c r="M18" s="588"/>
      <c r="N18" s="589"/>
      <c r="O18" s="590"/>
      <c r="P18" s="155"/>
      <c r="Q18" s="261" t="str">
        <f t="shared" si="5"/>
        <v/>
      </c>
      <c r="R18" s="262" t="str">
        <f t="shared" si="3"/>
        <v/>
      </c>
      <c r="S18" s="258"/>
    </row>
    <row r="19" spans="1:19" ht="17.25" customHeight="1" x14ac:dyDescent="0.15">
      <c r="B19" s="518"/>
      <c r="C19" s="524"/>
      <c r="D19" s="308"/>
      <c r="E19" s="487"/>
      <c r="F19" s="487"/>
      <c r="G19" s="483" t="str">
        <f t="shared" si="0"/>
        <v>0.00</v>
      </c>
      <c r="H19" s="483"/>
      <c r="I19" s="483"/>
      <c r="J19" s="483"/>
      <c r="K19" s="483"/>
      <c r="L19" s="280">
        <f t="shared" si="4"/>
        <v>0</v>
      </c>
      <c r="M19" s="588"/>
      <c r="N19" s="589"/>
      <c r="O19" s="590"/>
      <c r="P19" s="155"/>
      <c r="Q19" s="261" t="str">
        <f t="shared" si="5"/>
        <v/>
      </c>
      <c r="R19" s="262" t="str">
        <f t="shared" si="3"/>
        <v/>
      </c>
      <c r="S19" s="258"/>
    </row>
    <row r="20" spans="1:19" ht="17.25" hidden="1" customHeight="1" x14ac:dyDescent="0.15">
      <c r="B20" s="518"/>
      <c r="C20" s="292"/>
      <c r="D20" s="308"/>
      <c r="E20" s="487"/>
      <c r="F20" s="487"/>
      <c r="G20" s="483" t="str">
        <f t="shared" si="0"/>
        <v>0.00</v>
      </c>
      <c r="H20" s="483"/>
      <c r="I20" s="483"/>
      <c r="J20" s="483"/>
      <c r="K20" s="483"/>
      <c r="L20" s="280">
        <f t="shared" si="4"/>
        <v>0</v>
      </c>
      <c r="M20" s="526"/>
      <c r="N20" s="527"/>
      <c r="O20" s="528"/>
      <c r="P20" s="155"/>
      <c r="Q20" s="261" t="str">
        <f t="shared" si="5"/>
        <v/>
      </c>
      <c r="R20" s="262" t="str">
        <f t="shared" si="3"/>
        <v/>
      </c>
      <c r="S20" s="258"/>
    </row>
    <row r="21" spans="1:19" ht="17.25" hidden="1" customHeight="1" x14ac:dyDescent="0.15">
      <c r="B21" s="518"/>
      <c r="C21" s="293"/>
      <c r="D21" s="308"/>
      <c r="E21" s="487"/>
      <c r="F21" s="487"/>
      <c r="G21" s="483"/>
      <c r="H21" s="483"/>
      <c r="I21" s="483"/>
      <c r="J21" s="483"/>
      <c r="K21" s="483"/>
      <c r="L21" s="291">
        <f>INT(SUM(L16:L20)*100/12)+MOD(SUM(L16:L20)*100/12,1)*12/100</f>
        <v>0</v>
      </c>
      <c r="M21" s="490"/>
      <c r="N21" s="491"/>
      <c r="O21" s="492"/>
      <c r="P21" s="155"/>
      <c r="Q21" s="261" t="str">
        <f>IF(D21="","",IF(YEAR(D21)&lt;2011,"&lt;-오류(2011이후만 해당)",IF(VALUE(G21)&gt;1,"&lt;-년도단위로 입력할 것","")))</f>
        <v/>
      </c>
      <c r="R21" s="262" t="str">
        <f t="shared" si="3"/>
        <v/>
      </c>
      <c r="S21" s="258"/>
    </row>
    <row r="22" spans="1:19" ht="17.25" customHeight="1" x14ac:dyDescent="0.15">
      <c r="A22" s="255">
        <v>4</v>
      </c>
      <c r="B22" s="518"/>
      <c r="C22" s="529" t="s">
        <v>206</v>
      </c>
      <c r="D22" s="308"/>
      <c r="E22" s="487"/>
      <c r="F22" s="487"/>
      <c r="G22" s="483" t="str">
        <f t="shared" si="0"/>
        <v>0.00</v>
      </c>
      <c r="H22" s="483"/>
      <c r="I22" s="483"/>
      <c r="J22" s="483"/>
      <c r="K22" s="483"/>
      <c r="L22" s="289">
        <f>IFERROR(IF(OR(개별기초자료!E18="학교만기",개별기초자료!E18="구역만기"),0,IF(OR(D22="",YEAR(D22)&gt;=2018),0,IF(AND(DATEDIF(D22,E22+1,"m")&lt;6,TEXT(D22,"yyyy")&lt;="2016"),0,IF(AND(P22&lt;&gt;0,YEAR(D22)&gt;=2014),INT((INT(G22)*12+VALUE(TEXT(MOD(G22,1)*100,"00")))*0.5)/100,IF(AND(3&lt;DATEDIF(D22,E22+1,"m")&lt;6,TEXT(D22,"yyyy")&gt;="2017"),ROUNDDOWN(G22*0.03,2),INT((INT(G22)*12+VALUE(TEXT(MOD(G22,1)*100,"00")))*0.3)/100))))),"-")</f>
        <v>0</v>
      </c>
      <c r="M22" s="480" t="s">
        <v>375</v>
      </c>
      <c r="N22" s="481"/>
      <c r="O22" s="482"/>
      <c r="P22" s="155">
        <f>COUNTIF(M22:M22,"*"&amp;"체육"&amp;"*")</f>
        <v>0</v>
      </c>
      <c r="Q22" s="261" t="str">
        <f>IFERROR(IF(D22="","",IF(VALUE(G22)&gt;1,"&lt;-년도단위로 입력할 것","")),"기간 입력 오류")</f>
        <v/>
      </c>
      <c r="R22" s="262" t="str">
        <f t="shared" si="3"/>
        <v/>
      </c>
      <c r="S22" s="258"/>
    </row>
    <row r="23" spans="1:19" ht="17.25" customHeight="1" x14ac:dyDescent="0.15">
      <c r="B23" s="518"/>
      <c r="C23" s="530"/>
      <c r="D23" s="308"/>
      <c r="E23" s="487"/>
      <c r="F23" s="487"/>
      <c r="G23" s="483" t="str">
        <f t="shared" si="0"/>
        <v>0.00</v>
      </c>
      <c r="H23" s="483"/>
      <c r="I23" s="483"/>
      <c r="J23" s="483"/>
      <c r="K23" s="483"/>
      <c r="L23" s="289">
        <f>IFERROR(IF(OR(개별기초자료!E19="학교만기",개별기초자료!E19="구역만기"),0,IF(OR(D23="",YEAR(D23)&gt;=2018),0,IF(AND(DATEDIF(D23,E23+1,"m")&lt;6,TEXT(D23,"yyyy")&lt;="2016"),0,IF(AND(P23&lt;&gt;0,YEAR(D23)&gt;=2014),INT((INT(G23)*12+VALUE(TEXT(MOD(G23,1)*100,"00")))*0.5)/100,IF(AND(3&lt;DATEDIF(D23,E23+1,"m")&lt;6,TEXT(D23,"yyyy")&gt;="2017"),ROUNDDOWN(G23*0.03,2),INT((INT(G23)*12+VALUE(TEXT(MOD(G23,1)*100,"00")))*0.3)/100))))),"-")</f>
        <v>0</v>
      </c>
      <c r="M23" s="480" t="s">
        <v>401</v>
      </c>
      <c r="N23" s="481"/>
      <c r="O23" s="482"/>
      <c r="P23" s="155">
        <f t="shared" ref="P23:P26" si="6">COUNTIF(M23:M23,"*"&amp;"체육"&amp;"*")</f>
        <v>0</v>
      </c>
      <c r="Q23" s="261" t="str">
        <f t="shared" ref="Q23:Q26" si="7">IFERROR(IF(D23="","",IF(VALUE(G23)&gt;1,"&lt;-년도단위로 입력할 것","")),"기간 입력 오류")</f>
        <v/>
      </c>
      <c r="R23" s="262" t="str">
        <f t="shared" si="3"/>
        <v/>
      </c>
      <c r="S23" s="258"/>
    </row>
    <row r="24" spans="1:19" ht="17.25" customHeight="1" x14ac:dyDescent="0.15">
      <c r="B24" s="518"/>
      <c r="C24" s="530"/>
      <c r="D24" s="308"/>
      <c r="E24" s="487"/>
      <c r="F24" s="487"/>
      <c r="G24" s="483" t="str">
        <f t="shared" si="0"/>
        <v>0.00</v>
      </c>
      <c r="H24" s="483"/>
      <c r="I24" s="483"/>
      <c r="J24" s="483"/>
      <c r="K24" s="483"/>
      <c r="L24" s="289">
        <f>IFERROR(IF(OR(개별기초자료!E20="학교만기",개별기초자료!E20="구역만기"),0,IF(OR(D24="",YEAR(D24)&gt;=2018),0,IF(AND(DATEDIF(D24,E24+1,"m")&lt;6,TEXT(D24,"yyyy")&lt;="2016"),0,IF(AND(P24&lt;&gt;0,YEAR(D24)&gt;=2014),INT((INT(G24)*12+VALUE(TEXT(MOD(G24,1)*100,"00")))*0.5)/100,IF(AND(3&lt;DATEDIF(D24,E24+1,"m")&lt;6,TEXT(D24,"yyyy")&gt;="2017"),ROUNDDOWN(G24*0.03,2),INT((INT(G24)*12+VALUE(TEXT(MOD(G24,1)*100,"00")))*0.3)/100))))),"-")</f>
        <v>0</v>
      </c>
      <c r="M24" s="480"/>
      <c r="N24" s="481"/>
      <c r="O24" s="482"/>
      <c r="P24" s="155">
        <f t="shared" si="6"/>
        <v>0</v>
      </c>
      <c r="Q24" s="261" t="str">
        <f t="shared" si="7"/>
        <v/>
      </c>
      <c r="R24" s="262" t="str">
        <f t="shared" si="3"/>
        <v/>
      </c>
      <c r="S24" s="258"/>
    </row>
    <row r="25" spans="1:19" ht="17.25" customHeight="1" x14ac:dyDescent="0.15">
      <c r="B25" s="518"/>
      <c r="C25" s="530"/>
      <c r="D25" s="308"/>
      <c r="E25" s="487"/>
      <c r="F25" s="487"/>
      <c r="G25" s="483" t="str">
        <f t="shared" si="0"/>
        <v>0.00</v>
      </c>
      <c r="H25" s="483"/>
      <c r="I25" s="483"/>
      <c r="J25" s="483"/>
      <c r="K25" s="483"/>
      <c r="L25" s="289">
        <f>IFERROR(IF(OR(개별기초자료!E21="학교만기",개별기초자료!E21="구역만기"),0,IF(OR(D25="",YEAR(D25)&gt;=2018),0,IF(AND(DATEDIF(D25,E25+1,"m")&lt;6,TEXT(D25,"yyyy")&lt;="2016"),0,IF(AND(P25&lt;&gt;0,YEAR(D25)&gt;=2014),INT((INT(G25)*12+VALUE(TEXT(MOD(G25,1)*100,"00")))*0.5)/100,IF(AND(3&lt;DATEDIF(D25,E25+1,"m")&lt;6,TEXT(D25,"yyyy")&gt;="2017"),ROUNDDOWN(G25*0.03,2),INT((INT(G25)*12+VALUE(TEXT(MOD(G25,1)*100,"00")))*0.3)/100))))),"-")</f>
        <v>0</v>
      </c>
      <c r="M25" s="480"/>
      <c r="N25" s="481"/>
      <c r="O25" s="482"/>
      <c r="P25" s="155">
        <f t="shared" si="6"/>
        <v>0</v>
      </c>
      <c r="Q25" s="261" t="str">
        <f t="shared" si="7"/>
        <v/>
      </c>
      <c r="R25" s="262" t="str">
        <f t="shared" si="3"/>
        <v/>
      </c>
      <c r="S25" s="258"/>
    </row>
    <row r="26" spans="1:19" ht="17.25" hidden="1" customHeight="1" x14ac:dyDescent="0.15">
      <c r="B26" s="518"/>
      <c r="C26" s="531"/>
      <c r="D26" s="308"/>
      <c r="E26" s="487"/>
      <c r="F26" s="487"/>
      <c r="G26" s="483" t="str">
        <f t="shared" si="0"/>
        <v>0.00</v>
      </c>
      <c r="H26" s="483"/>
      <c r="I26" s="483"/>
      <c r="J26" s="483"/>
      <c r="K26" s="483"/>
      <c r="L26" s="289">
        <f>IFERROR(IF(OR(개별기초자료!E22="학교만기",개별기초자료!E22="구역만기"),0,IF(OR(D26="",YEAR(D26)&gt;=2018),0,IF(AND(DATEDIF(D26,E26+1,"m")&lt;6,TEXT(D26,"yyyy")&lt;="2016"),0,IF(AND(P26&lt;&gt;0,YEAR(D26)&gt;=2014),INT((INT(G26)*12+VALUE(TEXT(MOD(G26,1)*100,"00")))*0.5)/100,IF(AND(3&lt;DATEDIF(D26,E26+1,"m")&lt;6,TEXT(D26,"yyyy")&gt;="2017"),ROUNDDOWN(G26*0.03,2),INT((INT(G26)*12+VALUE(TEXT(MOD(G26,1)*100,"00")))*0.3)/100))))),"-")</f>
        <v>0</v>
      </c>
      <c r="M26" s="480"/>
      <c r="N26" s="481"/>
      <c r="O26" s="482"/>
      <c r="P26" s="155">
        <f t="shared" si="6"/>
        <v>0</v>
      </c>
      <c r="Q26" s="261" t="str">
        <f t="shared" si="7"/>
        <v/>
      </c>
      <c r="R26" s="262" t="str">
        <f t="shared" si="3"/>
        <v/>
      </c>
      <c r="S26" s="258"/>
    </row>
    <row r="27" spans="1:19" ht="17.25" hidden="1" customHeight="1" x14ac:dyDescent="0.15">
      <c r="B27" s="518"/>
      <c r="C27" s="290"/>
      <c r="D27" s="308"/>
      <c r="E27" s="487"/>
      <c r="F27" s="487"/>
      <c r="G27" s="605"/>
      <c r="H27" s="605"/>
      <c r="I27" s="605"/>
      <c r="J27" s="605"/>
      <c r="K27" s="605"/>
      <c r="L27" s="291">
        <f>INT(SUM(L22:L26)*100/12)+MOD(SUM(L22:L26)*100/12,1)*12/100</f>
        <v>0</v>
      </c>
      <c r="M27" s="490"/>
      <c r="N27" s="491"/>
      <c r="O27" s="492"/>
      <c r="P27" s="155"/>
      <c r="Q27" s="261" t="str">
        <f t="shared" ref="Q27:Q33" si="8">IF(D27="","",IF(VALUE(G27)&gt;1,"&lt;-년도단위로 입력할 것",""))</f>
        <v/>
      </c>
      <c r="R27" s="262" t="str">
        <f t="shared" si="3"/>
        <v/>
      </c>
      <c r="S27" s="258"/>
    </row>
    <row r="28" spans="1:19" ht="17.25" customHeight="1" x14ac:dyDescent="0.15">
      <c r="A28" s="255">
        <v>4</v>
      </c>
      <c r="B28" s="518"/>
      <c r="C28" s="535" t="s">
        <v>602</v>
      </c>
      <c r="D28" s="308"/>
      <c r="E28" s="487"/>
      <c r="F28" s="487"/>
      <c r="G28" s="483" t="str">
        <f t="shared" si="0"/>
        <v>0.00</v>
      </c>
      <c r="H28" s="483"/>
      <c r="I28" s="483"/>
      <c r="J28" s="483"/>
      <c r="K28" s="483"/>
      <c r="L28" s="289">
        <f>IFERROR(IF(OR(D28="",YEAR(D28)&gt;=2018),0,IF(AND(DATEDIF(D28,E28+1,"m")&lt;6,TEXT(D28,"yyyy")&lt;="2016"),0,IF(AND(3&lt;DATEDIF(D22,E22+1,"m")&lt;6,TEXT(D28,"yyyy")&gt;="2017"),ROUNDDOWN(G28*0.03,2),INT((INT(G28)*12+VALUE(TEXT(MOD(G28,1)*100,"00")))*0.3)/100))),"-")</f>
        <v>0</v>
      </c>
      <c r="M28" s="480" t="s">
        <v>619</v>
      </c>
      <c r="N28" s="481"/>
      <c r="O28" s="482"/>
      <c r="P28" s="155"/>
      <c r="Q28" s="261" t="str">
        <f>IFERROR(IF(D28="","",IF(YEAR(D28)&lt;2007,"&lt;-오류(2007이후만 해당)",IF(VALUE(G28)&gt;1,"&lt;-년도단위로 입력할 것",""))),"기간 입력 오류")</f>
        <v/>
      </c>
      <c r="R28" s="262" t="str">
        <f t="shared" si="3"/>
        <v/>
      </c>
      <c r="S28" s="258"/>
    </row>
    <row r="29" spans="1:19" ht="17.25" customHeight="1" x14ac:dyDescent="0.15">
      <c r="B29" s="518"/>
      <c r="C29" s="530"/>
      <c r="D29" s="308"/>
      <c r="E29" s="487"/>
      <c r="F29" s="487"/>
      <c r="G29" s="483" t="str">
        <f t="shared" si="0"/>
        <v>0.00</v>
      </c>
      <c r="H29" s="483"/>
      <c r="I29" s="483"/>
      <c r="J29" s="483"/>
      <c r="K29" s="483"/>
      <c r="L29" s="289">
        <f t="shared" ref="L29:L32" si="9">IFERROR(IF(OR(D29="",YEAR(D29)&gt;=2018),0,IF(AND(DATEDIF(D29,E29+1,"m")&lt;6,TEXT(D29,"yyyy")&lt;="2016"),0,IF(AND(3&lt;DATEDIF(D23,E23+1,"m")&lt;6,TEXT(D29,"yyyy")&gt;="2017"),ROUNDDOWN(G29*0.03,2),INT((INT(G29)*12+VALUE(TEXT(MOD(G29,1)*100,"00")))*0.3)/100))),"-")</f>
        <v>0</v>
      </c>
      <c r="M29" s="480"/>
      <c r="N29" s="481"/>
      <c r="O29" s="482"/>
      <c r="P29" s="155"/>
      <c r="Q29" s="261" t="str">
        <f t="shared" ref="Q29:Q32" si="10">IFERROR(IF(D29="","",IF(YEAR(D29)&lt;2007,"&lt;-오류(2007이후만 해당)",IF(VALUE(G29)&gt;1,"&lt;-년도단위로 입력할 것",""))),"기간 입력 오류")</f>
        <v/>
      </c>
      <c r="R29" s="262" t="str">
        <f t="shared" si="3"/>
        <v/>
      </c>
      <c r="S29" s="258"/>
    </row>
    <row r="30" spans="1:19" ht="17.25" customHeight="1" x14ac:dyDescent="0.15">
      <c r="B30" s="518"/>
      <c r="C30" s="530"/>
      <c r="D30" s="308"/>
      <c r="E30" s="487"/>
      <c r="F30" s="487"/>
      <c r="G30" s="483" t="str">
        <f t="shared" si="0"/>
        <v>0.00</v>
      </c>
      <c r="H30" s="483"/>
      <c r="I30" s="483"/>
      <c r="J30" s="483"/>
      <c r="K30" s="483"/>
      <c r="L30" s="289">
        <f t="shared" si="9"/>
        <v>0</v>
      </c>
      <c r="M30" s="480"/>
      <c r="N30" s="481"/>
      <c r="O30" s="482"/>
      <c r="P30" s="155"/>
      <c r="Q30" s="261" t="str">
        <f t="shared" si="10"/>
        <v/>
      </c>
      <c r="R30" s="262" t="str">
        <f t="shared" si="3"/>
        <v/>
      </c>
      <c r="S30" s="258"/>
    </row>
    <row r="31" spans="1:19" ht="17.25" customHeight="1" x14ac:dyDescent="0.15">
      <c r="B31" s="518"/>
      <c r="C31" s="530"/>
      <c r="D31" s="308"/>
      <c r="E31" s="487"/>
      <c r="F31" s="487"/>
      <c r="G31" s="483" t="str">
        <f t="shared" si="0"/>
        <v>0.00</v>
      </c>
      <c r="H31" s="483"/>
      <c r="I31" s="483"/>
      <c r="J31" s="483"/>
      <c r="K31" s="483"/>
      <c r="L31" s="289">
        <f t="shared" si="9"/>
        <v>0</v>
      </c>
      <c r="M31" s="480"/>
      <c r="N31" s="481"/>
      <c r="O31" s="482"/>
      <c r="P31" s="155"/>
      <c r="Q31" s="261" t="str">
        <f t="shared" si="10"/>
        <v/>
      </c>
      <c r="R31" s="262" t="str">
        <f t="shared" si="3"/>
        <v/>
      </c>
      <c r="S31" s="258"/>
    </row>
    <row r="32" spans="1:19" ht="17.25" hidden="1" customHeight="1" x14ac:dyDescent="0.15">
      <c r="B32" s="518"/>
      <c r="C32" s="531"/>
      <c r="D32" s="308"/>
      <c r="E32" s="487"/>
      <c r="F32" s="487"/>
      <c r="G32" s="483" t="str">
        <f t="shared" si="0"/>
        <v>0.00</v>
      </c>
      <c r="H32" s="483"/>
      <c r="I32" s="483"/>
      <c r="J32" s="483"/>
      <c r="K32" s="483"/>
      <c r="L32" s="289">
        <f t="shared" si="9"/>
        <v>0</v>
      </c>
      <c r="M32" s="480"/>
      <c r="N32" s="481"/>
      <c r="O32" s="482"/>
      <c r="P32" s="155"/>
      <c r="Q32" s="261" t="str">
        <f t="shared" si="10"/>
        <v/>
      </c>
      <c r="R32" s="262" t="str">
        <f t="shared" si="3"/>
        <v/>
      </c>
      <c r="S32" s="258"/>
    </row>
    <row r="33" spans="1:21" ht="17.25" hidden="1" customHeight="1" x14ac:dyDescent="0.15">
      <c r="B33" s="518"/>
      <c r="C33" s="290"/>
      <c r="D33" s="308"/>
      <c r="E33" s="487"/>
      <c r="F33" s="487"/>
      <c r="G33" s="483"/>
      <c r="H33" s="483"/>
      <c r="I33" s="483"/>
      <c r="J33" s="483"/>
      <c r="K33" s="483"/>
      <c r="L33" s="291">
        <f>INT(SUM(L28:L32)*100/12)+MOD(SUM(L28:L32)*100/12,1)*12/100</f>
        <v>0</v>
      </c>
      <c r="M33" s="490"/>
      <c r="N33" s="491"/>
      <c r="O33" s="492"/>
      <c r="P33" s="155"/>
      <c r="Q33" s="261" t="str">
        <f t="shared" si="8"/>
        <v/>
      </c>
      <c r="R33" s="262" t="str">
        <f t="shared" si="3"/>
        <v/>
      </c>
      <c r="S33" s="258"/>
    </row>
    <row r="34" spans="1:21" ht="16.5" customHeight="1" x14ac:dyDescent="0.15">
      <c r="A34" s="255">
        <v>4</v>
      </c>
      <c r="B34" s="518"/>
      <c r="C34" s="535" t="s">
        <v>211</v>
      </c>
      <c r="D34" s="308"/>
      <c r="E34" s="487"/>
      <c r="F34" s="487"/>
      <c r="G34" s="483" t="str">
        <f t="shared" si="0"/>
        <v>0.00</v>
      </c>
      <c r="H34" s="483"/>
      <c r="I34" s="483"/>
      <c r="J34" s="483"/>
      <c r="K34" s="483"/>
      <c r="L34" s="289">
        <f>IFERROR(IF(OR(개별기초자료!E18="학교만기",개별기초자료!E18="구역만기"),0,IF(D34="",0,IF(AND(DATEDIF(D34,E34+1,"m")&lt;6,TEXT(D34,"yyyy")&lt;="2016"),0,IF(AND(3&lt;DATEDIF(D22,E22+1,"m")&lt;6,TEXT(D34,"yyyy")&gt;="2017"),ROUNDDOWN(G34*0.03,2),INT((INT(G34)*12+VALUE(TEXT(MOD(G34,1)*100,"00")))*0.3)/100)))),"-")</f>
        <v>0</v>
      </c>
      <c r="M34" s="480" t="s">
        <v>549</v>
      </c>
      <c r="N34" s="481"/>
      <c r="O34" s="482"/>
      <c r="P34" s="155"/>
      <c r="Q34" s="261" t="str">
        <f>IFERROR(IF(D34="","",IF(YEAR(D34)&lt;2007,"&lt;-오류(2007이후만 해당)",IF(VALUE(G34)&gt;1,"&lt;-년도단위로 입력할 것",""))),"기간 입력 오류")</f>
        <v/>
      </c>
      <c r="R34" s="262" t="str">
        <f t="shared" si="3"/>
        <v/>
      </c>
      <c r="S34" s="258"/>
    </row>
    <row r="35" spans="1:21" ht="16.5" customHeight="1" x14ac:dyDescent="0.15">
      <c r="B35" s="518"/>
      <c r="C35" s="530"/>
      <c r="D35" s="308"/>
      <c r="E35" s="487"/>
      <c r="F35" s="487"/>
      <c r="G35" s="483" t="str">
        <f t="shared" si="0"/>
        <v>0.00</v>
      </c>
      <c r="H35" s="483"/>
      <c r="I35" s="483"/>
      <c r="J35" s="483"/>
      <c r="K35" s="483"/>
      <c r="L35" s="289">
        <f>IFERROR(IF(OR(개별기초자료!E19="학교만기",개별기초자료!E19="구역만기"),0,IF(D35="",0,IF(AND(DATEDIF(D35,E35+1,"m")&lt;6,TEXT(D35,"yyyy")&lt;="2016"),0,IF(AND(3&lt;DATEDIF(D23,E23+1,"m")&lt;6,TEXT(D35,"yyyy")&gt;="2017"),ROUNDDOWN(G35*0.03,2),INT((INT(G35)*12+VALUE(TEXT(MOD(G35,1)*100,"00")))*0.3)/100)))),"-")</f>
        <v>0</v>
      </c>
      <c r="M35" s="480"/>
      <c r="N35" s="481"/>
      <c r="O35" s="482"/>
      <c r="P35" s="155"/>
      <c r="Q35" s="261" t="str">
        <f t="shared" ref="Q35:Q38" si="11">IFERROR(IF(D35="","",IF(YEAR(D35)&lt;2007,"&lt;-오류(2007이후만 해당)",IF(VALUE(G35)&gt;1,"&lt;-년도단위로 입력할 것",""))),"기간 입력 오류")</f>
        <v/>
      </c>
      <c r="R35" s="262" t="str">
        <f t="shared" si="3"/>
        <v/>
      </c>
      <c r="S35" s="258"/>
    </row>
    <row r="36" spans="1:21" ht="16.5" customHeight="1" x14ac:dyDescent="0.15">
      <c r="B36" s="518"/>
      <c r="C36" s="530"/>
      <c r="D36" s="308"/>
      <c r="E36" s="487"/>
      <c r="F36" s="487"/>
      <c r="G36" s="483" t="str">
        <f t="shared" si="0"/>
        <v>0.00</v>
      </c>
      <c r="H36" s="483"/>
      <c r="I36" s="483"/>
      <c r="J36" s="483"/>
      <c r="K36" s="483"/>
      <c r="L36" s="289">
        <f>IFERROR(IF(OR(개별기초자료!E20="학교만기",개별기초자료!E20="구역만기"),0,IF(D36="",0,IF(AND(DATEDIF(D36,E36+1,"m")&lt;6,TEXT(D36,"yyyy")&lt;="2016"),0,IF(AND(3&lt;DATEDIF(D24,E24+1,"m")&lt;6,TEXT(D36,"yyyy")&gt;="2017"),ROUNDDOWN(G36*0.03,2),INT((INT(G36)*12+VALUE(TEXT(MOD(G36,1)*100,"00")))*0.3)/100)))),"-")</f>
        <v>0</v>
      </c>
      <c r="M36" s="480"/>
      <c r="N36" s="481"/>
      <c r="O36" s="482"/>
      <c r="P36" s="155"/>
      <c r="Q36" s="261" t="str">
        <f t="shared" si="11"/>
        <v/>
      </c>
      <c r="R36" s="262" t="str">
        <f t="shared" si="3"/>
        <v/>
      </c>
      <c r="S36" s="258"/>
    </row>
    <row r="37" spans="1:21" ht="16.5" customHeight="1" x14ac:dyDescent="0.15">
      <c r="B37" s="518"/>
      <c r="C37" s="530"/>
      <c r="D37" s="308"/>
      <c r="E37" s="487"/>
      <c r="F37" s="487"/>
      <c r="G37" s="483" t="str">
        <f t="shared" si="0"/>
        <v>0.00</v>
      </c>
      <c r="H37" s="483"/>
      <c r="I37" s="483"/>
      <c r="J37" s="483"/>
      <c r="K37" s="483"/>
      <c r="L37" s="289">
        <f>IFERROR(IF(OR(개별기초자료!E21="학교만기",개별기초자료!E21="구역만기"),0,IF(D37="",0,IF(AND(DATEDIF(D37,E37+1,"m")&lt;6,TEXT(D37,"yyyy")&lt;="2016"),0,IF(AND(3&lt;DATEDIF(D25,E25+1,"m")&lt;6,TEXT(D37,"yyyy")&gt;="2017"),ROUNDDOWN(G37*0.03,2),INT((INT(G37)*12+VALUE(TEXT(MOD(G37,1)*100,"00")))*0.3)/100)))),"-")</f>
        <v>0</v>
      </c>
      <c r="M37" s="480"/>
      <c r="N37" s="481"/>
      <c r="O37" s="482"/>
      <c r="P37" s="155"/>
      <c r="Q37" s="261" t="str">
        <f t="shared" si="11"/>
        <v/>
      </c>
      <c r="R37" s="262" t="str">
        <f t="shared" si="3"/>
        <v/>
      </c>
      <c r="S37" s="258"/>
    </row>
    <row r="38" spans="1:21" ht="16.5" hidden="1" customHeight="1" x14ac:dyDescent="0.15">
      <c r="B38" s="518"/>
      <c r="C38" s="531"/>
      <c r="D38" s="308"/>
      <c r="E38" s="487"/>
      <c r="F38" s="487"/>
      <c r="G38" s="483" t="str">
        <f t="shared" si="0"/>
        <v>0.00</v>
      </c>
      <c r="H38" s="483"/>
      <c r="I38" s="483"/>
      <c r="J38" s="483"/>
      <c r="K38" s="483"/>
      <c r="L38" s="289">
        <f>IFERROR(IF(OR(개별기초자료!E22="학교만기",개별기초자료!E22="구역만기"),0,IF(D38="",0,IF(AND(DATEDIF(D38,E38+1,"m")&lt;6,TEXT(D38,"yyyy")&lt;="2016"),0,IF(AND(3&lt;DATEDIF(D26,E26+1,"m")&lt;6,TEXT(D38,"yyyy")&gt;="2017"),ROUNDDOWN(G38*0.03,2),INT((INT(G38)*12+VALUE(TEXT(MOD(G38,1)*100,"00")))*0.3)/100)))),"-")</f>
        <v>0</v>
      </c>
      <c r="M38" s="480"/>
      <c r="N38" s="481"/>
      <c r="O38" s="482"/>
      <c r="P38" s="155"/>
      <c r="Q38" s="261" t="str">
        <f t="shared" si="11"/>
        <v/>
      </c>
      <c r="R38" s="262" t="str">
        <f t="shared" si="3"/>
        <v/>
      </c>
      <c r="S38" s="258"/>
      <c r="U38" s="36"/>
    </row>
    <row r="39" spans="1:21" ht="17.25" hidden="1" customHeight="1" x14ac:dyDescent="0.15">
      <c r="B39" s="518"/>
      <c r="C39" s="290"/>
      <c r="D39" s="309"/>
      <c r="E39" s="629"/>
      <c r="F39" s="630"/>
      <c r="G39" s="486"/>
      <c r="H39" s="486"/>
      <c r="I39" s="486"/>
      <c r="J39" s="486"/>
      <c r="K39" s="486"/>
      <c r="L39" s="280">
        <f>INT(SUM(L34:L38)*100/12)+MOD(SUM(L34:L38)*100/12,1)*12/100</f>
        <v>0</v>
      </c>
      <c r="M39" s="45"/>
      <c r="N39" s="45"/>
      <c r="O39" s="83"/>
      <c r="P39" s="48"/>
      <c r="Q39" s="261"/>
      <c r="R39" s="262"/>
      <c r="S39" s="258"/>
    </row>
    <row r="40" spans="1:21" ht="17.25" customHeight="1" x14ac:dyDescent="0.15">
      <c r="A40" s="255">
        <v>3</v>
      </c>
      <c r="B40" s="519"/>
      <c r="C40" s="602" t="s">
        <v>208</v>
      </c>
      <c r="D40" s="308"/>
      <c r="E40" s="487"/>
      <c r="F40" s="487"/>
      <c r="G40" s="483" t="str">
        <f>IFERROR(INT((DATEDIF(D40,E40+1,"m")+N(DATEDIF(D40,E40+1,"md")&gt;=15))/12)&amp;"."&amp;TEXT(MOD(DATEDIF(D40,E40+1,"m")+N(DATEDIF(D40,E40+1,"md")&gt;=15),12),"00"),"")</f>
        <v>0.00</v>
      </c>
      <c r="H40" s="483"/>
      <c r="I40" s="483"/>
      <c r="J40" s="483"/>
      <c r="K40" s="483"/>
      <c r="L40" s="281">
        <f>IFERROR(IF(D40="",0,IF(AND(TEXT(D40,"yyyy")&lt;"2017",DATEDIF(D40,E40+1,"y")&lt;3),0,IF(TEXT(D40,"yyyy")&gt;="2017",INT((INT(G40)*12+VALUE(TEXT(MOD(G40,1)*100,"00")))*0.5)/100,INT((INT(G40)*12+VALUE(TEXT(MOD(G40,1)*100,"00")))*1)/100))),"-")</f>
        <v>0</v>
      </c>
      <c r="M40" s="488" t="s">
        <v>533</v>
      </c>
      <c r="N40" s="488"/>
      <c r="O40" s="489"/>
      <c r="P40" s="89">
        <f>IFERROR(IF(D40="",0,IF(AND(TEXT(D40,"yyyy")&lt;"2017",DATEDIF(D40,E40+1,"y")&lt;3),0,IF(TEXT(D40,"yyyy")&gt;="2017",INT((INT(G40)*12+VALUE(TEXT(MOD(G40,1)*100,"00")))*1)/100,INT((INT(G40)*12+VALUE(TEXT(MOD(G40,1)*100,"00")))*1)/100))),"-")</f>
        <v>0</v>
      </c>
      <c r="Q40" s="261"/>
      <c r="R40" s="262"/>
      <c r="S40" s="258"/>
    </row>
    <row r="41" spans="1:21" ht="17.25" customHeight="1" x14ac:dyDescent="0.15">
      <c r="B41" s="519"/>
      <c r="C41" s="603"/>
      <c r="D41" s="308"/>
      <c r="E41" s="487"/>
      <c r="F41" s="487"/>
      <c r="G41" s="483" t="str">
        <f t="shared" ref="G41:G42" si="12">IFERROR(INT((DATEDIF(D41,E41+1,"m")+N(DATEDIF(D41,E41+1,"md")&gt;=15))/12)&amp;"."&amp;TEXT(MOD(DATEDIF(D41,E41+1,"m")+N(DATEDIF(D41,E41+1,"md")&gt;=15),12),"00"),"")</f>
        <v>0.00</v>
      </c>
      <c r="H41" s="483"/>
      <c r="I41" s="483"/>
      <c r="J41" s="483"/>
      <c r="K41" s="483"/>
      <c r="L41" s="281">
        <f t="shared" ref="L41:L42" si="13">IFERROR(IF(D41="",0,IF(AND(TEXT(D41,"yyyy")&lt;"2017",DATEDIF(D41,E41+1,"y")&lt;3),0,IF(TEXT(D41,"yyyy")&gt;="2017",INT((INT(G41)*12+VALUE(TEXT(MOD(G41,1)*100,"00")))*0.5)/100,INT((INT(G41)*12+VALUE(TEXT(MOD(G41,1)*100,"00")))*1)/100))),"-")</f>
        <v>0</v>
      </c>
      <c r="M41" s="488"/>
      <c r="N41" s="488"/>
      <c r="O41" s="489"/>
      <c r="P41" s="89"/>
      <c r="Q41" s="261"/>
      <c r="R41" s="262"/>
      <c r="S41" s="258"/>
    </row>
    <row r="42" spans="1:21" ht="17.25" customHeight="1" x14ac:dyDescent="0.15">
      <c r="B42" s="519"/>
      <c r="C42" s="604"/>
      <c r="D42" s="308"/>
      <c r="E42" s="487"/>
      <c r="F42" s="487"/>
      <c r="G42" s="483" t="str">
        <f t="shared" si="12"/>
        <v>0.00</v>
      </c>
      <c r="H42" s="483"/>
      <c r="I42" s="483"/>
      <c r="J42" s="483"/>
      <c r="K42" s="483"/>
      <c r="L42" s="281">
        <f t="shared" si="13"/>
        <v>0</v>
      </c>
      <c r="M42" s="488"/>
      <c r="N42" s="488"/>
      <c r="O42" s="489"/>
      <c r="P42" s="89"/>
      <c r="Q42" s="261"/>
      <c r="R42" s="262"/>
      <c r="S42" s="258"/>
    </row>
    <row r="43" spans="1:21" ht="17.25" hidden="1" customHeight="1" x14ac:dyDescent="0.15">
      <c r="B43" s="519"/>
      <c r="C43" s="84"/>
      <c r="D43" s="308"/>
      <c r="E43" s="487"/>
      <c r="F43" s="487"/>
      <c r="G43" s="605"/>
      <c r="H43" s="605"/>
      <c r="I43" s="605"/>
      <c r="J43" s="605"/>
      <c r="K43" s="605"/>
      <c r="L43" s="282">
        <f>INT(SUM(L40:L42)*100/12)+MOD(SUM(L40:L42)*100/12,1)*12/100</f>
        <v>0</v>
      </c>
      <c r="M43" s="89"/>
      <c r="N43" s="89"/>
      <c r="O43" s="90"/>
      <c r="P43" s="89"/>
      <c r="Q43" s="261"/>
      <c r="R43" s="262"/>
      <c r="S43" s="258"/>
    </row>
    <row r="44" spans="1:21" ht="17.25" customHeight="1" x14ac:dyDescent="0.15">
      <c r="A44" s="255">
        <v>3</v>
      </c>
      <c r="B44" s="519"/>
      <c r="C44" s="602" t="s">
        <v>542</v>
      </c>
      <c r="D44" s="308"/>
      <c r="E44" s="487"/>
      <c r="F44" s="487"/>
      <c r="G44" s="483" t="str">
        <f>IFERROR(INT((DATEDIF(D44,E44+1,"m")+N(DATEDIF(D44,E44+1,"md")&gt;=15))/12)&amp;"."&amp;TEXT(MOD(DATEDIF(D44,E44+1,"m")+N(DATEDIF(D44,E44+1,"md")&gt;=15),12),"00"),"")</f>
        <v>0.00</v>
      </c>
      <c r="H44" s="483"/>
      <c r="I44" s="483"/>
      <c r="J44" s="483"/>
      <c r="K44" s="483"/>
      <c r="L44" s="281">
        <f>IF(D44="",0,IF(AND(DATEDIF(D44,E44+1,"m")&lt;6,TEXT(D44,"yyyy")&lt;="2016"),0,IF(AND(VALUE(G44)&lt;1,TEXT(D44,"yyyy")&lt;"2017"),0,IF(AND(VALUE(G44)=1,TEXT(D44,"yyyy")&gt;"2016"),0.01,0))))</f>
        <v>0</v>
      </c>
      <c r="M44" s="488" t="s">
        <v>529</v>
      </c>
      <c r="N44" s="488"/>
      <c r="O44" s="489"/>
      <c r="P44" s="89">
        <f>IFERROR(IF(D44="",0,IF(AND(TEXT(D44,"yyyy")&lt;"2017",DATEDIF(D44,E44+1,"y")&lt;3),0,IF(TEXT(D44,"yyyy")&gt;="2017",INT((INT(G44)*12+VALUE(TEXT(MOD(G44,1)*100,"00")))*1)/100,INT((INT(G44)*12+VALUE(TEXT(MOD(G44,1)*100,"00")))*1)/100))),"-")</f>
        <v>0</v>
      </c>
      <c r="Q44" s="261"/>
      <c r="R44" s="262"/>
      <c r="S44" s="258"/>
    </row>
    <row r="45" spans="1:21" ht="17.25" customHeight="1" x14ac:dyDescent="0.15">
      <c r="B45" s="519"/>
      <c r="C45" s="603"/>
      <c r="D45" s="308"/>
      <c r="E45" s="487"/>
      <c r="F45" s="487"/>
      <c r="G45" s="483" t="str">
        <f t="shared" ref="G45:G46" si="14">IFERROR(INT((DATEDIF(D45,E45+1,"m")+N(DATEDIF(D45,E45+1,"md")&gt;=15))/12)&amp;"."&amp;TEXT(MOD(DATEDIF(D45,E45+1,"m")+N(DATEDIF(D45,E45+1,"md")&gt;=15),12),"00"),"")</f>
        <v>0.00</v>
      </c>
      <c r="H45" s="483"/>
      <c r="I45" s="483"/>
      <c r="J45" s="483"/>
      <c r="K45" s="483"/>
      <c r="L45" s="281">
        <f t="shared" ref="L45:L46" si="15">IF(D45="",0,IF(AND(DATEDIF(D45,E45+1,"m")&lt;6,TEXT(D45,"yyyy")&lt;="2016"),0,IF(AND(VALUE(G45)&lt;1,TEXT(D45,"yyyy")&lt;"2017"),0,IF(AND(VALUE(G45)=1,TEXT(D45,"yyyy")&gt;"2016"),0.01,0))))</f>
        <v>0</v>
      </c>
      <c r="M45" s="622"/>
      <c r="N45" s="623"/>
      <c r="O45" s="624"/>
      <c r="P45" s="89"/>
      <c r="Q45" s="283"/>
      <c r="R45" s="284"/>
      <c r="S45" s="285"/>
      <c r="T45" s="286"/>
    </row>
    <row r="46" spans="1:21" ht="17.25" customHeight="1" x14ac:dyDescent="0.15">
      <c r="B46" s="519"/>
      <c r="C46" s="604"/>
      <c r="D46" s="308"/>
      <c r="E46" s="487"/>
      <c r="F46" s="487"/>
      <c r="G46" s="483" t="str">
        <f t="shared" si="14"/>
        <v>0.00</v>
      </c>
      <c r="H46" s="483"/>
      <c r="I46" s="483"/>
      <c r="J46" s="483"/>
      <c r="K46" s="483"/>
      <c r="L46" s="281">
        <f t="shared" si="15"/>
        <v>0</v>
      </c>
      <c r="M46" s="87"/>
      <c r="N46" s="87"/>
      <c r="O46" s="88"/>
      <c r="P46" s="89"/>
      <c r="Q46" s="283"/>
      <c r="R46" s="284"/>
      <c r="S46" s="285"/>
      <c r="T46" s="286"/>
    </row>
    <row r="47" spans="1:21" ht="17.25" hidden="1" customHeight="1" x14ac:dyDescent="0.15">
      <c r="B47" s="519"/>
      <c r="C47" s="84"/>
      <c r="D47" s="288"/>
      <c r="E47" s="628"/>
      <c r="F47" s="628"/>
      <c r="G47" s="605"/>
      <c r="H47" s="605"/>
      <c r="I47" s="605"/>
      <c r="J47" s="605"/>
      <c r="K47" s="605"/>
      <c r="L47" s="282">
        <f>INT(SUM(L44:L46)*100/12)+MOD(SUM(L44:L46)*100/12,1)*12/100</f>
        <v>0</v>
      </c>
      <c r="M47" s="89"/>
      <c r="N47" s="89"/>
      <c r="O47" s="90"/>
      <c r="P47" s="89"/>
      <c r="Q47" s="283"/>
      <c r="R47" s="284"/>
      <c r="S47" s="285"/>
      <c r="T47" s="286"/>
    </row>
    <row r="48" spans="1:21" ht="14.25" customHeight="1" x14ac:dyDescent="0.15">
      <c r="B48" s="519"/>
      <c r="C48" s="606" t="s">
        <v>541</v>
      </c>
      <c r="D48" s="484" t="s">
        <v>295</v>
      </c>
      <c r="E48" s="484"/>
      <c r="F48" s="484" t="s">
        <v>508</v>
      </c>
      <c r="G48" s="484"/>
      <c r="H48" s="484"/>
      <c r="I48" s="484"/>
      <c r="J48" s="484" t="s">
        <v>509</v>
      </c>
      <c r="K48" s="484"/>
      <c r="L48" s="484"/>
      <c r="M48" s="484"/>
      <c r="N48" s="484" t="s">
        <v>111</v>
      </c>
      <c r="O48" s="485"/>
      <c r="P48" s="156"/>
      <c r="Q48" s="283"/>
      <c r="R48" s="284"/>
      <c r="S48" s="285"/>
      <c r="T48" s="286"/>
    </row>
    <row r="49" spans="1:20" ht="22.5" customHeight="1" x14ac:dyDescent="0.15">
      <c r="B49" s="519"/>
      <c r="C49" s="606"/>
      <c r="D49" s="615"/>
      <c r="E49" s="615"/>
      <c r="F49" s="615"/>
      <c r="G49" s="615"/>
      <c r="H49" s="615"/>
      <c r="I49" s="615"/>
      <c r="J49" s="615"/>
      <c r="K49" s="615"/>
      <c r="L49" s="615"/>
      <c r="M49" s="615"/>
      <c r="N49" s="615"/>
      <c r="O49" s="616"/>
      <c r="P49" s="157"/>
      <c r="Q49" s="283"/>
      <c r="R49" s="284"/>
      <c r="S49" s="285"/>
      <c r="T49" s="286"/>
    </row>
    <row r="50" spans="1:20" ht="16.5" hidden="1" customHeight="1" x14ac:dyDescent="0.15">
      <c r="B50" s="518"/>
      <c r="C50" s="44"/>
      <c r="D50" s="620">
        <f>(F49*3+J49*2+N49)/100</f>
        <v>0</v>
      </c>
      <c r="E50" s="621"/>
      <c r="F50" s="621"/>
      <c r="G50" s="621"/>
      <c r="H50" s="621"/>
      <c r="I50" s="621"/>
      <c r="J50" s="521">
        <f>INT(D50*100/12)+MOD(D50*100/12,1)*12/100</f>
        <v>0</v>
      </c>
      <c r="K50" s="521"/>
      <c r="L50" s="521"/>
      <c r="M50" s="521"/>
      <c r="N50" s="521"/>
      <c r="O50" s="522"/>
      <c r="P50" s="158"/>
      <c r="Q50" s="283"/>
      <c r="R50" s="284"/>
      <c r="S50" s="285"/>
      <c r="T50" s="286"/>
    </row>
    <row r="51" spans="1:20" ht="11.25" customHeight="1" x14ac:dyDescent="0.15">
      <c r="A51" s="255">
        <v>2</v>
      </c>
      <c r="B51" s="518"/>
      <c r="C51" s="535" t="s">
        <v>603</v>
      </c>
      <c r="D51" s="484" t="s">
        <v>129</v>
      </c>
      <c r="E51" s="484" t="s">
        <v>519</v>
      </c>
      <c r="F51" s="484"/>
      <c r="G51" s="637" t="s">
        <v>93</v>
      </c>
      <c r="H51" s="637"/>
      <c r="I51" s="637"/>
      <c r="J51" s="631" t="s">
        <v>615</v>
      </c>
      <c r="K51" s="631"/>
      <c r="L51" s="632"/>
      <c r="M51" s="529" t="s">
        <v>606</v>
      </c>
      <c r="N51" s="610"/>
      <c r="O51" s="611"/>
      <c r="P51" s="156"/>
      <c r="Q51" s="283"/>
      <c r="R51" s="284"/>
      <c r="S51" s="285"/>
      <c r="T51" s="286"/>
    </row>
    <row r="52" spans="1:20" ht="11.25" customHeight="1" x14ac:dyDescent="0.15">
      <c r="B52" s="518"/>
      <c r="C52" s="530"/>
      <c r="D52" s="484"/>
      <c r="E52" s="484"/>
      <c r="F52" s="484"/>
      <c r="G52" s="637"/>
      <c r="H52" s="637"/>
      <c r="I52" s="637"/>
      <c r="J52" s="633"/>
      <c r="K52" s="633"/>
      <c r="L52" s="634"/>
      <c r="M52" s="612"/>
      <c r="N52" s="613"/>
      <c r="O52" s="614"/>
      <c r="P52" s="156"/>
      <c r="Q52" s="297"/>
      <c r="R52" s="284"/>
      <c r="S52" s="285"/>
      <c r="T52" s="286"/>
    </row>
    <row r="53" spans="1:20" ht="17.25" customHeight="1" x14ac:dyDescent="0.15">
      <c r="B53" s="518"/>
      <c r="C53" s="531"/>
      <c r="D53" s="340"/>
      <c r="E53" s="641"/>
      <c r="F53" s="642"/>
      <c r="G53" s="638">
        <f>IF(OR(D53="O",E53="O"),INT((((INT(개별기초자료!E16)*12)/100+개별기초자료!E16-INT(개별기초자료!E16))*0.5)*100/12)+MOD((((INT(개별기초자료!E16)*12)/100+개별기초자료!E16-INT(개별기초자료!E16))*0.5)*100/12,1)*12/100,0)</f>
        <v>0</v>
      </c>
      <c r="H53" s="639"/>
      <c r="I53" s="640"/>
      <c r="J53" s="635"/>
      <c r="K53" s="635"/>
      <c r="L53" s="636"/>
      <c r="M53" s="547" t="str">
        <f>IF(OR(개별기초자료!B10&gt;=58,개별기초자료!E19=2),"O","")</f>
        <v/>
      </c>
      <c r="N53" s="617"/>
      <c r="O53" s="618"/>
      <c r="P53" s="48"/>
      <c r="Q53" s="298"/>
      <c r="R53" s="287"/>
      <c r="S53" s="258"/>
      <c r="T53" s="296"/>
    </row>
    <row r="54" spans="1:20" ht="16.5" customHeight="1" x14ac:dyDescent="0.15">
      <c r="B54" s="518"/>
      <c r="C54" s="529" t="s">
        <v>212</v>
      </c>
      <c r="D54" s="84" t="s">
        <v>134</v>
      </c>
      <c r="E54" s="540" t="s">
        <v>589</v>
      </c>
      <c r="F54" s="540"/>
      <c r="G54" s="619"/>
      <c r="H54" s="612" t="s">
        <v>579</v>
      </c>
      <c r="I54" s="613"/>
      <c r="J54" s="543"/>
      <c r="K54" s="543"/>
      <c r="L54" s="267" t="s">
        <v>93</v>
      </c>
      <c r="M54" s="542" t="s">
        <v>349</v>
      </c>
      <c r="N54" s="543"/>
      <c r="O54" s="545"/>
      <c r="P54" s="156"/>
      <c r="Q54" s="283"/>
      <c r="R54" s="284"/>
      <c r="S54" s="285"/>
      <c r="T54" s="286"/>
    </row>
    <row r="55" spans="1:20" ht="16.5" customHeight="1" x14ac:dyDescent="0.15">
      <c r="A55" s="255">
        <v>3</v>
      </c>
      <c r="B55" s="518"/>
      <c r="C55" s="538"/>
      <c r="D55" s="310"/>
      <c r="E55" s="469"/>
      <c r="F55" s="470"/>
      <c r="G55" s="546"/>
      <c r="H55" s="469"/>
      <c r="I55" s="470"/>
      <c r="J55" s="470"/>
      <c r="K55" s="470"/>
      <c r="L55" s="268">
        <f>IFERROR(IF(D55="",0,IF(OR(개별기초자료!$E$18="학교만기",개별기초자료!$E$18="구역만기"),INT(M55)*VLOOKUP(P55,조견표!$F$133:$O$257,3,0),INT((INT(M55)*12+VALUE(TEXT(MOD(M55,1)*100,"00")))*VLOOKUP(P55,조견표!$F$133:$O$257,4,0))/100)),"")</f>
        <v>0</v>
      </c>
      <c r="M55" s="471" t="str">
        <f>IFERROR(DATEDIF(E55,H55+1,"y")&amp;"."&amp;TEXT(DATEDIF(E55,H55+1,"ym"),"00"),"")</f>
        <v>0.00</v>
      </c>
      <c r="N55" s="472"/>
      <c r="O55" s="473"/>
      <c r="P55" s="202" t="str">
        <f>$D$5&amp;D55</f>
        <v>안산양지초등학교</v>
      </c>
      <c r="Q55" s="283"/>
      <c r="R55" s="284" t="str">
        <f>+IF(H55=0,"",IF(MOD(YEAR(H55),4)=0,"◀ 윤년!!",""))</f>
        <v/>
      </c>
      <c r="S55" s="285"/>
      <c r="T55" s="286"/>
    </row>
    <row r="56" spans="1:20" ht="16.5" customHeight="1" x14ac:dyDescent="0.15">
      <c r="B56" s="518"/>
      <c r="C56" s="538"/>
      <c r="D56" s="310"/>
      <c r="E56" s="474"/>
      <c r="F56" s="475"/>
      <c r="G56" s="476"/>
      <c r="H56" s="474"/>
      <c r="I56" s="475"/>
      <c r="J56" s="475"/>
      <c r="K56" s="475"/>
      <c r="L56" s="269">
        <f>IFERROR(IF(D56="",0,IF(OR(개별기초자료!$E$18="학교만기",개별기초자료!$E$18="구역만기"),INT(M56)*VLOOKUP(P56,조견표!$F$133:$O$257,3,0),INT((INT(M56)*12+VALUE(TEXT(MOD(M56,1)*100,"00")))*VLOOKUP(P56,조견표!$F$133:$O$257,4,0))/100)),"")</f>
        <v>0</v>
      </c>
      <c r="M56" s="477" t="str">
        <f>IFERROR(DATEDIF(E56,H56+1,"y")&amp;"."&amp;TEXT(DATEDIF(E56,H56+1,"ym"),"00"),"")</f>
        <v>0.00</v>
      </c>
      <c r="N56" s="478"/>
      <c r="O56" s="479"/>
      <c r="P56" s="202" t="str">
        <f>$D$5&amp;D56</f>
        <v>안산양지초등학교</v>
      </c>
      <c r="Q56" s="283"/>
      <c r="R56" s="284" t="str">
        <f>+IF(H56=0,"",IF(MOD(YEAR(H56),4)=0,"◀ 윤년!!",""))</f>
        <v/>
      </c>
      <c r="S56" s="285"/>
      <c r="T56" s="286"/>
    </row>
    <row r="57" spans="1:20" ht="16.5" customHeight="1" x14ac:dyDescent="0.15">
      <c r="B57" s="518"/>
      <c r="C57" s="538"/>
      <c r="D57" s="310"/>
      <c r="E57" s="474"/>
      <c r="F57" s="475"/>
      <c r="G57" s="476"/>
      <c r="H57" s="474"/>
      <c r="I57" s="475"/>
      <c r="J57" s="475"/>
      <c r="K57" s="475"/>
      <c r="L57" s="269">
        <f>IFERROR(IF(D57="",0,IF(OR(개별기초자료!$E$18="학교만기",개별기초자료!$E$18="구역만기"),INT(M57)*VLOOKUP(P57,조견표!$F$133:$O$257,3,0),INT((INT(M57)*12+VALUE(TEXT(MOD(M57,1)*100,"00")))*VLOOKUP(P57,조견표!$F$133:$O$257,4,0))/100)),"")</f>
        <v>0</v>
      </c>
      <c r="M57" s="477" t="str">
        <f>IFERROR(DATEDIF(E57,H57+1,"y")&amp;"."&amp;TEXT(DATEDIF(E57,H57+1,"ym"),"00"),"")</f>
        <v>0.00</v>
      </c>
      <c r="N57" s="478"/>
      <c r="O57" s="479"/>
      <c r="P57" s="202" t="str">
        <f t="shared" ref="P57:P58" si="16">$D$5&amp;D57</f>
        <v>안산양지초등학교</v>
      </c>
      <c r="Q57" s="283"/>
      <c r="R57" s="284" t="str">
        <f>+IF(H57=0,"",IF(MOD(YEAR(H57),4)=0,"◀ 윤년!!",""))</f>
        <v/>
      </c>
      <c r="S57" s="285"/>
      <c r="T57" s="286"/>
    </row>
    <row r="58" spans="1:20" ht="16.5" hidden="1" customHeight="1" x14ac:dyDescent="0.15">
      <c r="B58" s="518"/>
      <c r="C58" s="538"/>
      <c r="D58" s="310"/>
      <c r="E58" s="474"/>
      <c r="F58" s="475"/>
      <c r="G58" s="476"/>
      <c r="H58" s="474"/>
      <c r="I58" s="475"/>
      <c r="J58" s="475"/>
      <c r="K58" s="475"/>
      <c r="L58" s="270">
        <f>IFERROR(IF(D58="",0,IF(OR(개별기초자료!$E$18="학교만기",개별기초자료!$E$18="구역만기"),INT(M58)*VLOOKUP(P58,조견표!$F$133:$O$257,3,0),INT((INT(M58)*12+VALUE(TEXT(MOD(M58,1)*100,"00")))*VLOOKUP(P58,조견표!$F$133:$O$257,4,0))/100)),"")</f>
        <v>0</v>
      </c>
      <c r="M58" s="477" t="str">
        <f>IFERROR(DATEDIF(E58,H58+1,"y")&amp;"."&amp;TEXT(DATEDIF(E58,H58+1,"ym"),"00"),"")</f>
        <v>0.00</v>
      </c>
      <c r="N58" s="478"/>
      <c r="O58" s="479"/>
      <c r="P58" s="202" t="str">
        <f t="shared" si="16"/>
        <v>안산양지초등학교</v>
      </c>
      <c r="Q58" s="283"/>
      <c r="R58" s="284" t="str">
        <f>+IF(H58=0,"",IF(MOD(YEAR(H58),4)=0,"◀ 윤년!!",""))</f>
        <v/>
      </c>
      <c r="S58" s="285"/>
      <c r="T58" s="286"/>
    </row>
    <row r="59" spans="1:20" ht="16.5" hidden="1" customHeight="1" x14ac:dyDescent="0.15">
      <c r="B59" s="518"/>
      <c r="C59" s="539"/>
      <c r="D59" s="625" t="s">
        <v>313</v>
      </c>
      <c r="E59" s="626"/>
      <c r="F59" s="626"/>
      <c r="G59" s="626"/>
      <c r="H59" s="626"/>
      <c r="I59" s="626"/>
      <c r="J59" s="626"/>
      <c r="K59" s="627"/>
      <c r="L59" s="271">
        <f>INT(SUM(L55:L58)*100/12)+MOD(SUM(L55:L58)*100/12,1)*12/100</f>
        <v>0</v>
      </c>
      <c r="M59" s="466"/>
      <c r="N59" s="467"/>
      <c r="O59" s="468"/>
      <c r="P59" s="48"/>
      <c r="Q59" s="283"/>
      <c r="R59" s="284" t="str">
        <f>+IF(H59=0,"",IF(MOD(YEAR(H59),4)=0,"◀ 윤년!!",""))</f>
        <v/>
      </c>
      <c r="S59" s="285"/>
      <c r="T59" s="286"/>
    </row>
    <row r="60" spans="1:20" ht="16.5" customHeight="1" x14ac:dyDescent="0.15">
      <c r="B60" s="518"/>
      <c r="C60" s="529" t="s">
        <v>607</v>
      </c>
      <c r="D60" s="99" t="s">
        <v>505</v>
      </c>
      <c r="E60" s="540" t="s">
        <v>589</v>
      </c>
      <c r="F60" s="540"/>
      <c r="G60" s="541"/>
      <c r="H60" s="542" t="s">
        <v>579</v>
      </c>
      <c r="I60" s="543"/>
      <c r="J60" s="543"/>
      <c r="K60" s="544"/>
      <c r="L60" s="267"/>
      <c r="M60" s="542" t="s">
        <v>349</v>
      </c>
      <c r="N60" s="543"/>
      <c r="O60" s="545"/>
      <c r="P60" s="156"/>
      <c r="Q60" s="261"/>
      <c r="R60" s="262"/>
      <c r="S60" s="258"/>
    </row>
    <row r="61" spans="1:20" ht="16.5" customHeight="1" x14ac:dyDescent="0.15">
      <c r="A61" s="255">
        <v>3</v>
      </c>
      <c r="B61" s="518"/>
      <c r="C61" s="538"/>
      <c r="D61" s="311"/>
      <c r="E61" s="469"/>
      <c r="F61" s="470"/>
      <c r="G61" s="546"/>
      <c r="H61" s="469"/>
      <c r="I61" s="470"/>
      <c r="J61" s="470"/>
      <c r="K61" s="546"/>
      <c r="L61" s="300"/>
      <c r="M61" s="547">
        <f>IFERROR(IF(E61="",0,IF(DATEDIF(E61,H61,"ym")+IF(DATEDIF(E61,H61,"md")+1&gt;=15,1,0)=12,DATEDIF(E61,H61,"y")+1&amp;"."&amp;"00",IF(OR(DATEDIF(E61,H61,"ym")+IF(DATEDIF(E61,H61,"md")+1&gt;=15,1,0)=11,DATEDIF(E61,H61,"ym")+IF(DATEDIF(E61,H61,"md")+1&gt;=15,1,0)=10),DATEDIF(E61,H61,"y")&amp;"."&amp;DATEDIF(E61,H61,"ym")+IF(DATEDIF(E61,H61,"md")+1&gt;=15,1,0),DATEDIF(E61,H61,"y")&amp;".0"&amp;DATEDIF(E61,H61,"ym")+IF(DATEDIF(E61,H61,"md")+1&gt;=15,1,0)))),0)</f>
        <v>0</v>
      </c>
      <c r="N61" s="548"/>
      <c r="O61" s="549"/>
      <c r="P61" s="48"/>
      <c r="Q61" s="261"/>
      <c r="R61" s="262" t="str">
        <f>+IF(H61=0,"",IF(MOD(YEAR(H61),4)=0,"◀ 윤년!!",""))</f>
        <v/>
      </c>
      <c r="S61" s="258"/>
    </row>
    <row r="62" spans="1:20" ht="16.5" customHeight="1" x14ac:dyDescent="0.15">
      <c r="B62" s="518"/>
      <c r="C62" s="538"/>
      <c r="D62" s="312"/>
      <c r="E62" s="474"/>
      <c r="F62" s="475"/>
      <c r="G62" s="476"/>
      <c r="H62" s="474"/>
      <c r="I62" s="475"/>
      <c r="J62" s="475"/>
      <c r="K62" s="476"/>
      <c r="L62" s="301"/>
      <c r="M62" s="477">
        <f t="shared" ref="M62:M65" si="17">IFERROR(IF(E62="",0,IF(DATEDIF(E62,H62,"ym")+IF(DATEDIF(E62,H62,"md")+1&gt;=15,1,0)=12,DATEDIF(E62,H62,"y")+1&amp;"."&amp;"00",IF(OR(DATEDIF(E62,H62,"ym")+IF(DATEDIF(E62,H62,"md")+1&gt;=15,1,0)=11,DATEDIF(E62,H62,"ym")+IF(DATEDIF(E62,H62,"md")+1&gt;=15,1,0)=10),DATEDIF(E62,H62,"y")&amp;"."&amp;DATEDIF(E62,H62,"ym")+IF(DATEDIF(E62,H62,"md")+1&gt;=15,1,0),DATEDIF(E62,H62,"y")&amp;".0"&amp;DATEDIF(E62,H62,"ym")+IF(DATEDIF(E62,H62,"md")+1&gt;=15,1,0)))),0)</f>
        <v>0</v>
      </c>
      <c r="N62" s="478"/>
      <c r="O62" s="479"/>
      <c r="P62" s="48"/>
      <c r="Q62" s="261"/>
      <c r="R62" s="262" t="str">
        <f>+IF(H62=0,"",IF(MOD(YEAR(H62),4)=0,"◀ 윤년!!",""))</f>
        <v/>
      </c>
      <c r="S62" s="258"/>
    </row>
    <row r="63" spans="1:20" ht="16.5" customHeight="1" x14ac:dyDescent="0.15">
      <c r="B63" s="518"/>
      <c r="C63" s="538"/>
      <c r="D63" s="312"/>
      <c r="E63" s="474"/>
      <c r="F63" s="475"/>
      <c r="G63" s="476"/>
      <c r="H63" s="474"/>
      <c r="I63" s="475"/>
      <c r="J63" s="475"/>
      <c r="K63" s="476"/>
      <c r="L63" s="301"/>
      <c r="M63" s="477">
        <f t="shared" si="17"/>
        <v>0</v>
      </c>
      <c r="N63" s="478"/>
      <c r="O63" s="479"/>
      <c r="P63" s="48"/>
      <c r="Q63" s="261"/>
      <c r="R63" s="262" t="str">
        <f>+IF(H63=0,"",IF(MOD(YEAR(H63),4)=0,"◀ 윤년!!",""))</f>
        <v/>
      </c>
      <c r="S63" s="258"/>
    </row>
    <row r="64" spans="1:20" ht="16.5" hidden="1" customHeight="1" x14ac:dyDescent="0.15">
      <c r="B64" s="518"/>
      <c r="C64" s="538"/>
      <c r="D64" s="312"/>
      <c r="E64" s="474"/>
      <c r="F64" s="475"/>
      <c r="G64" s="476"/>
      <c r="H64" s="474"/>
      <c r="I64" s="475"/>
      <c r="J64" s="475"/>
      <c r="K64" s="476"/>
      <c r="L64" s="301"/>
      <c r="M64" s="477">
        <f t="shared" si="17"/>
        <v>0</v>
      </c>
      <c r="N64" s="478"/>
      <c r="O64" s="479"/>
      <c r="P64" s="48"/>
      <c r="Q64" s="261"/>
      <c r="R64" s="262" t="str">
        <f>+IF(H64=0,"",IF(MOD(YEAR(H64),4)=0,"◀ 윤년!!",""))</f>
        <v/>
      </c>
      <c r="S64" s="258"/>
    </row>
    <row r="65" spans="2:19" ht="16.5" hidden="1" customHeight="1" x14ac:dyDescent="0.15">
      <c r="B65" s="520"/>
      <c r="C65" s="539"/>
      <c r="D65" s="313"/>
      <c r="E65" s="567"/>
      <c r="F65" s="568"/>
      <c r="G65" s="569"/>
      <c r="H65" s="567"/>
      <c r="I65" s="568"/>
      <c r="J65" s="568"/>
      <c r="K65" s="569"/>
      <c r="L65" s="302"/>
      <c r="M65" s="607">
        <f t="shared" si="17"/>
        <v>0</v>
      </c>
      <c r="N65" s="608"/>
      <c r="O65" s="609"/>
      <c r="P65" s="48"/>
      <c r="Q65" s="261"/>
      <c r="R65" s="262" t="str">
        <f>+IF(H65=0,"",IF(MOD(YEAR(H65),4)=0,"◀ 윤년!!",""))</f>
        <v/>
      </c>
      <c r="S65" s="258"/>
    </row>
    <row r="66" spans="2:19" hidden="1" x14ac:dyDescent="0.15">
      <c r="B66" s="98"/>
      <c r="C66" s="46"/>
      <c r="D66" s="47"/>
      <c r="E66" s="45"/>
      <c r="F66" s="45"/>
      <c r="G66" s="45"/>
      <c r="H66" s="48"/>
      <c r="I66" s="48"/>
      <c r="J66" s="48"/>
      <c r="K66" s="48"/>
      <c r="L66" s="48"/>
      <c r="M66" s="550">
        <f>INT(VALUE(M61)+VALUE(M62)+VALUE(M63)+VALUE(M64)+VALUE(M65))+IF(MOD(VALUE(M61)+VALUE(M62)+VALUE(M63)+VALUE(M64)+VALUE(M65),1)*100&lt;12,0,IF(MOD(VALUE(M61)+VALUE(M62)+VALUE(M63)+VALUE(M64)+VALUE(M65),1)*100&lt;24,1,2))+IF(MOD(MOD(VALUE(M61)+VALUE(M62)+VALUE(M63)+VALUE(M64)+VALUE(M65),1)*100,12)/100=0.12,0,MOD(MOD(VALUE(M61)+VALUE(M62)+VALUE(M63)+VALUE(M64)+VALUE(M65),1)*100,12)/100)</f>
        <v>0</v>
      </c>
      <c r="N66" s="550"/>
      <c r="O66" s="551"/>
      <c r="P66" s="159"/>
      <c r="Q66" s="261"/>
      <c r="R66" s="262"/>
      <c r="S66" s="258"/>
    </row>
    <row r="67" spans="2:19" ht="15" customHeight="1" x14ac:dyDescent="0.15">
      <c r="B67" s="570" t="s">
        <v>514</v>
      </c>
      <c r="C67" s="571"/>
      <c r="D67" s="511" t="s">
        <v>303</v>
      </c>
      <c r="E67" s="512"/>
      <c r="F67" s="512"/>
      <c r="G67" s="512"/>
      <c r="H67" s="574"/>
      <c r="I67" s="523" t="s">
        <v>521</v>
      </c>
      <c r="J67" s="576"/>
      <c r="K67" s="579" t="str">
        <f>IF(개별기초자료!E9="유치원교사","원 감","교 감")</f>
        <v>교 감</v>
      </c>
      <c r="L67" s="579"/>
      <c r="M67" s="579"/>
      <c r="N67" s="579" t="str">
        <f>IF(개별기초자료!E9="유치원교사","원 장","교 장")</f>
        <v>교 장</v>
      </c>
      <c r="O67" s="587"/>
      <c r="P67" s="93"/>
      <c r="Q67" s="261"/>
      <c r="R67" s="262"/>
      <c r="S67" s="258"/>
    </row>
    <row r="68" spans="2:19" ht="27.75" customHeight="1" x14ac:dyDescent="0.15">
      <c r="B68" s="572"/>
      <c r="C68" s="573"/>
      <c r="D68" s="514"/>
      <c r="E68" s="515"/>
      <c r="F68" s="515"/>
      <c r="G68" s="515"/>
      <c r="H68" s="575"/>
      <c r="I68" s="577"/>
      <c r="J68" s="578"/>
      <c r="K68" s="536" t="str">
        <f>개별기초자료!K23&amp;" (인)"</f>
        <v>나교감 (인)</v>
      </c>
      <c r="L68" s="536"/>
      <c r="M68" s="536"/>
      <c r="N68" s="536" t="str">
        <f>개별기초자료!K22&amp;" (인)"</f>
        <v>나교장 (인)</v>
      </c>
      <c r="O68" s="537"/>
      <c r="P68" s="160"/>
      <c r="Q68" s="261"/>
      <c r="R68" s="262"/>
      <c r="S68" s="258"/>
    </row>
    <row r="69" spans="2:19" ht="16.5" customHeight="1" x14ac:dyDescent="0.15">
      <c r="B69" s="580" t="s">
        <v>608</v>
      </c>
      <c r="C69" s="581"/>
      <c r="D69" s="581"/>
      <c r="E69" s="581"/>
      <c r="F69" s="581"/>
      <c r="G69" s="581"/>
      <c r="H69" s="581"/>
      <c r="I69" s="581"/>
      <c r="J69" s="581"/>
      <c r="K69" s="582"/>
      <c r="L69" s="582"/>
      <c r="M69" s="582"/>
      <c r="N69" s="582"/>
      <c r="O69" s="583"/>
      <c r="P69" s="96"/>
      <c r="Q69" s="261"/>
      <c r="R69" s="262"/>
      <c r="S69" s="258"/>
    </row>
    <row r="70" spans="2:19" ht="16.5" customHeight="1" x14ac:dyDescent="0.15">
      <c r="B70" s="584">
        <f ca="1">TODAY()</f>
        <v>43357</v>
      </c>
      <c r="C70" s="585"/>
      <c r="D70" s="585"/>
      <c r="E70" s="585"/>
      <c r="F70" s="585"/>
      <c r="G70" s="585"/>
      <c r="H70" s="585"/>
      <c r="I70" s="585"/>
      <c r="J70" s="585"/>
      <c r="K70" s="585"/>
      <c r="L70" s="585"/>
      <c r="M70" s="585"/>
      <c r="N70" s="585"/>
      <c r="O70" s="586"/>
      <c r="P70" s="97"/>
      <c r="Q70" s="261"/>
      <c r="R70" s="262"/>
      <c r="S70" s="258"/>
    </row>
    <row r="71" spans="2:19" ht="26.25" customHeight="1" x14ac:dyDescent="0.15">
      <c r="B71" s="561" t="str">
        <f>IF(개별기초자료!E13="대남초풍도분교","대남초등학교 풍도분교",IF(OR(개별기초자료!E9="유치원교사",개별기초자료!E9="원감"),개별기초자료!E13&amp;"장 (직인)",개별기초자료!E13&amp;"등학교장 (직인)"))</f>
        <v>안산양지초등학교장 (직인)</v>
      </c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161"/>
      <c r="Q71" s="261"/>
      <c r="R71" s="262"/>
      <c r="S71" s="258"/>
    </row>
    <row r="72" spans="2:19" ht="14.25" customHeight="1" x14ac:dyDescent="0.15">
      <c r="B72" s="564" t="s">
        <v>504</v>
      </c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6"/>
      <c r="P72" s="162"/>
      <c r="Q72" s="261"/>
      <c r="R72" s="262"/>
      <c r="S72" s="258"/>
    </row>
    <row r="73" spans="2:19" ht="14.25" customHeight="1" x14ac:dyDescent="0.15">
      <c r="B73" s="558" t="s">
        <v>209</v>
      </c>
      <c r="C73" s="559"/>
      <c r="D73" s="559"/>
      <c r="E73" s="559"/>
      <c r="F73" s="559"/>
      <c r="G73" s="559"/>
      <c r="H73" s="559"/>
      <c r="I73" s="559"/>
      <c r="J73" s="559"/>
      <c r="K73" s="559"/>
      <c r="L73" s="559"/>
      <c r="M73" s="559"/>
      <c r="N73" s="559"/>
      <c r="O73" s="560"/>
      <c r="P73" s="95"/>
      <c r="Q73" s="261"/>
      <c r="R73" s="262"/>
      <c r="S73" s="258"/>
    </row>
    <row r="74" spans="2:19" ht="14.25" customHeight="1" x14ac:dyDescent="0.15">
      <c r="B74" s="558" t="s">
        <v>214</v>
      </c>
      <c r="C74" s="559"/>
      <c r="D74" s="559"/>
      <c r="E74" s="559"/>
      <c r="F74" s="559"/>
      <c r="G74" s="559"/>
      <c r="H74" s="559"/>
      <c r="I74" s="559"/>
      <c r="J74" s="559"/>
      <c r="K74" s="559"/>
      <c r="L74" s="559"/>
      <c r="M74" s="559"/>
      <c r="N74" s="559"/>
      <c r="O74" s="560"/>
      <c r="P74" s="95"/>
      <c r="Q74" s="261"/>
      <c r="R74" s="262"/>
      <c r="S74" s="258"/>
    </row>
    <row r="75" spans="2:19" ht="14.25" customHeight="1" x14ac:dyDescent="0.15">
      <c r="B75" s="555" t="s">
        <v>200</v>
      </c>
      <c r="C75" s="556"/>
      <c r="D75" s="556"/>
      <c r="E75" s="556"/>
      <c r="F75" s="556"/>
      <c r="G75" s="556"/>
      <c r="H75" s="556"/>
      <c r="I75" s="556"/>
      <c r="J75" s="556"/>
      <c r="K75" s="556"/>
      <c r="L75" s="556"/>
      <c r="M75" s="556"/>
      <c r="N75" s="556"/>
      <c r="O75" s="557"/>
      <c r="P75" s="94"/>
      <c r="Q75" s="261"/>
      <c r="R75" s="262"/>
      <c r="S75" s="258"/>
    </row>
    <row r="76" spans="2:19" ht="14.25" customHeight="1" x14ac:dyDescent="0.15">
      <c r="B76" s="558" t="s">
        <v>203</v>
      </c>
      <c r="C76" s="559"/>
      <c r="D76" s="559"/>
      <c r="E76" s="559"/>
      <c r="F76" s="559"/>
      <c r="G76" s="559"/>
      <c r="H76" s="559"/>
      <c r="I76" s="559"/>
      <c r="J76" s="559"/>
      <c r="K76" s="559"/>
      <c r="L76" s="559"/>
      <c r="M76" s="559"/>
      <c r="N76" s="559"/>
      <c r="O76" s="560"/>
      <c r="P76" s="95"/>
      <c r="Q76" s="261"/>
      <c r="R76" s="262"/>
      <c r="S76" s="258"/>
    </row>
    <row r="77" spans="2:19" ht="14.25" customHeight="1" x14ac:dyDescent="0.15">
      <c r="B77" s="555" t="s">
        <v>204</v>
      </c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94"/>
      <c r="Q77" s="261"/>
      <c r="R77" s="262"/>
      <c r="S77" s="258"/>
    </row>
    <row r="78" spans="2:19" ht="14.25" customHeight="1" x14ac:dyDescent="0.15">
      <c r="B78" s="558" t="s">
        <v>17</v>
      </c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95"/>
      <c r="Q78" s="261"/>
      <c r="R78" s="262"/>
      <c r="S78" s="258"/>
    </row>
    <row r="79" spans="2:19" ht="14.25" customHeight="1" x14ac:dyDescent="0.15">
      <c r="B79" s="558" t="s">
        <v>213</v>
      </c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95"/>
      <c r="Q79" s="261"/>
      <c r="R79" s="262"/>
      <c r="S79" s="258"/>
    </row>
    <row r="80" spans="2:19" ht="14.25" customHeight="1" x14ac:dyDescent="0.15">
      <c r="B80" s="558" t="s">
        <v>503</v>
      </c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60"/>
      <c r="P80" s="95"/>
      <c r="Q80" s="261"/>
      <c r="R80" s="262"/>
      <c r="S80" s="258"/>
    </row>
    <row r="81" spans="2:19" ht="14.25" customHeight="1" x14ac:dyDescent="0.15">
      <c r="B81" s="552" t="s">
        <v>207</v>
      </c>
      <c r="C81" s="553"/>
      <c r="D81" s="553"/>
      <c r="E81" s="553"/>
      <c r="F81" s="553"/>
      <c r="G81" s="553"/>
      <c r="H81" s="553"/>
      <c r="I81" s="553"/>
      <c r="J81" s="553"/>
      <c r="K81" s="553"/>
      <c r="L81" s="553"/>
      <c r="M81" s="553"/>
      <c r="N81" s="553"/>
      <c r="O81" s="554"/>
      <c r="P81" s="95"/>
      <c r="Q81" s="261"/>
      <c r="R81" s="262"/>
      <c r="S81" s="258"/>
    </row>
  </sheetData>
  <sheetProtection password="DA8F" sheet="1" objects="1" scenarios="1" selectLockedCells="1"/>
  <mergeCells count="211">
    <mergeCell ref="E12:F12"/>
    <mergeCell ref="D51:D52"/>
    <mergeCell ref="E51:F52"/>
    <mergeCell ref="E53:F53"/>
    <mergeCell ref="I4:L4"/>
    <mergeCell ref="D59:K59"/>
    <mergeCell ref="G27:K27"/>
    <mergeCell ref="G34:K34"/>
    <mergeCell ref="G33:K33"/>
    <mergeCell ref="E30:F30"/>
    <mergeCell ref="G29:K29"/>
    <mergeCell ref="G30:K30"/>
    <mergeCell ref="G43:K43"/>
    <mergeCell ref="E47:F47"/>
    <mergeCell ref="G47:K47"/>
    <mergeCell ref="G28:K28"/>
    <mergeCell ref="G21:K21"/>
    <mergeCell ref="E34:F34"/>
    <mergeCell ref="E39:F39"/>
    <mergeCell ref="E35:F35"/>
    <mergeCell ref="E36:F36"/>
    <mergeCell ref="E37:F37"/>
    <mergeCell ref="E38:F38"/>
    <mergeCell ref="E13:F13"/>
    <mergeCell ref="E14:F14"/>
    <mergeCell ref="E17:F17"/>
    <mergeCell ref="E18:F18"/>
    <mergeCell ref="E19:F19"/>
    <mergeCell ref="M51:O52"/>
    <mergeCell ref="D49:E49"/>
    <mergeCell ref="F49:I49"/>
    <mergeCell ref="J49:M49"/>
    <mergeCell ref="N49:O49"/>
    <mergeCell ref="C51:C53"/>
    <mergeCell ref="M53:O53"/>
    <mergeCell ref="C54:C59"/>
    <mergeCell ref="E54:G54"/>
    <mergeCell ref="H54:K54"/>
    <mergeCell ref="M54:O54"/>
    <mergeCell ref="E55:G55"/>
    <mergeCell ref="D50:I50"/>
    <mergeCell ref="J51:L53"/>
    <mergeCell ref="G51:I52"/>
    <mergeCell ref="G53:I53"/>
    <mergeCell ref="C34:C38"/>
    <mergeCell ref="G36:K36"/>
    <mergeCell ref="G37:K37"/>
    <mergeCell ref="M36:O36"/>
    <mergeCell ref="M37:O37"/>
    <mergeCell ref="G35:K35"/>
    <mergeCell ref="M35:O35"/>
    <mergeCell ref="G15:K15"/>
    <mergeCell ref="C48:C49"/>
    <mergeCell ref="C44:C46"/>
    <mergeCell ref="E44:F44"/>
    <mergeCell ref="G44:K44"/>
    <mergeCell ref="M44:O44"/>
    <mergeCell ref="E45:F45"/>
    <mergeCell ref="G45:K45"/>
    <mergeCell ref="M45:O45"/>
    <mergeCell ref="E46:F46"/>
    <mergeCell ref="G46:K46"/>
    <mergeCell ref="E20:F20"/>
    <mergeCell ref="E41:F41"/>
    <mergeCell ref="E42:F42"/>
    <mergeCell ref="E23:F23"/>
    <mergeCell ref="E24:F24"/>
    <mergeCell ref="E25:F25"/>
    <mergeCell ref="M16:O16"/>
    <mergeCell ref="G19:K19"/>
    <mergeCell ref="M19:O19"/>
    <mergeCell ref="E15:F15"/>
    <mergeCell ref="M15:O15"/>
    <mergeCell ref="M22:O22"/>
    <mergeCell ref="C7:C9"/>
    <mergeCell ref="D7:F7"/>
    <mergeCell ref="M7:O9"/>
    <mergeCell ref="G13:K13"/>
    <mergeCell ref="M13:O13"/>
    <mergeCell ref="G14:K14"/>
    <mergeCell ref="M14:O14"/>
    <mergeCell ref="G7:K9"/>
    <mergeCell ref="G11:K11"/>
    <mergeCell ref="G12:K12"/>
    <mergeCell ref="M11:O11"/>
    <mergeCell ref="M12:O12"/>
    <mergeCell ref="G17:K17"/>
    <mergeCell ref="G18:K18"/>
    <mergeCell ref="M17:O17"/>
    <mergeCell ref="M18:O18"/>
    <mergeCell ref="E10:F10"/>
    <mergeCell ref="E11:F11"/>
    <mergeCell ref="B81:O81"/>
    <mergeCell ref="B75:O75"/>
    <mergeCell ref="B76:O76"/>
    <mergeCell ref="B77:O77"/>
    <mergeCell ref="B78:O78"/>
    <mergeCell ref="B79:O79"/>
    <mergeCell ref="B80:O80"/>
    <mergeCell ref="B71:O71"/>
    <mergeCell ref="E33:F33"/>
    <mergeCell ref="M33:O33"/>
    <mergeCell ref="B72:O72"/>
    <mergeCell ref="B73:O73"/>
    <mergeCell ref="B74:O74"/>
    <mergeCell ref="E65:G65"/>
    <mergeCell ref="H65:K65"/>
    <mergeCell ref="B67:C68"/>
    <mergeCell ref="D67:H68"/>
    <mergeCell ref="I67:J68"/>
    <mergeCell ref="K67:M67"/>
    <mergeCell ref="B69:O69"/>
    <mergeCell ref="B70:O70"/>
    <mergeCell ref="N67:O67"/>
    <mergeCell ref="K68:M68"/>
    <mergeCell ref="C40:C42"/>
    <mergeCell ref="N68:O68"/>
    <mergeCell ref="C60:C65"/>
    <mergeCell ref="E60:G60"/>
    <mergeCell ref="H60:K60"/>
    <mergeCell ref="M60:O60"/>
    <mergeCell ref="E61:G61"/>
    <mergeCell ref="H61:K61"/>
    <mergeCell ref="M61:O61"/>
    <mergeCell ref="E64:G64"/>
    <mergeCell ref="H64:K64"/>
    <mergeCell ref="M66:O66"/>
    <mergeCell ref="M63:O63"/>
    <mergeCell ref="M62:O62"/>
    <mergeCell ref="E62:G62"/>
    <mergeCell ref="H62:K62"/>
    <mergeCell ref="M64:O64"/>
    <mergeCell ref="M65:O65"/>
    <mergeCell ref="E63:G63"/>
    <mergeCell ref="H63:K63"/>
    <mergeCell ref="B2:O2"/>
    <mergeCell ref="B3:O3"/>
    <mergeCell ref="B4:C4"/>
    <mergeCell ref="E4:H4"/>
    <mergeCell ref="M4:O4"/>
    <mergeCell ref="G10:K10"/>
    <mergeCell ref="M10:O10"/>
    <mergeCell ref="B5:C6"/>
    <mergeCell ref="D5:O6"/>
    <mergeCell ref="B7:B65"/>
    <mergeCell ref="J50:O50"/>
    <mergeCell ref="E8:F8"/>
    <mergeCell ref="E9:F9"/>
    <mergeCell ref="G20:K20"/>
    <mergeCell ref="M20:O20"/>
    <mergeCell ref="C22:C26"/>
    <mergeCell ref="E22:F22"/>
    <mergeCell ref="G22:K22"/>
    <mergeCell ref="L7:L9"/>
    <mergeCell ref="C10:C14"/>
    <mergeCell ref="C28:C32"/>
    <mergeCell ref="C16:C19"/>
    <mergeCell ref="E16:F16"/>
    <mergeCell ref="G16:K16"/>
    <mergeCell ref="M28:O28"/>
    <mergeCell ref="M32:O32"/>
    <mergeCell ref="E21:F21"/>
    <mergeCell ref="M21:O21"/>
    <mergeCell ref="E27:F27"/>
    <mergeCell ref="M27:O27"/>
    <mergeCell ref="G31:K31"/>
    <mergeCell ref="G25:K25"/>
    <mergeCell ref="E31:F31"/>
    <mergeCell ref="E32:F32"/>
    <mergeCell ref="G32:K32"/>
    <mergeCell ref="M31:O31"/>
    <mergeCell ref="G23:K23"/>
    <mergeCell ref="G24:K24"/>
    <mergeCell ref="M23:O23"/>
    <mergeCell ref="M24:O24"/>
    <mergeCell ref="G26:K26"/>
    <mergeCell ref="M26:O26"/>
    <mergeCell ref="M29:O29"/>
    <mergeCell ref="M30:O30"/>
    <mergeCell ref="M25:O25"/>
    <mergeCell ref="E26:F26"/>
    <mergeCell ref="E28:F28"/>
    <mergeCell ref="E29:F29"/>
    <mergeCell ref="M34:O34"/>
    <mergeCell ref="M38:O38"/>
    <mergeCell ref="G38:K38"/>
    <mergeCell ref="D48:E48"/>
    <mergeCell ref="F48:I48"/>
    <mergeCell ref="J48:M48"/>
    <mergeCell ref="N48:O48"/>
    <mergeCell ref="G39:K39"/>
    <mergeCell ref="E40:F40"/>
    <mergeCell ref="G40:K40"/>
    <mergeCell ref="M40:O40"/>
    <mergeCell ref="E43:F43"/>
    <mergeCell ref="G41:K41"/>
    <mergeCell ref="G42:K42"/>
    <mergeCell ref="M41:O41"/>
    <mergeCell ref="M42:O42"/>
    <mergeCell ref="M59:O59"/>
    <mergeCell ref="H55:K55"/>
    <mergeCell ref="M55:O55"/>
    <mergeCell ref="E56:G56"/>
    <mergeCell ref="H56:K56"/>
    <mergeCell ref="M56:O56"/>
    <mergeCell ref="E57:G57"/>
    <mergeCell ref="H57:K57"/>
    <mergeCell ref="M57:O57"/>
    <mergeCell ref="E58:G58"/>
    <mergeCell ref="H58:K58"/>
    <mergeCell ref="M58:O58"/>
  </mergeCells>
  <phoneticPr fontId="81" type="noConversion"/>
  <conditionalFormatting sqref="P38">
    <cfRule type="expression" dxfId="91" priority="241" stopIfTrue="1">
      <formula>$Q38="&lt;-년도단위로 입력할 것"</formula>
    </cfRule>
    <cfRule type="expression" dxfId="90" priority="189" stopIfTrue="1">
      <formula>$Q38="&lt;-오류(2007이후만 해당)"</formula>
    </cfRule>
  </conditionalFormatting>
  <conditionalFormatting sqref="M17:M19">
    <cfRule type="expression" dxfId="89" priority="224" stopIfTrue="1">
      <formula>$Q17="&lt;-오류(2011이후만 해당)"</formula>
    </cfRule>
  </conditionalFormatting>
  <conditionalFormatting sqref="M20:O20">
    <cfRule type="expression" dxfId="88" priority="200" stopIfTrue="1">
      <formula>$Q20="&lt;-오류(2011이후만 해당)"</formula>
    </cfRule>
    <cfRule type="expression" dxfId="87" priority="186" stopIfTrue="1">
      <formula>$Q20="&lt;-년도단위로 입력할 것"</formula>
    </cfRule>
  </conditionalFormatting>
  <conditionalFormatting sqref="M10">
    <cfRule type="expression" dxfId="86" priority="240" stopIfTrue="1">
      <formula>$Q10="&lt;-오류(2007이후만 해당)"</formula>
    </cfRule>
  </conditionalFormatting>
  <conditionalFormatting sqref="M22">
    <cfRule type="expression" dxfId="85" priority="218" stopIfTrue="1">
      <formula>$Q22="&lt;-년도단위로 입력할 것"</formula>
    </cfRule>
  </conditionalFormatting>
  <conditionalFormatting sqref="M28:P28">
    <cfRule type="expression" dxfId="84" priority="209" stopIfTrue="1">
      <formula>$Q28="&lt;-년도단위로 입력할 것"</formula>
    </cfRule>
    <cfRule type="expression" dxfId="83" priority="208" stopIfTrue="1">
      <formula>$Q28="&lt;-오류(2007이후만 해당)"</formula>
    </cfRule>
  </conditionalFormatting>
  <conditionalFormatting sqref="P29:P31">
    <cfRule type="expression" dxfId="82" priority="206" stopIfTrue="1">
      <formula>$Q29="&lt;-년도단위로 입력할 것"</formula>
    </cfRule>
    <cfRule type="expression" dxfId="81" priority="205" stopIfTrue="1">
      <formula>$Q29="&lt;-오류(2007이후만 해당)"</formula>
    </cfRule>
  </conditionalFormatting>
  <conditionalFormatting sqref="P32">
    <cfRule type="expression" dxfId="80" priority="203" stopIfTrue="1">
      <formula>$Q32="&lt;-년도단위로 입력할 것"</formula>
    </cfRule>
    <cfRule type="expression" dxfId="79" priority="202" stopIfTrue="1">
      <formula>$Q32="&lt;-오류(2007이후만 해당)"</formula>
    </cfRule>
  </conditionalFormatting>
  <conditionalFormatting sqref="P35:P36">
    <cfRule type="expression" dxfId="78" priority="196" stopIfTrue="1">
      <formula>$Q35="&lt;-년도단위로 입력할 것"</formula>
    </cfRule>
    <cfRule type="expression" dxfId="77" priority="191" stopIfTrue="1">
      <formula>$Q35="&lt;-오류(2007이후만 해당)"</formula>
    </cfRule>
  </conditionalFormatting>
  <conditionalFormatting sqref="P37">
    <cfRule type="expression" dxfId="76" priority="195" stopIfTrue="1">
      <formula>$Q37="&lt;-년도단위로 입력할 것"</formula>
    </cfRule>
    <cfRule type="expression" dxfId="75" priority="190" stopIfTrue="1">
      <formula>$Q37="&lt;-오류(2007이후만 해당)"</formula>
    </cfRule>
  </conditionalFormatting>
  <conditionalFormatting sqref="M16:O16 P16:P20">
    <cfRule type="expression" dxfId="74" priority="194" stopIfTrue="1">
      <formula>$Q16="&lt;-오류(2011이후만 해당)"</formula>
    </cfRule>
    <cfRule type="expression" dxfId="73" priority="188" stopIfTrue="1">
      <formula>$Q16="&lt;-년도단위로 입력할 것"</formula>
    </cfRule>
  </conditionalFormatting>
  <conditionalFormatting sqref="M34:P34">
    <cfRule type="expression" dxfId="72" priority="193" stopIfTrue="1">
      <formula>$Q34="&lt;-년도단위로 입력할 것"</formula>
    </cfRule>
    <cfRule type="expression" dxfId="71" priority="192" stopIfTrue="1">
      <formula>$Q34="&lt;-오류(2007이후만 해당)"</formula>
    </cfRule>
  </conditionalFormatting>
  <conditionalFormatting sqref="M17:O19">
    <cfRule type="expression" dxfId="70" priority="187" stopIfTrue="1">
      <formula>$Q17="&lt;-년도단위로 입력할 것"</formula>
    </cfRule>
  </conditionalFormatting>
  <conditionalFormatting sqref="M61:O65">
    <cfRule type="cellIs" dxfId="69" priority="173" operator="equal">
      <formula>0</formula>
    </cfRule>
  </conditionalFormatting>
  <conditionalFormatting sqref="M11">
    <cfRule type="expression" dxfId="68" priority="170" stopIfTrue="1">
      <formula>$Q11="&lt;-오류(2007이후만 해당)"</formula>
    </cfRule>
  </conditionalFormatting>
  <conditionalFormatting sqref="M12">
    <cfRule type="expression" dxfId="67" priority="169" stopIfTrue="1">
      <formula>$Q12="&lt;-오류(2007이후만 해당)"</formula>
    </cfRule>
  </conditionalFormatting>
  <conditionalFormatting sqref="M13">
    <cfRule type="expression" dxfId="66" priority="168" stopIfTrue="1">
      <formula>$Q13="&lt;-오류(2007이후만 해당)"</formula>
    </cfRule>
  </conditionalFormatting>
  <conditionalFormatting sqref="M14">
    <cfRule type="expression" dxfId="65" priority="167" stopIfTrue="1">
      <formula>$Q14="&lt;-오류(2007이후만 해당)"</formula>
    </cfRule>
  </conditionalFormatting>
  <conditionalFormatting sqref="M23">
    <cfRule type="expression" dxfId="64" priority="166" stopIfTrue="1">
      <formula>$Q23="&lt;-년도단위로 입력할 것"</formula>
    </cfRule>
  </conditionalFormatting>
  <conditionalFormatting sqref="M24">
    <cfRule type="expression" dxfId="63" priority="165" stopIfTrue="1">
      <formula>$Q24="&lt;-년도단위로 입력할 것"</formula>
    </cfRule>
  </conditionalFormatting>
  <conditionalFormatting sqref="M25">
    <cfRule type="expression" dxfId="62" priority="164" stopIfTrue="1">
      <formula>$Q25="&lt;-년도단위로 입력할 것"</formula>
    </cfRule>
  </conditionalFormatting>
  <conditionalFormatting sqref="M26">
    <cfRule type="expression" dxfId="61" priority="163" stopIfTrue="1">
      <formula>$Q26="&lt;-년도단위로 입력할 것"</formula>
    </cfRule>
  </conditionalFormatting>
  <conditionalFormatting sqref="M29:O29">
    <cfRule type="expression" dxfId="60" priority="162" stopIfTrue="1">
      <formula>$Q29="&lt;-년도단위로 입력할 것"</formula>
    </cfRule>
    <cfRule type="expression" dxfId="59" priority="161" stopIfTrue="1">
      <formula>$Q29="&lt;-오류(2007이후만 해당)"</formula>
    </cfRule>
  </conditionalFormatting>
  <conditionalFormatting sqref="M30:O30">
    <cfRule type="expression" dxfId="58" priority="160" stopIfTrue="1">
      <formula>$Q30="&lt;-년도단위로 입력할 것"</formula>
    </cfRule>
    <cfRule type="expression" dxfId="57" priority="159" stopIfTrue="1">
      <formula>$Q30="&lt;-오류(2007이후만 해당)"</formula>
    </cfRule>
  </conditionalFormatting>
  <conditionalFormatting sqref="M31:O31">
    <cfRule type="expression" dxfId="56" priority="158" stopIfTrue="1">
      <formula>$Q31="&lt;-년도단위로 입력할 것"</formula>
    </cfRule>
    <cfRule type="expression" dxfId="55" priority="157" stopIfTrue="1">
      <formula>$Q31="&lt;-오류(2007이후만 해당)"</formula>
    </cfRule>
  </conditionalFormatting>
  <conditionalFormatting sqref="M32:O32">
    <cfRule type="expression" dxfId="54" priority="156" stopIfTrue="1">
      <formula>$Q32="&lt;-년도단위로 입력할 것"</formula>
    </cfRule>
    <cfRule type="expression" dxfId="53" priority="155" stopIfTrue="1">
      <formula>$Q32="&lt;-오류(2007이후만 해당)"</formula>
    </cfRule>
  </conditionalFormatting>
  <conditionalFormatting sqref="M35:O35">
    <cfRule type="expression" dxfId="52" priority="154" stopIfTrue="1">
      <formula>$Q35="&lt;-년도단위로 입력할 것"</formula>
    </cfRule>
    <cfRule type="expression" dxfId="51" priority="153" stopIfTrue="1">
      <formula>$Q35="&lt;-오류(2007이후만 해당)"</formula>
    </cfRule>
  </conditionalFormatting>
  <conditionalFormatting sqref="M36:O36">
    <cfRule type="expression" dxfId="50" priority="152" stopIfTrue="1">
      <formula>$Q36="&lt;-년도단위로 입력할 것"</formula>
    </cfRule>
    <cfRule type="expression" dxfId="49" priority="151" stopIfTrue="1">
      <formula>$Q36="&lt;-오류(2007이후만 해당)"</formula>
    </cfRule>
  </conditionalFormatting>
  <conditionalFormatting sqref="M37:O37">
    <cfRule type="expression" dxfId="48" priority="150" stopIfTrue="1">
      <formula>$Q37="&lt;-년도단위로 입력할 것"</formula>
    </cfRule>
    <cfRule type="expression" dxfId="47" priority="149" stopIfTrue="1">
      <formula>$Q37="&lt;-오류(2007이후만 해당)"</formula>
    </cfRule>
  </conditionalFormatting>
  <conditionalFormatting sqref="M38:O38">
    <cfRule type="expression" dxfId="46" priority="148" stopIfTrue="1">
      <formula>$Q38="&lt;-년도단위로 입력할 것"</formula>
    </cfRule>
    <cfRule type="expression" dxfId="45" priority="147" stopIfTrue="1">
      <formula>$Q38="&lt;-오류(2007이후만 해당)"</formula>
    </cfRule>
  </conditionalFormatting>
  <conditionalFormatting sqref="G40:K43 G34:L38 G28:L29 D30:L32">
    <cfRule type="expression" dxfId="44" priority="88" stopIfTrue="1">
      <formula>$Q28="&lt;-년도단위로 입력할 것"</formula>
    </cfRule>
    <cfRule type="expression" dxfId="43" priority="78" stopIfTrue="1">
      <formula>$Q28="&lt;-오류(2007이후만 해당)"</formula>
    </cfRule>
  </conditionalFormatting>
  <conditionalFormatting sqref="G17:K19">
    <cfRule type="expression" dxfId="42" priority="86" stopIfTrue="1">
      <formula>$Q17="&lt;-오류(2011이후만 해당)"</formula>
    </cfRule>
  </conditionalFormatting>
  <conditionalFormatting sqref="G20:K20 D16:L16 L17:L20">
    <cfRule type="expression" dxfId="41" priority="82" stopIfTrue="1">
      <formula>$Q16="&lt;-오류(2011이후만 해당)"</formula>
    </cfRule>
    <cfRule type="expression" dxfId="40" priority="75" stopIfTrue="1">
      <formula>$Q16="&lt;-년도단위로 입력할 것"</formula>
    </cfRule>
  </conditionalFormatting>
  <conditionalFormatting sqref="G17:K19">
    <cfRule type="expression" dxfId="39" priority="76" stopIfTrue="1">
      <formula>$Q17="&lt;-년도단위로 입력할 것"</formula>
    </cfRule>
  </conditionalFormatting>
  <conditionalFormatting sqref="G44:K47">
    <cfRule type="expression" dxfId="38" priority="74" stopIfTrue="1">
      <formula>$Q44="&lt;-년도단위로 입력할 것"</formula>
    </cfRule>
    <cfRule type="expression" dxfId="37" priority="73" stopIfTrue="1">
      <formula>$Q44="&lt;-오류(2007이후만 해당)"</formula>
    </cfRule>
  </conditionalFormatting>
  <conditionalFormatting sqref="D22:L22 G23:L26 D34:F34">
    <cfRule type="expression" dxfId="36" priority="38" stopIfTrue="1">
      <formula>$Q22="&lt;-년도단위로 입력할 것"</formula>
    </cfRule>
  </conditionalFormatting>
  <conditionalFormatting sqref="D35:F35">
    <cfRule type="expression" dxfId="35" priority="37" stopIfTrue="1">
      <formula>$Q35="&lt;-년도단위로 입력할 것"</formula>
    </cfRule>
  </conditionalFormatting>
  <conditionalFormatting sqref="D36:F36">
    <cfRule type="expression" dxfId="34" priority="36" stopIfTrue="1">
      <formula>$Q36="&lt;-년도단위로 입력할 것"</formula>
    </cfRule>
  </conditionalFormatting>
  <conditionalFormatting sqref="D37:F37">
    <cfRule type="expression" dxfId="33" priority="35" stopIfTrue="1">
      <formula>$Q37="&lt;-년도단위로 입력할 것"</formula>
    </cfRule>
  </conditionalFormatting>
  <conditionalFormatting sqref="D38:F38">
    <cfRule type="expression" dxfId="32" priority="34" stopIfTrue="1">
      <formula>$Q38="&lt;-년도단위로 입력할 것"</formula>
    </cfRule>
  </conditionalFormatting>
  <conditionalFormatting sqref="D17:F17">
    <cfRule type="expression" dxfId="31" priority="29" stopIfTrue="1">
      <formula>$Q17="&lt;-오류(2011이후만 해당)"</formula>
    </cfRule>
    <cfRule type="expression" dxfId="30" priority="28" stopIfTrue="1">
      <formula>$Q17="&lt;-년도단위로 입력할 것"</formula>
    </cfRule>
  </conditionalFormatting>
  <conditionalFormatting sqref="D18:F18">
    <cfRule type="expression" dxfId="29" priority="27" stopIfTrue="1">
      <formula>$Q18="&lt;-오류(2011이후만 해당)"</formula>
    </cfRule>
    <cfRule type="expression" dxfId="28" priority="26" stopIfTrue="1">
      <formula>$Q18="&lt;-년도단위로 입력할 것"</formula>
    </cfRule>
  </conditionalFormatting>
  <conditionalFormatting sqref="D19:F19">
    <cfRule type="expression" dxfId="27" priority="25" stopIfTrue="1">
      <formula>$Q19="&lt;-오류(2011이후만 해당)"</formula>
    </cfRule>
    <cfRule type="expression" dxfId="26" priority="24" stopIfTrue="1">
      <formula>$Q19="&lt;-년도단위로 입력할 것"</formula>
    </cfRule>
  </conditionalFormatting>
  <conditionalFormatting sqref="D20:F20">
    <cfRule type="expression" dxfId="25" priority="23" stopIfTrue="1">
      <formula>$Q20="&lt;-오류(2011이후만 해당)"</formula>
    </cfRule>
    <cfRule type="expression" dxfId="24" priority="22" stopIfTrue="1">
      <formula>$Q20="&lt;-년도단위로 입력할 것"</formula>
    </cfRule>
  </conditionalFormatting>
  <conditionalFormatting sqref="D23:F23">
    <cfRule type="expression" dxfId="23" priority="21" stopIfTrue="1">
      <formula>$Q23="&lt;-년도단위로 입력할 것"</formula>
    </cfRule>
  </conditionalFormatting>
  <conditionalFormatting sqref="D24:F24">
    <cfRule type="expression" dxfId="22" priority="20" stopIfTrue="1">
      <formula>$Q24="&lt;-년도단위로 입력할 것"</formula>
    </cfRule>
  </conditionalFormatting>
  <conditionalFormatting sqref="D25:F25">
    <cfRule type="expression" dxfId="21" priority="19" stopIfTrue="1">
      <formula>$Q25="&lt;-년도단위로 입력할 것"</formula>
    </cfRule>
  </conditionalFormatting>
  <conditionalFormatting sqref="D26:F26">
    <cfRule type="expression" dxfId="20" priority="18" stopIfTrue="1">
      <formula>$Q26="&lt;-년도단위로 입력할 것"</formula>
    </cfRule>
  </conditionalFormatting>
  <conditionalFormatting sqref="D28:F28">
    <cfRule type="expression" dxfId="19" priority="17" stopIfTrue="1">
      <formula>$Q28="&lt;-년도단위로 입력할 것"</formula>
    </cfRule>
  </conditionalFormatting>
  <conditionalFormatting sqref="D29:F29">
    <cfRule type="expression" dxfId="18" priority="16" stopIfTrue="1">
      <formula>$Q29="&lt;-년도단위로 입력할 것"</formula>
    </cfRule>
  </conditionalFormatting>
  <conditionalFormatting sqref="D10:F10">
    <cfRule type="expression" dxfId="17" priority="15" stopIfTrue="1">
      <formula>$Q10="&lt;-오류(2011이후만 해당)"</formula>
    </cfRule>
    <cfRule type="expression" dxfId="16" priority="14" stopIfTrue="1">
      <formula>$Q10="&lt;-년도단위로 입력할 것"</formula>
    </cfRule>
  </conditionalFormatting>
  <conditionalFormatting sqref="D11:F11">
    <cfRule type="expression" dxfId="15" priority="13" stopIfTrue="1">
      <formula>$Q11="&lt;-오류(2011이후만 해당)"</formula>
    </cfRule>
    <cfRule type="expression" dxfId="14" priority="12" stopIfTrue="1">
      <formula>$Q11="&lt;-년도단위로 입력할 것"</formula>
    </cfRule>
  </conditionalFormatting>
  <conditionalFormatting sqref="D12:F12">
    <cfRule type="expression" dxfId="13" priority="4" stopIfTrue="1">
      <formula>$Q12="&lt;-오류(2011이후만 해당)"</formula>
    </cfRule>
    <cfRule type="expression" dxfId="12" priority="3" stopIfTrue="1">
      <formula>$Q12="&lt;-년도단위로 입력할 것"</formula>
    </cfRule>
  </conditionalFormatting>
  <conditionalFormatting sqref="D13:F14 G10:L14">
    <cfRule type="expression" dxfId="11" priority="1" stopIfTrue="1">
      <formula>$Q10="&lt;-오류(2007이후만 해당)"</formula>
    </cfRule>
  </conditionalFormatting>
  <dataValidations count="5">
    <dataValidation type="list" allowBlank="1" showInputMessage="1" showErrorMessage="1" sqref="D53:E53" xr:uid="{00000000-0002-0000-0200-000000000000}">
      <formula1>"O,X"</formula1>
    </dataValidation>
    <dataValidation type="custom" allowBlank="1" showInputMessage="1" showErrorMessage="1" errorTitle="입력안내" error="표창의 숫자만 입력하세요!" sqref="F49:P49" xr:uid="{00000000-0002-0000-0200-000001000000}">
      <formula1>ISNUMBER(F49)</formula1>
    </dataValidation>
    <dataValidation type="date" allowBlank="1" showErrorMessage="1" errorTitle="입력 안내" error="날짜 입력 형식을 '0000-00-00'형식으로 맞춰 주세요!!!" sqref="E61:K65 E55:K58" xr:uid="{00000000-0002-0000-0200-000002000000}">
      <formula1>36161</formula1>
      <formula2>DATE(YEAR(TODAY())+1,2,29)</formula2>
    </dataValidation>
    <dataValidation type="list" allowBlank="1" showInputMessage="1" showErrorMessage="1" sqref="D55:D58" xr:uid="{00000000-0002-0000-0200-000003000000}">
      <formula1>"갑,을,병"</formula1>
    </dataValidation>
    <dataValidation type="date" allowBlank="1" showInputMessage="1" showErrorMessage="1" sqref="D40:F47 D39:E39 D10:F38" xr:uid="{00000000-0002-0000-0200-000004000000}">
      <formula1>32874</formula1>
      <formula2>219206</formula2>
    </dataValidation>
  </dataValidations>
  <printOptions horizontalCentered="1" verticalCentered="1"/>
  <pageMargins left="0.68000000715255737" right="0.58958333730697632" top="0.72000002861022949" bottom="0.50986111164093018" header="0.40000000596046448" footer="0.31486111879348755"/>
  <pageSetup paperSize="9" scale="84" orientation="portrait" r:id="rId1"/>
  <headerFooter>
    <oddHeader>&amp;L&amp;"돋움,Regular"통합경력증명서 인쇄 : &amp;D&amp;R&amp;"돋움,Regular"&amp;T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B2:AA24"/>
  <sheetViews>
    <sheetView zoomScale="70" zoomScaleNormal="70" zoomScaleSheetLayoutView="75" workbookViewId="0">
      <selection activeCell="Y11" sqref="Y11:Y12"/>
    </sheetView>
  </sheetViews>
  <sheetFormatPr defaultColWidth="8.88671875" defaultRowHeight="14.25" x14ac:dyDescent="0.15"/>
  <cols>
    <col min="1" max="1" width="2.33203125" style="233" customWidth="1"/>
    <col min="2" max="2" width="6.77734375" style="233" customWidth="1"/>
    <col min="3" max="3" width="12.88671875" style="233" customWidth="1"/>
    <col min="4" max="4" width="16.6640625" style="233" customWidth="1"/>
    <col min="5" max="5" width="10.5546875" style="233" customWidth="1"/>
    <col min="6" max="6" width="1.5546875" style="233" customWidth="1"/>
    <col min="7" max="7" width="8.109375" style="233" customWidth="1"/>
    <col min="8" max="8" width="10.33203125" style="233" customWidth="1"/>
    <col min="9" max="9" width="1.77734375" style="233" customWidth="1"/>
    <col min="10" max="10" width="8.88671875" style="233" customWidth="1"/>
    <col min="11" max="11" width="1.5546875" style="233" customWidth="1"/>
    <col min="12" max="12" width="27" style="233" customWidth="1"/>
    <col min="13" max="13" width="10.33203125" style="233" bestFit="1" customWidth="1"/>
    <col min="14" max="18" width="6.21875" style="233" customWidth="1"/>
    <col min="19" max="19" width="5.5546875" style="233" customWidth="1"/>
    <col min="20" max="21" width="6.5546875" style="233" customWidth="1"/>
    <col min="22" max="22" width="6.109375" style="233" customWidth="1"/>
    <col min="23" max="23" width="7" style="233" customWidth="1"/>
    <col min="24" max="24" width="8.6640625" style="233" customWidth="1"/>
    <col min="25" max="25" width="17" style="233" customWidth="1"/>
    <col min="26" max="26" width="8.88671875" style="233"/>
    <col min="27" max="27" width="26.21875" style="233" customWidth="1"/>
    <col min="28" max="16384" width="8.88671875" style="233"/>
  </cols>
  <sheetData>
    <row r="2" spans="2:27" ht="38.25" customHeight="1" x14ac:dyDescent="0.15">
      <c r="B2" s="189" t="s">
        <v>136</v>
      </c>
      <c r="C2" s="190" t="s">
        <v>130</v>
      </c>
      <c r="D2" s="651" t="str">
        <f>INDEX(내신자,AA2,5)&amp;"  (인)"</f>
        <v>나교사  (인)</v>
      </c>
      <c r="E2" s="651"/>
      <c r="F2" s="700" t="s">
        <v>565</v>
      </c>
      <c r="G2" s="700"/>
      <c r="H2" s="700"/>
      <c r="I2" s="700"/>
      <c r="J2" s="700"/>
      <c r="K2" s="700"/>
      <c r="L2" s="700"/>
      <c r="M2" s="700"/>
      <c r="N2" s="700"/>
      <c r="O2" s="700"/>
      <c r="P2" s="700"/>
      <c r="Q2" s="700"/>
      <c r="R2" s="700"/>
      <c r="S2" s="700"/>
      <c r="T2" s="700"/>
      <c r="U2" s="194" t="s">
        <v>147</v>
      </c>
      <c r="V2" s="688" t="str">
        <f>IF(OR(개별기초자료!E9="유치원교사",개별기초자료!E9="원감"),"원장","교장")</f>
        <v>교장</v>
      </c>
      <c r="W2" s="688"/>
      <c r="X2" s="651" t="str">
        <f>INDEX(내신자,AA2,36)&amp;"  (인)"</f>
        <v>나교장  (인)</v>
      </c>
      <c r="Y2" s="651"/>
      <c r="AA2" s="234">
        <v>1</v>
      </c>
    </row>
    <row r="3" spans="2:27" ht="45" customHeight="1" x14ac:dyDescent="0.15">
      <c r="B3" s="191" t="s">
        <v>132</v>
      </c>
      <c r="C3" s="26" t="s">
        <v>35</v>
      </c>
      <c r="D3" s="693" t="str">
        <f>INDEX(내신자,AA2,41)</f>
        <v>010-1234-1234</v>
      </c>
      <c r="E3" s="693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195" t="s">
        <v>131</v>
      </c>
      <c r="V3" s="688" t="str">
        <f>IF(OR(개별기초자료!E9="유치원교사",개별기초자료!E9="원감"),"원감","교감")</f>
        <v>교감</v>
      </c>
      <c r="W3" s="688"/>
      <c r="X3" s="651" t="str">
        <f>INDEX(내신자,AA2,37)&amp;"  (인)"</f>
        <v>나교감  (인)</v>
      </c>
      <c r="Y3" s="651"/>
    </row>
    <row r="4" spans="2:27" ht="45.75" customHeight="1" x14ac:dyDescent="0.15">
      <c r="B4" s="192" t="s">
        <v>146</v>
      </c>
      <c r="C4" s="193" t="str">
        <f>IF(OR(개별기초자료!E9="유치원교사",개별기초자료!E9="원감"),"원무실","교무실")</f>
        <v>교무실</v>
      </c>
      <c r="D4" s="693" t="str">
        <f>INDEX(내신자,AA2,42)</f>
        <v>031-000-0000</v>
      </c>
      <c r="E4" s="693"/>
      <c r="F4" s="701" t="str">
        <f>"["&amp;개별기초자료!E9&amp;"]"</f>
        <v>[초등교사]</v>
      </c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196" t="s">
        <v>146</v>
      </c>
      <c r="V4" s="688" t="str">
        <f>IF(OR(개별기초자료!E9="유치원교사",개별기초자료!E9="원감"),"원감 휴대폰","교감 휴대폰")</f>
        <v>교감 휴대폰</v>
      </c>
      <c r="W4" s="688"/>
      <c r="X4" s="693" t="str">
        <f>INDEX(내신자,AA2,38)</f>
        <v>010-0000-0000</v>
      </c>
      <c r="Y4" s="693"/>
    </row>
    <row r="5" spans="2:27" ht="19.5" customHeight="1" x14ac:dyDescent="0.15"/>
    <row r="6" spans="2:27" ht="30.75" customHeight="1" x14ac:dyDescent="0.15">
      <c r="B6" s="730" t="s">
        <v>65</v>
      </c>
      <c r="C6" s="341" t="s">
        <v>24</v>
      </c>
      <c r="D6" s="689" t="s">
        <v>133</v>
      </c>
      <c r="E6" s="689"/>
      <c r="F6" s="689"/>
      <c r="G6" s="689" t="s">
        <v>115</v>
      </c>
      <c r="H6" s="689"/>
      <c r="I6" s="648" t="s">
        <v>138</v>
      </c>
      <c r="J6" s="649"/>
      <c r="K6" s="649"/>
      <c r="L6" s="710"/>
      <c r="M6" s="689" t="s">
        <v>28</v>
      </c>
      <c r="N6" s="689"/>
      <c r="O6" s="689"/>
      <c r="P6" s="689"/>
      <c r="Q6" s="689" t="s">
        <v>57</v>
      </c>
      <c r="R6" s="689"/>
      <c r="S6" s="648" t="s">
        <v>25</v>
      </c>
      <c r="T6" s="649"/>
      <c r="U6" s="649"/>
      <c r="V6" s="649"/>
      <c r="W6" s="649"/>
      <c r="X6" s="649"/>
      <c r="Y6" s="650"/>
    </row>
    <row r="7" spans="2:27" ht="40.5" customHeight="1" x14ac:dyDescent="0.15">
      <c r="B7" s="731"/>
      <c r="C7" s="342" t="s">
        <v>27</v>
      </c>
      <c r="D7" s="697" t="str">
        <f>INDEX(내신자,AA2,2)&amp;" "&amp;" ("&amp;개별기초자료!H13&amp;") "</f>
        <v xml:space="preserve">안산양지초  (갑) </v>
      </c>
      <c r="E7" s="697"/>
      <c r="F7" s="697"/>
      <c r="G7" s="697" t="str">
        <f>INDEX(내신자,AA2,4)</f>
        <v>초등교사</v>
      </c>
      <c r="H7" s="697"/>
      <c r="I7" s="645" t="str">
        <f>INDEX(내신자,AA2,5)</f>
        <v>나교사</v>
      </c>
      <c r="J7" s="646"/>
      <c r="K7" s="646"/>
      <c r="L7" s="711"/>
      <c r="M7" s="694">
        <f>INDEX(내신자,AA2,7)</f>
        <v>7210011234561</v>
      </c>
      <c r="N7" s="694"/>
      <c r="O7" s="694"/>
      <c r="P7" s="694"/>
      <c r="Q7" s="697" t="s">
        <v>48</v>
      </c>
      <c r="R7" s="697"/>
      <c r="S7" s="645" t="str">
        <f>INDEX(내신자,AA2,29)</f>
        <v>안산시 단원구 초지동</v>
      </c>
      <c r="T7" s="646"/>
      <c r="U7" s="646"/>
      <c r="V7" s="646"/>
      <c r="W7" s="646"/>
      <c r="X7" s="646"/>
      <c r="Y7" s="647"/>
    </row>
    <row r="8" spans="2:27" ht="21.75" customHeight="1" x14ac:dyDescent="0.15"/>
    <row r="9" spans="2:27" ht="29.25" customHeight="1" x14ac:dyDescent="0.15">
      <c r="B9" s="727" t="s">
        <v>54</v>
      </c>
      <c r="C9" s="722" t="s">
        <v>139</v>
      </c>
      <c r="D9" s="722" t="s">
        <v>133</v>
      </c>
      <c r="E9" s="724" t="s">
        <v>134</v>
      </c>
      <c r="F9" s="235"/>
      <c r="G9" s="698" t="s">
        <v>127</v>
      </c>
      <c r="H9" s="712" t="s">
        <v>133</v>
      </c>
      <c r="I9" s="713"/>
      <c r="J9" s="690" t="s">
        <v>134</v>
      </c>
      <c r="K9" s="690" t="s">
        <v>5</v>
      </c>
      <c r="L9" s="690"/>
      <c r="M9" s="689" t="s">
        <v>342</v>
      </c>
      <c r="N9" s="692" t="s">
        <v>253</v>
      </c>
      <c r="O9" s="692"/>
      <c r="P9" s="692"/>
      <c r="Q9" s="692"/>
      <c r="R9" s="692"/>
      <c r="S9" s="692"/>
      <c r="T9" s="692"/>
      <c r="U9" s="692"/>
      <c r="V9" s="692"/>
      <c r="W9" s="692"/>
      <c r="X9" s="692"/>
      <c r="Y9" s="695" t="s">
        <v>586</v>
      </c>
    </row>
    <row r="10" spans="2:27" ht="30" customHeight="1" x14ac:dyDescent="0.15">
      <c r="B10" s="728"/>
      <c r="C10" s="723"/>
      <c r="D10" s="723"/>
      <c r="E10" s="725"/>
      <c r="F10" s="235"/>
      <c r="G10" s="699"/>
      <c r="H10" s="714"/>
      <c r="I10" s="715"/>
      <c r="J10" s="691"/>
      <c r="K10" s="691"/>
      <c r="L10" s="691"/>
      <c r="M10" s="658"/>
      <c r="N10" s="229" t="s">
        <v>119</v>
      </c>
      <c r="O10" s="229" t="s">
        <v>121</v>
      </c>
      <c r="P10" s="229" t="s">
        <v>145</v>
      </c>
      <c r="Q10" s="229" t="s">
        <v>33</v>
      </c>
      <c r="R10" s="229" t="s">
        <v>32</v>
      </c>
      <c r="S10" s="264" t="s">
        <v>95</v>
      </c>
      <c r="T10" s="229" t="s">
        <v>37</v>
      </c>
      <c r="U10" s="35" t="str">
        <f>IF(개별기초자료!E9="초등교사","6학년담임",IF(개별기초자료!E9="보건교사","과대"&amp;CHAR(10)&amp;"학급","6학년담임"))</f>
        <v>6학년담임</v>
      </c>
      <c r="V10" s="229" t="s">
        <v>100</v>
      </c>
      <c r="W10" s="253" t="s">
        <v>251</v>
      </c>
      <c r="X10" s="376" t="s">
        <v>346</v>
      </c>
      <c r="Y10" s="696"/>
    </row>
    <row r="11" spans="2:27" ht="51" customHeight="1" x14ac:dyDescent="0.15">
      <c r="B11" s="728"/>
      <c r="C11" s="345" t="s">
        <v>116</v>
      </c>
      <c r="D11" s="346" t="str">
        <f>IF(INDEX(내신자,AA2,23)=0,"",INDEX(내신자,AA2,23))</f>
        <v>대남초풍도분교</v>
      </c>
      <c r="E11" s="347" t="str">
        <f>IFERROR(VLOOKUP(D11,학교,4,0),"")</f>
        <v>병</v>
      </c>
      <c r="F11" s="236"/>
      <c r="G11" s="699" t="s">
        <v>118</v>
      </c>
      <c r="H11" s="716" t="str">
        <f>INDEX(내신자,AA2,2)</f>
        <v>안산양지초</v>
      </c>
      <c r="I11" s="717"/>
      <c r="J11" s="691" t="str">
        <f>IFERROR(VLOOKUP(H11,학교,5,0),"-")</f>
        <v>갑</v>
      </c>
      <c r="K11" s="682" t="str">
        <f>TEXT(INDEX(내신자,AA2,9),"yyyy.mm.dd")&amp;"-"&amp;TEXT(개별기초자료!C2,"yyyy.mm.dd")</f>
        <v>2014.03.01-2019.02.28</v>
      </c>
      <c r="L11" s="683"/>
      <c r="M11" s="702">
        <f>INDEX(내신자,AA2,11)</f>
        <v>5</v>
      </c>
      <c r="N11" s="703">
        <f>INDEX(내신자,AA2,12)</f>
        <v>0</v>
      </c>
      <c r="O11" s="703">
        <f>INDEX(내신자,AA2,13)</f>
        <v>0</v>
      </c>
      <c r="P11" s="703">
        <f>INDEX(내신자,AA2,14)</f>
        <v>0</v>
      </c>
      <c r="Q11" s="703">
        <f>INDEX(내신자,AA2,15)</f>
        <v>0</v>
      </c>
      <c r="R11" s="703">
        <f>INDEX(내신자,AA2,16)</f>
        <v>0</v>
      </c>
      <c r="S11" s="643">
        <f>INDEX(내신자,AA2,17)</f>
        <v>0</v>
      </c>
      <c r="T11" s="703">
        <f>INDEX(내신자,AA2,18)</f>
        <v>0</v>
      </c>
      <c r="U11" s="703">
        <f>INDEX(내신자,AA2,19)</f>
        <v>0</v>
      </c>
      <c r="V11" s="703">
        <f>INDEX(내신자,AA2,20)</f>
        <v>0</v>
      </c>
      <c r="W11" s="703">
        <f>INDEX(내신자,AA2,21)</f>
        <v>0</v>
      </c>
      <c r="X11" s="726">
        <f>INDEX(내신자,AA2,22)</f>
        <v>0</v>
      </c>
      <c r="Y11" s="736">
        <f>INT((개별기초자료!N15+M13))+INT(((개별기초자료!N15+M13)-INT((개별기초자료!N15+M13)))*100/12)+MOD((((개별기초자료!N15+M13)-INT((개별기초자료!N15+M13)))*100/12),1)*12/100</f>
        <v>5</v>
      </c>
      <c r="AA11" s="325"/>
    </row>
    <row r="12" spans="2:27" ht="51" customHeight="1" x14ac:dyDescent="0.15">
      <c r="B12" s="728"/>
      <c r="C12" s="345" t="s">
        <v>113</v>
      </c>
      <c r="D12" s="346" t="str">
        <f>IF(INDEX(내신자,AA2,24)=0,"",INDEX(내신자,AA2,24))</f>
        <v>관산초</v>
      </c>
      <c r="E12" s="347" t="str">
        <f>IFERROR(VLOOKUP(D12,학교,4,0),"")</f>
        <v>갑</v>
      </c>
      <c r="F12" s="236"/>
      <c r="G12" s="699"/>
      <c r="H12" s="718"/>
      <c r="I12" s="719"/>
      <c r="J12" s="691"/>
      <c r="K12" s="684" t="str">
        <f>"("&amp;TEXT(개별기초자료!E15,"0.00")&amp;")"</f>
        <v>(0.00)</v>
      </c>
      <c r="L12" s="685"/>
      <c r="M12" s="702"/>
      <c r="N12" s="703"/>
      <c r="O12" s="703"/>
      <c r="P12" s="703"/>
      <c r="Q12" s="703"/>
      <c r="R12" s="703"/>
      <c r="S12" s="644"/>
      <c r="T12" s="703"/>
      <c r="U12" s="703"/>
      <c r="V12" s="703"/>
      <c r="W12" s="703"/>
      <c r="X12" s="726"/>
      <c r="Y12" s="736">
        <f>IF(OR(M12="학교만기",M12="구역만기"),SUM(O12:X12),INT(SUM(N12:X12))+INT((SUM(N12:X12)-INT(SUM(N12:X12))+0.00000001)/0.12)+MOD(SUM(N12:X12)-INT(SUM(N12:X12))+0.00000001,0.12))</f>
        <v>1E-8</v>
      </c>
      <c r="AA12" s="325"/>
    </row>
    <row r="13" spans="2:27" ht="51" customHeight="1" x14ac:dyDescent="0.15">
      <c r="B13" s="729"/>
      <c r="C13" s="348" t="s">
        <v>114</v>
      </c>
      <c r="D13" s="349" t="str">
        <f>IF(INDEX(내신자,AA2,25)=0,"",INDEX(내신자,AA2,25))</f>
        <v>반월초</v>
      </c>
      <c r="E13" s="350" t="str">
        <f>IFERROR(VLOOKUP(D13,학교,4,0),"")</f>
        <v>을</v>
      </c>
      <c r="F13" s="236"/>
      <c r="G13" s="343" t="s">
        <v>141</v>
      </c>
      <c r="H13" s="720" t="str">
        <f>IF(INDEX(내신자,AA2,46)=0,"",INDEX(내신자,AA2,46))</f>
        <v/>
      </c>
      <c r="I13" s="721"/>
      <c r="J13" s="344" t="str">
        <f>IFERROR(VLOOKUP(H13,학교,5,0),"")</f>
        <v/>
      </c>
      <c r="K13" s="734" t="str">
        <f>IF(INDEX(내신자,AA2,47)="","",TEXT(INDEX(내신자,AA2,47),"yyyy.mm.dd")&amp;"-"&amp;TEXT(INDEX(내신자,AA2,9)-1,"yyyy.mm.dd"))</f>
        <v/>
      </c>
      <c r="L13" s="735"/>
      <c r="M13" s="324">
        <f>IF(INDEX(내신자,AA2,48)=0,0,INDEX(내신자,AA2,48))</f>
        <v>0</v>
      </c>
      <c r="N13" s="732" t="s">
        <v>202</v>
      </c>
      <c r="O13" s="732"/>
      <c r="P13" s="732"/>
      <c r="Q13" s="732"/>
      <c r="R13" s="732"/>
      <c r="S13" s="732"/>
      <c r="T13" s="732"/>
      <c r="U13" s="732"/>
      <c r="V13" s="732"/>
      <c r="W13" s="732"/>
      <c r="X13" s="732"/>
      <c r="Y13" s="733"/>
    </row>
    <row r="14" spans="2:27" ht="21" customHeight="1" x14ac:dyDescent="0.15"/>
    <row r="15" spans="2:27" ht="13.5" customHeight="1" x14ac:dyDescent="0.15">
      <c r="B15" s="658" t="s">
        <v>58</v>
      </c>
      <c r="C15" s="658"/>
      <c r="D15" s="658"/>
      <c r="E15" s="658"/>
      <c r="F15" s="658"/>
      <c r="G15" s="658"/>
      <c r="H15" s="658"/>
      <c r="I15" s="237"/>
      <c r="J15" s="658" t="s">
        <v>1</v>
      </c>
      <c r="K15" s="658"/>
      <c r="L15" s="658"/>
      <c r="M15" s="658"/>
      <c r="N15" s="658"/>
      <c r="O15" s="658"/>
      <c r="P15" s="658"/>
      <c r="Q15" s="658"/>
      <c r="R15" s="658"/>
      <c r="S15" s="27"/>
      <c r="T15" s="651" t="s">
        <v>15</v>
      </c>
      <c r="U15" s="651"/>
      <c r="V15" s="651"/>
      <c r="W15" s="651"/>
      <c r="X15" s="651"/>
      <c r="Y15" s="651"/>
    </row>
    <row r="16" spans="2:27" ht="21" customHeight="1" x14ac:dyDescent="0.15">
      <c r="B16" s="658"/>
      <c r="C16" s="658"/>
      <c r="D16" s="658"/>
      <c r="E16" s="658"/>
      <c r="F16" s="658"/>
      <c r="G16" s="658"/>
      <c r="H16" s="658"/>
      <c r="I16" s="237"/>
      <c r="J16" s="658"/>
      <c r="K16" s="658"/>
      <c r="L16" s="658"/>
      <c r="M16" s="658"/>
      <c r="N16" s="658"/>
      <c r="O16" s="658"/>
      <c r="P16" s="658"/>
      <c r="Q16" s="658"/>
      <c r="R16" s="658"/>
      <c r="S16" s="27"/>
      <c r="T16" s="651"/>
      <c r="U16" s="651"/>
      <c r="V16" s="651"/>
      <c r="W16" s="651"/>
      <c r="X16" s="651"/>
      <c r="Y16" s="651"/>
    </row>
    <row r="17" spans="2:27" ht="26.25" customHeight="1" x14ac:dyDescent="0.15">
      <c r="B17" s="664" t="s">
        <v>128</v>
      </c>
      <c r="C17" s="664" t="s">
        <v>142</v>
      </c>
      <c r="D17" s="664" t="s">
        <v>50</v>
      </c>
      <c r="E17" s="661" t="s">
        <v>63</v>
      </c>
      <c r="F17" s="661" t="s">
        <v>101</v>
      </c>
      <c r="G17" s="661"/>
      <c r="H17" s="664" t="s">
        <v>144</v>
      </c>
      <c r="I17" s="238"/>
      <c r="J17" s="659" t="s">
        <v>148</v>
      </c>
      <c r="K17" s="659"/>
      <c r="L17" s="229" t="s">
        <v>133</v>
      </c>
      <c r="M17" s="229" t="s">
        <v>134</v>
      </c>
      <c r="N17" s="659" t="s">
        <v>53</v>
      </c>
      <c r="O17" s="659"/>
      <c r="P17" s="659"/>
      <c r="Q17" s="659" t="s">
        <v>135</v>
      </c>
      <c r="R17" s="659"/>
      <c r="S17" s="235"/>
      <c r="T17" s="652" t="s">
        <v>152</v>
      </c>
      <c r="U17" s="653"/>
      <c r="V17" s="652" t="s">
        <v>143</v>
      </c>
      <c r="W17" s="656"/>
      <c r="X17" s="656"/>
      <c r="Y17" s="653"/>
    </row>
    <row r="18" spans="2:27" ht="26.25" customHeight="1" x14ac:dyDescent="0.15">
      <c r="B18" s="665"/>
      <c r="C18" s="665"/>
      <c r="D18" s="665"/>
      <c r="E18" s="661"/>
      <c r="F18" s="661"/>
      <c r="G18" s="661"/>
      <c r="H18" s="665"/>
      <c r="I18" s="238"/>
      <c r="J18" s="659" t="s">
        <v>141</v>
      </c>
      <c r="K18" s="659"/>
      <c r="L18" s="230" t="str">
        <f>IF(INDEX(내신자,AA2,30)=0,"",INDEX(내신자,AA2,30))</f>
        <v/>
      </c>
      <c r="M18" s="62" t="str">
        <f>IFERROR(VLOOKUP(L18,학교,5,0),"")</f>
        <v/>
      </c>
      <c r="N18" s="687" t="str">
        <f>IF(INDEX(내신자,AA2,31)=0,"",INDEX(내신자,AA2,31))</f>
        <v/>
      </c>
      <c r="O18" s="687"/>
      <c r="P18" s="687"/>
      <c r="Q18" s="662">
        <f>INT(SUM(N18:P20))+INT((SUM(N18:P20)-INT(SUM(N18:P20)))*100/12)+MOD((SUM(N18:P20)-INT(SUM(N18:P20)))*100/12,1)*12/100</f>
        <v>0</v>
      </c>
      <c r="R18" s="662"/>
      <c r="S18" s="265"/>
      <c r="T18" s="654"/>
      <c r="U18" s="655"/>
      <c r="V18" s="654"/>
      <c r="W18" s="657"/>
      <c r="X18" s="657"/>
      <c r="Y18" s="655"/>
    </row>
    <row r="19" spans="2:27" ht="26.25" customHeight="1" x14ac:dyDescent="0.15">
      <c r="B19" s="663" t="str">
        <f>IF(INDEX(내신자,AA2,10)=B17,"O","")</f>
        <v/>
      </c>
      <c r="C19" s="663" t="str">
        <f>IF(OR(INDEX(내신자,AA2,26)=0,INDEX(내신자,AA2,26)=""),"","O")</f>
        <v/>
      </c>
      <c r="D19" s="663" t="str">
        <f>IF(INDEX(내신자,AA2,10)=D17,"O","")</f>
        <v/>
      </c>
      <c r="E19" s="663" t="str">
        <f>IF(INDEX(내신자,AA2,10)=E17,"O","")</f>
        <v>O</v>
      </c>
      <c r="F19" s="663" t="str">
        <f>IF(INDEX(내신자,AA2,10)=F17,"O","")</f>
        <v/>
      </c>
      <c r="G19" s="663"/>
      <c r="H19" s="663" t="str">
        <f>IF(INDEX(내신자,AA2,10)=H17,"O","")</f>
        <v/>
      </c>
      <c r="I19" s="235"/>
      <c r="J19" s="659" t="s">
        <v>55</v>
      </c>
      <c r="K19" s="659"/>
      <c r="L19" s="230" t="str">
        <f>IF(INDEX(내신자,AA2,32)=0,"",INDEX(내신자,AA2,32))</f>
        <v/>
      </c>
      <c r="M19" s="62" t="str">
        <f>IFERROR(VLOOKUP(L19,학교,5,0),"")</f>
        <v/>
      </c>
      <c r="N19" s="687" t="str">
        <f>IF(INDEX(내신자,AA2,33)=0,"",INDEX(내신자,AA2,33))</f>
        <v/>
      </c>
      <c r="O19" s="687"/>
      <c r="P19" s="687"/>
      <c r="Q19" s="662"/>
      <c r="R19" s="662"/>
      <c r="S19" s="265"/>
      <c r="T19" s="666" t="str">
        <f>IF(INDEX(내신자,AA2,26)=0,"",INDEX(내신자,AA2,26))</f>
        <v/>
      </c>
      <c r="U19" s="667"/>
      <c r="V19" s="670" t="str">
        <f>IF(개별기초자료!E20=0,"",개별기초자료!E20)</f>
        <v/>
      </c>
      <c r="W19" s="671"/>
      <c r="X19" s="671"/>
      <c r="Y19" s="672"/>
      <c r="AA19" s="375"/>
    </row>
    <row r="20" spans="2:27" ht="26.25" customHeight="1" x14ac:dyDescent="0.15">
      <c r="B20" s="663"/>
      <c r="C20" s="663"/>
      <c r="D20" s="663"/>
      <c r="E20" s="663"/>
      <c r="F20" s="663"/>
      <c r="G20" s="663"/>
      <c r="H20" s="663"/>
      <c r="I20" s="235"/>
      <c r="J20" s="659" t="s">
        <v>45</v>
      </c>
      <c r="K20" s="659"/>
      <c r="L20" s="230" t="str">
        <f>IF(INDEX(내신자,AA2,34)=0,"",INDEX(내신자,AA2,34))</f>
        <v/>
      </c>
      <c r="M20" s="62" t="str">
        <f>IFERROR(VLOOKUP(L20,학교,5,0),"")</f>
        <v/>
      </c>
      <c r="N20" s="687" t="str">
        <f>IF(INDEX(내신자,AA2,35)=0,"",INDEX(내신자,AA2,35))</f>
        <v/>
      </c>
      <c r="O20" s="687"/>
      <c r="P20" s="687"/>
      <c r="Q20" s="662"/>
      <c r="R20" s="662"/>
      <c r="S20" s="265"/>
      <c r="T20" s="668"/>
      <c r="U20" s="669"/>
      <c r="V20" s="673"/>
      <c r="W20" s="674"/>
      <c r="X20" s="674"/>
      <c r="Y20" s="675"/>
    </row>
    <row r="21" spans="2:27" ht="18.75" customHeight="1" x14ac:dyDescent="0.15"/>
    <row r="22" spans="2:27" ht="36.75" customHeight="1" x14ac:dyDescent="0.15">
      <c r="B22" s="658" t="s">
        <v>16</v>
      </c>
      <c r="C22" s="658"/>
      <c r="D22" s="658"/>
      <c r="E22" s="658"/>
      <c r="F22" s="27"/>
      <c r="G22" s="651" t="s">
        <v>407</v>
      </c>
      <c r="H22" s="651"/>
      <c r="I22" s="651"/>
      <c r="J22" s="651"/>
      <c r="L22" s="249" t="s">
        <v>51</v>
      </c>
      <c r="M22" s="660" t="str">
        <f>IF(INDEX(내신자,AA2,39)=0,"",INDEX(내신자,AA2,39))</f>
        <v>통합경력증명서1, 교육경력조서1</v>
      </c>
      <c r="N22" s="660"/>
      <c r="O22" s="660"/>
      <c r="P22" s="660"/>
      <c r="Q22" s="660"/>
      <c r="R22" s="660"/>
      <c r="S22" s="660"/>
      <c r="T22" s="660"/>
      <c r="U22" s="660"/>
      <c r="V22" s="660"/>
      <c r="W22" s="660"/>
      <c r="X22" s="660"/>
      <c r="Y22" s="660"/>
    </row>
    <row r="23" spans="2:27" ht="43.5" customHeight="1" x14ac:dyDescent="0.15">
      <c r="B23" s="704" t="str">
        <f>IF(개별기초자료!H26=TRUE,IF(INDEX(내신자,AA2,27)=0,"",INDEX(내신자,AA2,27)),IF(INDEX(내신자,AA2,27)=0,"",INDEX(내신자,AA2,27)))</f>
        <v xml:space="preserve">   </v>
      </c>
      <c r="C23" s="705"/>
      <c r="D23" s="705"/>
      <c r="E23" s="706"/>
      <c r="F23" s="239"/>
      <c r="G23" s="686" t="s">
        <v>199</v>
      </c>
      <c r="H23" s="686"/>
      <c r="I23" s="686"/>
      <c r="J23" s="686"/>
      <c r="L23" s="249" t="s">
        <v>64</v>
      </c>
      <c r="M23" s="660" t="str">
        <f>IF(INDEX(내신자,AA2,28)=0,"",INDEX(내신자,AA2,28))</f>
        <v>OO초 교사 OOO, OO초 교육공무직원 OOO</v>
      </c>
      <c r="N23" s="660"/>
      <c r="O23" s="660"/>
      <c r="P23" s="660"/>
      <c r="Q23" s="660"/>
      <c r="R23" s="660"/>
      <c r="S23" s="660"/>
      <c r="T23" s="660"/>
      <c r="U23" s="660"/>
      <c r="V23" s="660"/>
      <c r="W23" s="660"/>
      <c r="X23" s="660"/>
      <c r="Y23" s="660"/>
    </row>
    <row r="24" spans="2:27" ht="41.25" customHeight="1" x14ac:dyDescent="0.15">
      <c r="B24" s="707"/>
      <c r="C24" s="708"/>
      <c r="D24" s="708"/>
      <c r="E24" s="709"/>
      <c r="F24" s="239"/>
      <c r="G24" s="686"/>
      <c r="H24" s="686"/>
      <c r="I24" s="686"/>
      <c r="J24" s="686"/>
      <c r="L24" s="249" t="s">
        <v>52</v>
      </c>
      <c r="M24" s="679" t="str">
        <f>IF(INDEX(내신자,AA2,40)=0,"",INDEX(내신자,AA2,40))</f>
        <v>유예1년, 2018.3.1.자 OO초 초빙교사</v>
      </c>
      <c r="N24" s="680"/>
      <c r="O24" s="680"/>
      <c r="P24" s="680"/>
      <c r="Q24" s="680"/>
      <c r="R24" s="680"/>
      <c r="S24" s="680"/>
      <c r="T24" s="681"/>
      <c r="U24" s="676" t="s">
        <v>0</v>
      </c>
      <c r="V24" s="677"/>
      <c r="W24" s="677"/>
      <c r="X24" s="677"/>
      <c r="Y24" s="678"/>
    </row>
  </sheetData>
  <sheetProtection password="DA8F" sheet="1" objects="1" scenarios="1"/>
  <mergeCells count="93">
    <mergeCell ref="B9:B13"/>
    <mergeCell ref="B6:B7"/>
    <mergeCell ref="U11:U12"/>
    <mergeCell ref="V11:V12"/>
    <mergeCell ref="P11:P12"/>
    <mergeCell ref="Q11:Q12"/>
    <mergeCell ref="G6:H6"/>
    <mergeCell ref="J9:J10"/>
    <mergeCell ref="N11:N12"/>
    <mergeCell ref="D7:F7"/>
    <mergeCell ref="N13:Y13"/>
    <mergeCell ref="K13:L13"/>
    <mergeCell ref="R11:R12"/>
    <mergeCell ref="Y11:Y12"/>
    <mergeCell ref="B23:E24"/>
    <mergeCell ref="I6:L6"/>
    <mergeCell ref="I7:L7"/>
    <mergeCell ref="H9:I10"/>
    <mergeCell ref="H11:I12"/>
    <mergeCell ref="H13:I13"/>
    <mergeCell ref="C9:C10"/>
    <mergeCell ref="D9:D10"/>
    <mergeCell ref="E9:E10"/>
    <mergeCell ref="B19:B20"/>
    <mergeCell ref="B22:E22"/>
    <mergeCell ref="C19:C20"/>
    <mergeCell ref="D19:D20"/>
    <mergeCell ref="H19:H20"/>
    <mergeCell ref="B17:B18"/>
    <mergeCell ref="C17:C18"/>
    <mergeCell ref="D2:E2"/>
    <mergeCell ref="D3:E3"/>
    <mergeCell ref="D4:E4"/>
    <mergeCell ref="J17:K17"/>
    <mergeCell ref="J18:K18"/>
    <mergeCell ref="G9:G10"/>
    <mergeCell ref="G7:H7"/>
    <mergeCell ref="J11:J12"/>
    <mergeCell ref="F2:T3"/>
    <mergeCell ref="F4:T4"/>
    <mergeCell ref="M11:M12"/>
    <mergeCell ref="D17:D18"/>
    <mergeCell ref="G11:G12"/>
    <mergeCell ref="T11:T12"/>
    <mergeCell ref="O11:O12"/>
    <mergeCell ref="D6:F6"/>
    <mergeCell ref="V2:W2"/>
    <mergeCell ref="V3:W3"/>
    <mergeCell ref="V4:W4"/>
    <mergeCell ref="M9:M10"/>
    <mergeCell ref="K9:L10"/>
    <mergeCell ref="N9:X9"/>
    <mergeCell ref="X2:Y2"/>
    <mergeCell ref="X3:Y3"/>
    <mergeCell ref="X4:Y4"/>
    <mergeCell ref="M6:P6"/>
    <mergeCell ref="M7:P7"/>
    <mergeCell ref="Y9:Y10"/>
    <mergeCell ref="Q6:R6"/>
    <mergeCell ref="Q7:R7"/>
    <mergeCell ref="M23:Y23"/>
    <mergeCell ref="U24:Y24"/>
    <mergeCell ref="M24:T24"/>
    <mergeCell ref="K11:L11"/>
    <mergeCell ref="K12:L12"/>
    <mergeCell ref="J20:K20"/>
    <mergeCell ref="G23:J24"/>
    <mergeCell ref="N18:P18"/>
    <mergeCell ref="N19:P19"/>
    <mergeCell ref="J15:R16"/>
    <mergeCell ref="N20:P20"/>
    <mergeCell ref="G22:J22"/>
    <mergeCell ref="J19:K19"/>
    <mergeCell ref="W11:W12"/>
    <mergeCell ref="X11:X12"/>
    <mergeCell ref="B15:H16"/>
    <mergeCell ref="Q17:R17"/>
    <mergeCell ref="M22:Y22"/>
    <mergeCell ref="E17:E18"/>
    <mergeCell ref="Q18:R20"/>
    <mergeCell ref="N17:P17"/>
    <mergeCell ref="E19:E20"/>
    <mergeCell ref="F17:G18"/>
    <mergeCell ref="F19:G20"/>
    <mergeCell ref="H17:H18"/>
    <mergeCell ref="T19:U20"/>
    <mergeCell ref="V19:Y20"/>
    <mergeCell ref="S11:S12"/>
    <mergeCell ref="S7:Y7"/>
    <mergeCell ref="S6:Y6"/>
    <mergeCell ref="T15:Y16"/>
    <mergeCell ref="T17:U18"/>
    <mergeCell ref="V17:Y18"/>
  </mergeCells>
  <phoneticPr fontId="81" type="noConversion"/>
  <conditionalFormatting sqref="U24:Y24">
    <cfRule type="expression" dxfId="10" priority="5" stopIfTrue="1">
      <formula>$E$19="O"</formula>
    </cfRule>
    <cfRule type="expression" dxfId="9" priority="4" stopIfTrue="1">
      <formula>$B$19="O"</formula>
    </cfRule>
    <cfRule type="expression" dxfId="8" priority="3" stopIfTrue="1">
      <formula>$F$19="O"</formula>
    </cfRule>
    <cfRule type="expression" dxfId="7" priority="2" stopIfTrue="1">
      <formula>$D$19="O"</formula>
    </cfRule>
    <cfRule type="expression" dxfId="6" priority="1" stopIfTrue="1">
      <formula>$H$19="O"</formula>
    </cfRule>
  </conditionalFormatting>
  <dataValidations count="1">
    <dataValidation showDropDown="1" showInputMessage="1" showErrorMessage="1" sqref="B23:E24" xr:uid="{00000000-0002-0000-0300-000000000000}"/>
  </dataValidations>
  <printOptions horizontalCentered="1" verticalCentered="1"/>
  <pageMargins left="0.62986111640930176" right="0.7086111307144165" top="0.74750000238418579" bottom="0.74750000238418579" header="0.43000000715255737" footer="0.31486111879348755"/>
  <pageSetup paperSize="9" scale="53" orientation="landscape"/>
  <headerFooter>
    <oddHeader>&amp;L&amp;"돋움,Regular"관내 전보내신서 인쇄 : &amp;D&amp;R&amp;"돋움,Regular"&amp;T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IV107"/>
  <sheetViews>
    <sheetView showOutlineSymbols="0" zoomScaleNormal="100" zoomScaleSheetLayoutView="75" workbookViewId="0">
      <selection activeCell="C49" sqref="C49"/>
    </sheetView>
  </sheetViews>
  <sheetFormatPr defaultColWidth="8.88671875" defaultRowHeight="24" customHeight="1" x14ac:dyDescent="0.15"/>
  <cols>
    <col min="1" max="1" width="2.44140625" style="105" customWidth="1"/>
    <col min="2" max="2" width="4.5546875" style="105" customWidth="1"/>
    <col min="3" max="3" width="15.44140625" style="105" customWidth="1"/>
    <col min="4" max="4" width="14" style="105" customWidth="1"/>
    <col min="5" max="5" width="4.109375" style="105" customWidth="1"/>
    <col min="6" max="6" width="14" style="105" customWidth="1"/>
    <col min="7" max="7" width="4.109375" style="105" customWidth="1"/>
    <col min="8" max="10" width="5.88671875" style="105" customWidth="1"/>
    <col min="11" max="11" width="9.44140625" style="105" customWidth="1"/>
    <col min="12" max="12" width="5.88671875" style="105" hidden="1" customWidth="1"/>
    <col min="13" max="15" width="5.88671875" style="105" customWidth="1"/>
    <col min="16" max="18" width="10.5546875" style="105" customWidth="1"/>
    <col min="19" max="256" width="8.88671875" style="105"/>
    <col min="257" max="257" width="8.88671875" style="144"/>
    <col min="258" max="258" width="4.5546875" style="144" customWidth="1"/>
    <col min="259" max="259" width="18.88671875" style="144" customWidth="1"/>
    <col min="260" max="260" width="14" style="144" customWidth="1"/>
    <col min="261" max="261" width="4.109375" style="144" customWidth="1"/>
    <col min="262" max="262" width="14" style="144" customWidth="1"/>
    <col min="263" max="263" width="4.109375" style="144" customWidth="1"/>
    <col min="264" max="266" width="5.88671875" style="144" customWidth="1"/>
    <col min="267" max="267" width="9.44140625" style="144" customWidth="1"/>
    <col min="268" max="268" width="0" style="144" hidden="1" customWidth="1"/>
    <col min="269" max="271" width="5.88671875" style="144" customWidth="1"/>
    <col min="272" max="513" width="8.88671875" style="144"/>
    <col min="514" max="514" width="4.5546875" style="144" customWidth="1"/>
    <col min="515" max="515" width="18.88671875" style="144" customWidth="1"/>
    <col min="516" max="516" width="14" style="144" customWidth="1"/>
    <col min="517" max="517" width="4.109375" style="144" customWidth="1"/>
    <col min="518" max="518" width="14" style="144" customWidth="1"/>
    <col min="519" max="519" width="4.109375" style="144" customWidth="1"/>
    <col min="520" max="522" width="5.88671875" style="144" customWidth="1"/>
    <col min="523" max="523" width="9.44140625" style="144" customWidth="1"/>
    <col min="524" max="524" width="0" style="144" hidden="1" customWidth="1"/>
    <col min="525" max="527" width="5.88671875" style="144" customWidth="1"/>
    <col min="528" max="769" width="8.88671875" style="144"/>
    <col min="770" max="770" width="4.5546875" style="144" customWidth="1"/>
    <col min="771" max="771" width="18.88671875" style="144" customWidth="1"/>
    <col min="772" max="772" width="14" style="144" customWidth="1"/>
    <col min="773" max="773" width="4.109375" style="144" customWidth="1"/>
    <col min="774" max="774" width="14" style="144" customWidth="1"/>
    <col min="775" max="775" width="4.109375" style="144" customWidth="1"/>
    <col min="776" max="778" width="5.88671875" style="144" customWidth="1"/>
    <col min="779" max="779" width="9.44140625" style="144" customWidth="1"/>
    <col min="780" max="780" width="0" style="144" hidden="1" customWidth="1"/>
    <col min="781" max="783" width="5.88671875" style="144" customWidth="1"/>
    <col min="784" max="1025" width="8.88671875" style="144"/>
    <col min="1026" max="1026" width="4.5546875" style="144" customWidth="1"/>
    <col min="1027" max="1027" width="18.88671875" style="144" customWidth="1"/>
    <col min="1028" max="1028" width="14" style="144" customWidth="1"/>
    <col min="1029" max="1029" width="4.109375" style="144" customWidth="1"/>
    <col min="1030" max="1030" width="14" style="144" customWidth="1"/>
    <col min="1031" max="1031" width="4.109375" style="144" customWidth="1"/>
    <col min="1032" max="1034" width="5.88671875" style="144" customWidth="1"/>
    <col min="1035" max="1035" width="9.44140625" style="144" customWidth="1"/>
    <col min="1036" max="1036" width="0" style="144" hidden="1" customWidth="1"/>
    <col min="1037" max="1039" width="5.88671875" style="144" customWidth="1"/>
    <col min="1040" max="1281" width="8.88671875" style="144"/>
    <col min="1282" max="1282" width="4.5546875" style="144" customWidth="1"/>
    <col min="1283" max="1283" width="18.88671875" style="144" customWidth="1"/>
    <col min="1284" max="1284" width="14" style="144" customWidth="1"/>
    <col min="1285" max="1285" width="4.109375" style="144" customWidth="1"/>
    <col min="1286" max="1286" width="14" style="144" customWidth="1"/>
    <col min="1287" max="1287" width="4.109375" style="144" customWidth="1"/>
    <col min="1288" max="1290" width="5.88671875" style="144" customWidth="1"/>
    <col min="1291" max="1291" width="9.44140625" style="144" customWidth="1"/>
    <col min="1292" max="1292" width="0" style="144" hidden="1" customWidth="1"/>
    <col min="1293" max="1295" width="5.88671875" style="144" customWidth="1"/>
    <col min="1296" max="1537" width="8.88671875" style="144"/>
    <col min="1538" max="1538" width="4.5546875" style="144" customWidth="1"/>
    <col min="1539" max="1539" width="18.88671875" style="144" customWidth="1"/>
    <col min="1540" max="1540" width="14" style="144" customWidth="1"/>
    <col min="1541" max="1541" width="4.109375" style="144" customWidth="1"/>
    <col min="1542" max="1542" width="14" style="144" customWidth="1"/>
    <col min="1543" max="1543" width="4.109375" style="144" customWidth="1"/>
    <col min="1544" max="1546" width="5.88671875" style="144" customWidth="1"/>
    <col min="1547" max="1547" width="9.44140625" style="144" customWidth="1"/>
    <col min="1548" max="1548" width="0" style="144" hidden="1" customWidth="1"/>
    <col min="1549" max="1551" width="5.88671875" style="144" customWidth="1"/>
    <col min="1552" max="1793" width="8.88671875" style="144"/>
    <col min="1794" max="1794" width="4.5546875" style="144" customWidth="1"/>
    <col min="1795" max="1795" width="18.88671875" style="144" customWidth="1"/>
    <col min="1796" max="1796" width="14" style="144" customWidth="1"/>
    <col min="1797" max="1797" width="4.109375" style="144" customWidth="1"/>
    <col min="1798" max="1798" width="14" style="144" customWidth="1"/>
    <col min="1799" max="1799" width="4.109375" style="144" customWidth="1"/>
    <col min="1800" max="1802" width="5.88671875" style="144" customWidth="1"/>
    <col min="1803" max="1803" width="9.44140625" style="144" customWidth="1"/>
    <col min="1804" max="1804" width="0" style="144" hidden="1" customWidth="1"/>
    <col min="1805" max="1807" width="5.88671875" style="144" customWidth="1"/>
    <col min="1808" max="2049" width="8.88671875" style="144"/>
    <col min="2050" max="2050" width="4.5546875" style="144" customWidth="1"/>
    <col min="2051" max="2051" width="18.88671875" style="144" customWidth="1"/>
    <col min="2052" max="2052" width="14" style="144" customWidth="1"/>
    <col min="2053" max="2053" width="4.109375" style="144" customWidth="1"/>
    <col min="2054" max="2054" width="14" style="144" customWidth="1"/>
    <col min="2055" max="2055" width="4.109375" style="144" customWidth="1"/>
    <col min="2056" max="2058" width="5.88671875" style="144" customWidth="1"/>
    <col min="2059" max="2059" width="9.44140625" style="144" customWidth="1"/>
    <col min="2060" max="2060" width="0" style="144" hidden="1" customWidth="1"/>
    <col min="2061" max="2063" width="5.88671875" style="144" customWidth="1"/>
    <col min="2064" max="2305" width="8.88671875" style="144"/>
    <col min="2306" max="2306" width="4.5546875" style="144" customWidth="1"/>
    <col min="2307" max="2307" width="18.88671875" style="144" customWidth="1"/>
    <col min="2308" max="2308" width="14" style="144" customWidth="1"/>
    <col min="2309" max="2309" width="4.109375" style="144" customWidth="1"/>
    <col min="2310" max="2310" width="14" style="144" customWidth="1"/>
    <col min="2311" max="2311" width="4.109375" style="144" customWidth="1"/>
    <col min="2312" max="2314" width="5.88671875" style="144" customWidth="1"/>
    <col min="2315" max="2315" width="9.44140625" style="144" customWidth="1"/>
    <col min="2316" max="2316" width="0" style="144" hidden="1" customWidth="1"/>
    <col min="2317" max="2319" width="5.88671875" style="144" customWidth="1"/>
    <col min="2320" max="2561" width="8.88671875" style="144"/>
    <col min="2562" max="2562" width="4.5546875" style="144" customWidth="1"/>
    <col min="2563" max="2563" width="18.88671875" style="144" customWidth="1"/>
    <col min="2564" max="2564" width="14" style="144" customWidth="1"/>
    <col min="2565" max="2565" width="4.109375" style="144" customWidth="1"/>
    <col min="2566" max="2566" width="14" style="144" customWidth="1"/>
    <col min="2567" max="2567" width="4.109375" style="144" customWidth="1"/>
    <col min="2568" max="2570" width="5.88671875" style="144" customWidth="1"/>
    <col min="2571" max="2571" width="9.44140625" style="144" customWidth="1"/>
    <col min="2572" max="2572" width="0" style="144" hidden="1" customWidth="1"/>
    <col min="2573" max="2575" width="5.88671875" style="144" customWidth="1"/>
    <col min="2576" max="2817" width="8.88671875" style="144"/>
    <col min="2818" max="2818" width="4.5546875" style="144" customWidth="1"/>
    <col min="2819" max="2819" width="18.88671875" style="144" customWidth="1"/>
    <col min="2820" max="2820" width="14" style="144" customWidth="1"/>
    <col min="2821" max="2821" width="4.109375" style="144" customWidth="1"/>
    <col min="2822" max="2822" width="14" style="144" customWidth="1"/>
    <col min="2823" max="2823" width="4.109375" style="144" customWidth="1"/>
    <col min="2824" max="2826" width="5.88671875" style="144" customWidth="1"/>
    <col min="2827" max="2827" width="9.44140625" style="144" customWidth="1"/>
    <col min="2828" max="2828" width="0" style="144" hidden="1" customWidth="1"/>
    <col min="2829" max="2831" width="5.88671875" style="144" customWidth="1"/>
    <col min="2832" max="3073" width="8.88671875" style="144"/>
    <col min="3074" max="3074" width="4.5546875" style="144" customWidth="1"/>
    <col min="3075" max="3075" width="18.88671875" style="144" customWidth="1"/>
    <col min="3076" max="3076" width="14" style="144" customWidth="1"/>
    <col min="3077" max="3077" width="4.109375" style="144" customWidth="1"/>
    <col min="3078" max="3078" width="14" style="144" customWidth="1"/>
    <col min="3079" max="3079" width="4.109375" style="144" customWidth="1"/>
    <col min="3080" max="3082" width="5.88671875" style="144" customWidth="1"/>
    <col min="3083" max="3083" width="9.44140625" style="144" customWidth="1"/>
    <col min="3084" max="3084" width="0" style="144" hidden="1" customWidth="1"/>
    <col min="3085" max="3087" width="5.88671875" style="144" customWidth="1"/>
    <col min="3088" max="3329" width="8.88671875" style="144"/>
    <col min="3330" max="3330" width="4.5546875" style="144" customWidth="1"/>
    <col min="3331" max="3331" width="18.88671875" style="144" customWidth="1"/>
    <col min="3332" max="3332" width="14" style="144" customWidth="1"/>
    <col min="3333" max="3333" width="4.109375" style="144" customWidth="1"/>
    <col min="3334" max="3334" width="14" style="144" customWidth="1"/>
    <col min="3335" max="3335" width="4.109375" style="144" customWidth="1"/>
    <col min="3336" max="3338" width="5.88671875" style="144" customWidth="1"/>
    <col min="3339" max="3339" width="9.44140625" style="144" customWidth="1"/>
    <col min="3340" max="3340" width="0" style="144" hidden="1" customWidth="1"/>
    <col min="3341" max="3343" width="5.88671875" style="144" customWidth="1"/>
    <col min="3344" max="3585" width="8.88671875" style="144"/>
    <col min="3586" max="3586" width="4.5546875" style="144" customWidth="1"/>
    <col min="3587" max="3587" width="18.88671875" style="144" customWidth="1"/>
    <col min="3588" max="3588" width="14" style="144" customWidth="1"/>
    <col min="3589" max="3589" width="4.109375" style="144" customWidth="1"/>
    <col min="3590" max="3590" width="14" style="144" customWidth="1"/>
    <col min="3591" max="3591" width="4.109375" style="144" customWidth="1"/>
    <col min="3592" max="3594" width="5.88671875" style="144" customWidth="1"/>
    <col min="3595" max="3595" width="9.44140625" style="144" customWidth="1"/>
    <col min="3596" max="3596" width="0" style="144" hidden="1" customWidth="1"/>
    <col min="3597" max="3599" width="5.88671875" style="144" customWidth="1"/>
    <col min="3600" max="3841" width="8.88671875" style="144"/>
    <col min="3842" max="3842" width="4.5546875" style="144" customWidth="1"/>
    <col min="3843" max="3843" width="18.88671875" style="144" customWidth="1"/>
    <col min="3844" max="3844" width="14" style="144" customWidth="1"/>
    <col min="3845" max="3845" width="4.109375" style="144" customWidth="1"/>
    <col min="3846" max="3846" width="14" style="144" customWidth="1"/>
    <col min="3847" max="3847" width="4.109375" style="144" customWidth="1"/>
    <col min="3848" max="3850" width="5.88671875" style="144" customWidth="1"/>
    <col min="3851" max="3851" width="9.44140625" style="144" customWidth="1"/>
    <col min="3852" max="3852" width="0" style="144" hidden="1" customWidth="1"/>
    <col min="3853" max="3855" width="5.88671875" style="144" customWidth="1"/>
    <col min="3856" max="4097" width="8.88671875" style="144"/>
    <col min="4098" max="4098" width="4.5546875" style="144" customWidth="1"/>
    <col min="4099" max="4099" width="18.88671875" style="144" customWidth="1"/>
    <col min="4100" max="4100" width="14" style="144" customWidth="1"/>
    <col min="4101" max="4101" width="4.109375" style="144" customWidth="1"/>
    <col min="4102" max="4102" width="14" style="144" customWidth="1"/>
    <col min="4103" max="4103" width="4.109375" style="144" customWidth="1"/>
    <col min="4104" max="4106" width="5.88671875" style="144" customWidth="1"/>
    <col min="4107" max="4107" width="9.44140625" style="144" customWidth="1"/>
    <col min="4108" max="4108" width="0" style="144" hidden="1" customWidth="1"/>
    <col min="4109" max="4111" width="5.88671875" style="144" customWidth="1"/>
    <col min="4112" max="4353" width="8.88671875" style="144"/>
    <col min="4354" max="4354" width="4.5546875" style="144" customWidth="1"/>
    <col min="4355" max="4355" width="18.88671875" style="144" customWidth="1"/>
    <col min="4356" max="4356" width="14" style="144" customWidth="1"/>
    <col min="4357" max="4357" width="4.109375" style="144" customWidth="1"/>
    <col min="4358" max="4358" width="14" style="144" customWidth="1"/>
    <col min="4359" max="4359" width="4.109375" style="144" customWidth="1"/>
    <col min="4360" max="4362" width="5.88671875" style="144" customWidth="1"/>
    <col min="4363" max="4363" width="9.44140625" style="144" customWidth="1"/>
    <col min="4364" max="4364" width="0" style="144" hidden="1" customWidth="1"/>
    <col min="4365" max="4367" width="5.88671875" style="144" customWidth="1"/>
    <col min="4368" max="4609" width="8.88671875" style="144"/>
    <col min="4610" max="4610" width="4.5546875" style="144" customWidth="1"/>
    <col min="4611" max="4611" width="18.88671875" style="144" customWidth="1"/>
    <col min="4612" max="4612" width="14" style="144" customWidth="1"/>
    <col min="4613" max="4613" width="4.109375" style="144" customWidth="1"/>
    <col min="4614" max="4614" width="14" style="144" customWidth="1"/>
    <col min="4615" max="4615" width="4.109375" style="144" customWidth="1"/>
    <col min="4616" max="4618" width="5.88671875" style="144" customWidth="1"/>
    <col min="4619" max="4619" width="9.44140625" style="144" customWidth="1"/>
    <col min="4620" max="4620" width="0" style="144" hidden="1" customWidth="1"/>
    <col min="4621" max="4623" width="5.88671875" style="144" customWidth="1"/>
    <col min="4624" max="4865" width="8.88671875" style="144"/>
    <col min="4866" max="4866" width="4.5546875" style="144" customWidth="1"/>
    <col min="4867" max="4867" width="18.88671875" style="144" customWidth="1"/>
    <col min="4868" max="4868" width="14" style="144" customWidth="1"/>
    <col min="4869" max="4869" width="4.109375" style="144" customWidth="1"/>
    <col min="4870" max="4870" width="14" style="144" customWidth="1"/>
    <col min="4871" max="4871" width="4.109375" style="144" customWidth="1"/>
    <col min="4872" max="4874" width="5.88671875" style="144" customWidth="1"/>
    <col min="4875" max="4875" width="9.44140625" style="144" customWidth="1"/>
    <col min="4876" max="4876" width="0" style="144" hidden="1" customWidth="1"/>
    <col min="4877" max="4879" width="5.88671875" style="144" customWidth="1"/>
    <col min="4880" max="5121" width="8.88671875" style="144"/>
    <col min="5122" max="5122" width="4.5546875" style="144" customWidth="1"/>
    <col min="5123" max="5123" width="18.88671875" style="144" customWidth="1"/>
    <col min="5124" max="5124" width="14" style="144" customWidth="1"/>
    <col min="5125" max="5125" width="4.109375" style="144" customWidth="1"/>
    <col min="5126" max="5126" width="14" style="144" customWidth="1"/>
    <col min="5127" max="5127" width="4.109375" style="144" customWidth="1"/>
    <col min="5128" max="5130" width="5.88671875" style="144" customWidth="1"/>
    <col min="5131" max="5131" width="9.44140625" style="144" customWidth="1"/>
    <col min="5132" max="5132" width="0" style="144" hidden="1" customWidth="1"/>
    <col min="5133" max="5135" width="5.88671875" style="144" customWidth="1"/>
    <col min="5136" max="5377" width="8.88671875" style="144"/>
    <col min="5378" max="5378" width="4.5546875" style="144" customWidth="1"/>
    <col min="5379" max="5379" width="18.88671875" style="144" customWidth="1"/>
    <col min="5380" max="5380" width="14" style="144" customWidth="1"/>
    <col min="5381" max="5381" width="4.109375" style="144" customWidth="1"/>
    <col min="5382" max="5382" width="14" style="144" customWidth="1"/>
    <col min="5383" max="5383" width="4.109375" style="144" customWidth="1"/>
    <col min="5384" max="5386" width="5.88671875" style="144" customWidth="1"/>
    <col min="5387" max="5387" width="9.44140625" style="144" customWidth="1"/>
    <col min="5388" max="5388" width="0" style="144" hidden="1" customWidth="1"/>
    <col min="5389" max="5391" width="5.88671875" style="144" customWidth="1"/>
    <col min="5392" max="5633" width="8.88671875" style="144"/>
    <col min="5634" max="5634" width="4.5546875" style="144" customWidth="1"/>
    <col min="5635" max="5635" width="18.88671875" style="144" customWidth="1"/>
    <col min="5636" max="5636" width="14" style="144" customWidth="1"/>
    <col min="5637" max="5637" width="4.109375" style="144" customWidth="1"/>
    <col min="5638" max="5638" width="14" style="144" customWidth="1"/>
    <col min="5639" max="5639" width="4.109375" style="144" customWidth="1"/>
    <col min="5640" max="5642" width="5.88671875" style="144" customWidth="1"/>
    <col min="5643" max="5643" width="9.44140625" style="144" customWidth="1"/>
    <col min="5644" max="5644" width="0" style="144" hidden="1" customWidth="1"/>
    <col min="5645" max="5647" width="5.88671875" style="144" customWidth="1"/>
    <col min="5648" max="5889" width="8.88671875" style="144"/>
    <col min="5890" max="5890" width="4.5546875" style="144" customWidth="1"/>
    <col min="5891" max="5891" width="18.88671875" style="144" customWidth="1"/>
    <col min="5892" max="5892" width="14" style="144" customWidth="1"/>
    <col min="5893" max="5893" width="4.109375" style="144" customWidth="1"/>
    <col min="5894" max="5894" width="14" style="144" customWidth="1"/>
    <col min="5895" max="5895" width="4.109375" style="144" customWidth="1"/>
    <col min="5896" max="5898" width="5.88671875" style="144" customWidth="1"/>
    <col min="5899" max="5899" width="9.44140625" style="144" customWidth="1"/>
    <col min="5900" max="5900" width="0" style="144" hidden="1" customWidth="1"/>
    <col min="5901" max="5903" width="5.88671875" style="144" customWidth="1"/>
    <col min="5904" max="6145" width="8.88671875" style="144"/>
    <col min="6146" max="6146" width="4.5546875" style="144" customWidth="1"/>
    <col min="6147" max="6147" width="18.88671875" style="144" customWidth="1"/>
    <col min="6148" max="6148" width="14" style="144" customWidth="1"/>
    <col min="6149" max="6149" width="4.109375" style="144" customWidth="1"/>
    <col min="6150" max="6150" width="14" style="144" customWidth="1"/>
    <col min="6151" max="6151" width="4.109375" style="144" customWidth="1"/>
    <col min="6152" max="6154" width="5.88671875" style="144" customWidth="1"/>
    <col min="6155" max="6155" width="9.44140625" style="144" customWidth="1"/>
    <col min="6156" max="6156" width="0" style="144" hidden="1" customWidth="1"/>
    <col min="6157" max="6159" width="5.88671875" style="144" customWidth="1"/>
    <col min="6160" max="6401" width="8.88671875" style="144"/>
    <col min="6402" max="6402" width="4.5546875" style="144" customWidth="1"/>
    <col min="6403" max="6403" width="18.88671875" style="144" customWidth="1"/>
    <col min="6404" max="6404" width="14" style="144" customWidth="1"/>
    <col min="6405" max="6405" width="4.109375" style="144" customWidth="1"/>
    <col min="6406" max="6406" width="14" style="144" customWidth="1"/>
    <col min="6407" max="6407" width="4.109375" style="144" customWidth="1"/>
    <col min="6408" max="6410" width="5.88671875" style="144" customWidth="1"/>
    <col min="6411" max="6411" width="9.44140625" style="144" customWidth="1"/>
    <col min="6412" max="6412" width="0" style="144" hidden="1" customWidth="1"/>
    <col min="6413" max="6415" width="5.88671875" style="144" customWidth="1"/>
    <col min="6416" max="6657" width="8.88671875" style="144"/>
    <col min="6658" max="6658" width="4.5546875" style="144" customWidth="1"/>
    <col min="6659" max="6659" width="18.88671875" style="144" customWidth="1"/>
    <col min="6660" max="6660" width="14" style="144" customWidth="1"/>
    <col min="6661" max="6661" width="4.109375" style="144" customWidth="1"/>
    <col min="6662" max="6662" width="14" style="144" customWidth="1"/>
    <col min="6663" max="6663" width="4.109375" style="144" customWidth="1"/>
    <col min="6664" max="6666" width="5.88671875" style="144" customWidth="1"/>
    <col min="6667" max="6667" width="9.44140625" style="144" customWidth="1"/>
    <col min="6668" max="6668" width="0" style="144" hidden="1" customWidth="1"/>
    <col min="6669" max="6671" width="5.88671875" style="144" customWidth="1"/>
    <col min="6672" max="6913" width="8.88671875" style="144"/>
    <col min="6914" max="6914" width="4.5546875" style="144" customWidth="1"/>
    <col min="6915" max="6915" width="18.88671875" style="144" customWidth="1"/>
    <col min="6916" max="6916" width="14" style="144" customWidth="1"/>
    <col min="6917" max="6917" width="4.109375" style="144" customWidth="1"/>
    <col min="6918" max="6918" width="14" style="144" customWidth="1"/>
    <col min="6919" max="6919" width="4.109375" style="144" customWidth="1"/>
    <col min="6920" max="6922" width="5.88671875" style="144" customWidth="1"/>
    <col min="6923" max="6923" width="9.44140625" style="144" customWidth="1"/>
    <col min="6924" max="6924" width="0" style="144" hidden="1" customWidth="1"/>
    <col min="6925" max="6927" width="5.88671875" style="144" customWidth="1"/>
    <col min="6928" max="7169" width="8.88671875" style="144"/>
    <col min="7170" max="7170" width="4.5546875" style="144" customWidth="1"/>
    <col min="7171" max="7171" width="18.88671875" style="144" customWidth="1"/>
    <col min="7172" max="7172" width="14" style="144" customWidth="1"/>
    <col min="7173" max="7173" width="4.109375" style="144" customWidth="1"/>
    <col min="7174" max="7174" width="14" style="144" customWidth="1"/>
    <col min="7175" max="7175" width="4.109375" style="144" customWidth="1"/>
    <col min="7176" max="7178" width="5.88671875" style="144" customWidth="1"/>
    <col min="7179" max="7179" width="9.44140625" style="144" customWidth="1"/>
    <col min="7180" max="7180" width="0" style="144" hidden="1" customWidth="1"/>
    <col min="7181" max="7183" width="5.88671875" style="144" customWidth="1"/>
    <col min="7184" max="7425" width="8.88671875" style="144"/>
    <col min="7426" max="7426" width="4.5546875" style="144" customWidth="1"/>
    <col min="7427" max="7427" width="18.88671875" style="144" customWidth="1"/>
    <col min="7428" max="7428" width="14" style="144" customWidth="1"/>
    <col min="7429" max="7429" width="4.109375" style="144" customWidth="1"/>
    <col min="7430" max="7430" width="14" style="144" customWidth="1"/>
    <col min="7431" max="7431" width="4.109375" style="144" customWidth="1"/>
    <col min="7432" max="7434" width="5.88671875" style="144" customWidth="1"/>
    <col min="7435" max="7435" width="9.44140625" style="144" customWidth="1"/>
    <col min="7436" max="7436" width="0" style="144" hidden="1" customWidth="1"/>
    <col min="7437" max="7439" width="5.88671875" style="144" customWidth="1"/>
    <col min="7440" max="7681" width="8.88671875" style="144"/>
    <col min="7682" max="7682" width="4.5546875" style="144" customWidth="1"/>
    <col min="7683" max="7683" width="18.88671875" style="144" customWidth="1"/>
    <col min="7684" max="7684" width="14" style="144" customWidth="1"/>
    <col min="7685" max="7685" width="4.109375" style="144" customWidth="1"/>
    <col min="7686" max="7686" width="14" style="144" customWidth="1"/>
    <col min="7687" max="7687" width="4.109375" style="144" customWidth="1"/>
    <col min="7688" max="7690" width="5.88671875" style="144" customWidth="1"/>
    <col min="7691" max="7691" width="9.44140625" style="144" customWidth="1"/>
    <col min="7692" max="7692" width="0" style="144" hidden="1" customWidth="1"/>
    <col min="7693" max="7695" width="5.88671875" style="144" customWidth="1"/>
    <col min="7696" max="7937" width="8.88671875" style="144"/>
    <col min="7938" max="7938" width="4.5546875" style="144" customWidth="1"/>
    <col min="7939" max="7939" width="18.88671875" style="144" customWidth="1"/>
    <col min="7940" max="7940" width="14" style="144" customWidth="1"/>
    <col min="7941" max="7941" width="4.109375" style="144" customWidth="1"/>
    <col min="7942" max="7942" width="14" style="144" customWidth="1"/>
    <col min="7943" max="7943" width="4.109375" style="144" customWidth="1"/>
    <col min="7944" max="7946" width="5.88671875" style="144" customWidth="1"/>
    <col min="7947" max="7947" width="9.44140625" style="144" customWidth="1"/>
    <col min="7948" max="7948" width="0" style="144" hidden="1" customWidth="1"/>
    <col min="7949" max="7951" width="5.88671875" style="144" customWidth="1"/>
    <col min="7952" max="8193" width="8.88671875" style="144"/>
    <col min="8194" max="8194" width="4.5546875" style="144" customWidth="1"/>
    <col min="8195" max="8195" width="18.88671875" style="144" customWidth="1"/>
    <col min="8196" max="8196" width="14" style="144" customWidth="1"/>
    <col min="8197" max="8197" width="4.109375" style="144" customWidth="1"/>
    <col min="8198" max="8198" width="14" style="144" customWidth="1"/>
    <col min="8199" max="8199" width="4.109375" style="144" customWidth="1"/>
    <col min="8200" max="8202" width="5.88671875" style="144" customWidth="1"/>
    <col min="8203" max="8203" width="9.44140625" style="144" customWidth="1"/>
    <col min="8204" max="8204" width="0" style="144" hidden="1" customWidth="1"/>
    <col min="8205" max="8207" width="5.88671875" style="144" customWidth="1"/>
    <col min="8208" max="8449" width="8.88671875" style="144"/>
    <col min="8450" max="8450" width="4.5546875" style="144" customWidth="1"/>
    <col min="8451" max="8451" width="18.88671875" style="144" customWidth="1"/>
    <col min="8452" max="8452" width="14" style="144" customWidth="1"/>
    <col min="8453" max="8453" width="4.109375" style="144" customWidth="1"/>
    <col min="8454" max="8454" width="14" style="144" customWidth="1"/>
    <col min="8455" max="8455" width="4.109375" style="144" customWidth="1"/>
    <col min="8456" max="8458" width="5.88671875" style="144" customWidth="1"/>
    <col min="8459" max="8459" width="9.44140625" style="144" customWidth="1"/>
    <col min="8460" max="8460" width="0" style="144" hidden="1" customWidth="1"/>
    <col min="8461" max="8463" width="5.88671875" style="144" customWidth="1"/>
    <col min="8464" max="8705" width="8.88671875" style="144"/>
    <col min="8706" max="8706" width="4.5546875" style="144" customWidth="1"/>
    <col min="8707" max="8707" width="18.88671875" style="144" customWidth="1"/>
    <col min="8708" max="8708" width="14" style="144" customWidth="1"/>
    <col min="8709" max="8709" width="4.109375" style="144" customWidth="1"/>
    <col min="8710" max="8710" width="14" style="144" customWidth="1"/>
    <col min="8711" max="8711" width="4.109375" style="144" customWidth="1"/>
    <col min="8712" max="8714" width="5.88671875" style="144" customWidth="1"/>
    <col min="8715" max="8715" width="9.44140625" style="144" customWidth="1"/>
    <col min="8716" max="8716" width="0" style="144" hidden="1" customWidth="1"/>
    <col min="8717" max="8719" width="5.88671875" style="144" customWidth="1"/>
    <col min="8720" max="8961" width="8.88671875" style="144"/>
    <col min="8962" max="8962" width="4.5546875" style="144" customWidth="1"/>
    <col min="8963" max="8963" width="18.88671875" style="144" customWidth="1"/>
    <col min="8964" max="8964" width="14" style="144" customWidth="1"/>
    <col min="8965" max="8965" width="4.109375" style="144" customWidth="1"/>
    <col min="8966" max="8966" width="14" style="144" customWidth="1"/>
    <col min="8967" max="8967" width="4.109375" style="144" customWidth="1"/>
    <col min="8968" max="8970" width="5.88671875" style="144" customWidth="1"/>
    <col min="8971" max="8971" width="9.44140625" style="144" customWidth="1"/>
    <col min="8972" max="8972" width="0" style="144" hidden="1" customWidth="1"/>
    <col min="8973" max="8975" width="5.88671875" style="144" customWidth="1"/>
    <col min="8976" max="9217" width="8.88671875" style="144"/>
    <col min="9218" max="9218" width="4.5546875" style="144" customWidth="1"/>
    <col min="9219" max="9219" width="18.88671875" style="144" customWidth="1"/>
    <col min="9220" max="9220" width="14" style="144" customWidth="1"/>
    <col min="9221" max="9221" width="4.109375" style="144" customWidth="1"/>
    <col min="9222" max="9222" width="14" style="144" customWidth="1"/>
    <col min="9223" max="9223" width="4.109375" style="144" customWidth="1"/>
    <col min="9224" max="9226" width="5.88671875" style="144" customWidth="1"/>
    <col min="9227" max="9227" width="9.44140625" style="144" customWidth="1"/>
    <col min="9228" max="9228" width="0" style="144" hidden="1" customWidth="1"/>
    <col min="9229" max="9231" width="5.88671875" style="144" customWidth="1"/>
    <col min="9232" max="9473" width="8.88671875" style="144"/>
    <col min="9474" max="9474" width="4.5546875" style="144" customWidth="1"/>
    <col min="9475" max="9475" width="18.88671875" style="144" customWidth="1"/>
    <col min="9476" max="9476" width="14" style="144" customWidth="1"/>
    <col min="9477" max="9477" width="4.109375" style="144" customWidth="1"/>
    <col min="9478" max="9478" width="14" style="144" customWidth="1"/>
    <col min="9479" max="9479" width="4.109375" style="144" customWidth="1"/>
    <col min="9480" max="9482" width="5.88671875" style="144" customWidth="1"/>
    <col min="9483" max="9483" width="9.44140625" style="144" customWidth="1"/>
    <col min="9484" max="9484" width="0" style="144" hidden="1" customWidth="1"/>
    <col min="9485" max="9487" width="5.88671875" style="144" customWidth="1"/>
    <col min="9488" max="9729" width="8.88671875" style="144"/>
    <col min="9730" max="9730" width="4.5546875" style="144" customWidth="1"/>
    <col min="9731" max="9731" width="18.88671875" style="144" customWidth="1"/>
    <col min="9732" max="9732" width="14" style="144" customWidth="1"/>
    <col min="9733" max="9733" width="4.109375" style="144" customWidth="1"/>
    <col min="9734" max="9734" width="14" style="144" customWidth="1"/>
    <col min="9735" max="9735" width="4.109375" style="144" customWidth="1"/>
    <col min="9736" max="9738" width="5.88671875" style="144" customWidth="1"/>
    <col min="9739" max="9739" width="9.44140625" style="144" customWidth="1"/>
    <col min="9740" max="9740" width="0" style="144" hidden="1" customWidth="1"/>
    <col min="9741" max="9743" width="5.88671875" style="144" customWidth="1"/>
    <col min="9744" max="9985" width="8.88671875" style="144"/>
    <col min="9986" max="9986" width="4.5546875" style="144" customWidth="1"/>
    <col min="9987" max="9987" width="18.88671875" style="144" customWidth="1"/>
    <col min="9988" max="9988" width="14" style="144" customWidth="1"/>
    <col min="9989" max="9989" width="4.109375" style="144" customWidth="1"/>
    <col min="9990" max="9990" width="14" style="144" customWidth="1"/>
    <col min="9991" max="9991" width="4.109375" style="144" customWidth="1"/>
    <col min="9992" max="9994" width="5.88671875" style="144" customWidth="1"/>
    <col min="9995" max="9995" width="9.44140625" style="144" customWidth="1"/>
    <col min="9996" max="9996" width="0" style="144" hidden="1" customWidth="1"/>
    <col min="9997" max="9999" width="5.88671875" style="144" customWidth="1"/>
    <col min="10000" max="10241" width="8.88671875" style="144"/>
    <col min="10242" max="10242" width="4.5546875" style="144" customWidth="1"/>
    <col min="10243" max="10243" width="18.88671875" style="144" customWidth="1"/>
    <col min="10244" max="10244" width="14" style="144" customWidth="1"/>
    <col min="10245" max="10245" width="4.109375" style="144" customWidth="1"/>
    <col min="10246" max="10246" width="14" style="144" customWidth="1"/>
    <col min="10247" max="10247" width="4.109375" style="144" customWidth="1"/>
    <col min="10248" max="10250" width="5.88671875" style="144" customWidth="1"/>
    <col min="10251" max="10251" width="9.44140625" style="144" customWidth="1"/>
    <col min="10252" max="10252" width="0" style="144" hidden="1" customWidth="1"/>
    <col min="10253" max="10255" width="5.88671875" style="144" customWidth="1"/>
    <col min="10256" max="10497" width="8.88671875" style="144"/>
    <col min="10498" max="10498" width="4.5546875" style="144" customWidth="1"/>
    <col min="10499" max="10499" width="18.88671875" style="144" customWidth="1"/>
    <col min="10500" max="10500" width="14" style="144" customWidth="1"/>
    <col min="10501" max="10501" width="4.109375" style="144" customWidth="1"/>
    <col min="10502" max="10502" width="14" style="144" customWidth="1"/>
    <col min="10503" max="10503" width="4.109375" style="144" customWidth="1"/>
    <col min="10504" max="10506" width="5.88671875" style="144" customWidth="1"/>
    <col min="10507" max="10507" width="9.44140625" style="144" customWidth="1"/>
    <col min="10508" max="10508" width="0" style="144" hidden="1" customWidth="1"/>
    <col min="10509" max="10511" width="5.88671875" style="144" customWidth="1"/>
    <col min="10512" max="10753" width="8.88671875" style="144"/>
    <col min="10754" max="10754" width="4.5546875" style="144" customWidth="1"/>
    <col min="10755" max="10755" width="18.88671875" style="144" customWidth="1"/>
    <col min="10756" max="10756" width="14" style="144" customWidth="1"/>
    <col min="10757" max="10757" width="4.109375" style="144" customWidth="1"/>
    <col min="10758" max="10758" width="14" style="144" customWidth="1"/>
    <col min="10759" max="10759" width="4.109375" style="144" customWidth="1"/>
    <col min="10760" max="10762" width="5.88671875" style="144" customWidth="1"/>
    <col min="10763" max="10763" width="9.44140625" style="144" customWidth="1"/>
    <col min="10764" max="10764" width="0" style="144" hidden="1" customWidth="1"/>
    <col min="10765" max="10767" width="5.88671875" style="144" customWidth="1"/>
    <col min="10768" max="11009" width="8.88671875" style="144"/>
    <col min="11010" max="11010" width="4.5546875" style="144" customWidth="1"/>
    <col min="11011" max="11011" width="18.88671875" style="144" customWidth="1"/>
    <col min="11012" max="11012" width="14" style="144" customWidth="1"/>
    <col min="11013" max="11013" width="4.109375" style="144" customWidth="1"/>
    <col min="11014" max="11014" width="14" style="144" customWidth="1"/>
    <col min="11015" max="11015" width="4.109375" style="144" customWidth="1"/>
    <col min="11016" max="11018" width="5.88671875" style="144" customWidth="1"/>
    <col min="11019" max="11019" width="9.44140625" style="144" customWidth="1"/>
    <col min="11020" max="11020" width="0" style="144" hidden="1" customWidth="1"/>
    <col min="11021" max="11023" width="5.88671875" style="144" customWidth="1"/>
    <col min="11024" max="11265" width="8.88671875" style="144"/>
    <col min="11266" max="11266" width="4.5546875" style="144" customWidth="1"/>
    <col min="11267" max="11267" width="18.88671875" style="144" customWidth="1"/>
    <col min="11268" max="11268" width="14" style="144" customWidth="1"/>
    <col min="11269" max="11269" width="4.109375" style="144" customWidth="1"/>
    <col min="11270" max="11270" width="14" style="144" customWidth="1"/>
    <col min="11271" max="11271" width="4.109375" style="144" customWidth="1"/>
    <col min="11272" max="11274" width="5.88671875" style="144" customWidth="1"/>
    <col min="11275" max="11275" width="9.44140625" style="144" customWidth="1"/>
    <col min="11276" max="11276" width="0" style="144" hidden="1" customWidth="1"/>
    <col min="11277" max="11279" width="5.88671875" style="144" customWidth="1"/>
    <col min="11280" max="11521" width="8.88671875" style="144"/>
    <col min="11522" max="11522" width="4.5546875" style="144" customWidth="1"/>
    <col min="11523" max="11523" width="18.88671875" style="144" customWidth="1"/>
    <col min="11524" max="11524" width="14" style="144" customWidth="1"/>
    <col min="11525" max="11525" width="4.109375" style="144" customWidth="1"/>
    <col min="11526" max="11526" width="14" style="144" customWidth="1"/>
    <col min="11527" max="11527" width="4.109375" style="144" customWidth="1"/>
    <col min="11528" max="11530" width="5.88671875" style="144" customWidth="1"/>
    <col min="11531" max="11531" width="9.44140625" style="144" customWidth="1"/>
    <col min="11532" max="11532" width="0" style="144" hidden="1" customWidth="1"/>
    <col min="11533" max="11535" width="5.88671875" style="144" customWidth="1"/>
    <col min="11536" max="11777" width="8.88671875" style="144"/>
    <col min="11778" max="11778" width="4.5546875" style="144" customWidth="1"/>
    <col min="11779" max="11779" width="18.88671875" style="144" customWidth="1"/>
    <col min="11780" max="11780" width="14" style="144" customWidth="1"/>
    <col min="11781" max="11781" width="4.109375" style="144" customWidth="1"/>
    <col min="11782" max="11782" width="14" style="144" customWidth="1"/>
    <col min="11783" max="11783" width="4.109375" style="144" customWidth="1"/>
    <col min="11784" max="11786" width="5.88671875" style="144" customWidth="1"/>
    <col min="11787" max="11787" width="9.44140625" style="144" customWidth="1"/>
    <col min="11788" max="11788" width="0" style="144" hidden="1" customWidth="1"/>
    <col min="11789" max="11791" width="5.88671875" style="144" customWidth="1"/>
    <col min="11792" max="12033" width="8.88671875" style="144"/>
    <col min="12034" max="12034" width="4.5546875" style="144" customWidth="1"/>
    <col min="12035" max="12035" width="18.88671875" style="144" customWidth="1"/>
    <col min="12036" max="12036" width="14" style="144" customWidth="1"/>
    <col min="12037" max="12037" width="4.109375" style="144" customWidth="1"/>
    <col min="12038" max="12038" width="14" style="144" customWidth="1"/>
    <col min="12039" max="12039" width="4.109375" style="144" customWidth="1"/>
    <col min="12040" max="12042" width="5.88671875" style="144" customWidth="1"/>
    <col min="12043" max="12043" width="9.44140625" style="144" customWidth="1"/>
    <col min="12044" max="12044" width="0" style="144" hidden="1" customWidth="1"/>
    <col min="12045" max="12047" width="5.88671875" style="144" customWidth="1"/>
    <col min="12048" max="12289" width="8.88671875" style="144"/>
    <col min="12290" max="12290" width="4.5546875" style="144" customWidth="1"/>
    <col min="12291" max="12291" width="18.88671875" style="144" customWidth="1"/>
    <col min="12292" max="12292" width="14" style="144" customWidth="1"/>
    <col min="12293" max="12293" width="4.109375" style="144" customWidth="1"/>
    <col min="12294" max="12294" width="14" style="144" customWidth="1"/>
    <col min="12295" max="12295" width="4.109375" style="144" customWidth="1"/>
    <col min="12296" max="12298" width="5.88671875" style="144" customWidth="1"/>
    <col min="12299" max="12299" width="9.44140625" style="144" customWidth="1"/>
    <col min="12300" max="12300" width="0" style="144" hidden="1" customWidth="1"/>
    <col min="12301" max="12303" width="5.88671875" style="144" customWidth="1"/>
    <col min="12304" max="12545" width="8.88671875" style="144"/>
    <col min="12546" max="12546" width="4.5546875" style="144" customWidth="1"/>
    <col min="12547" max="12547" width="18.88671875" style="144" customWidth="1"/>
    <col min="12548" max="12548" width="14" style="144" customWidth="1"/>
    <col min="12549" max="12549" width="4.109375" style="144" customWidth="1"/>
    <col min="12550" max="12550" width="14" style="144" customWidth="1"/>
    <col min="12551" max="12551" width="4.109375" style="144" customWidth="1"/>
    <col min="12552" max="12554" width="5.88671875" style="144" customWidth="1"/>
    <col min="12555" max="12555" width="9.44140625" style="144" customWidth="1"/>
    <col min="12556" max="12556" width="0" style="144" hidden="1" customWidth="1"/>
    <col min="12557" max="12559" width="5.88671875" style="144" customWidth="1"/>
    <col min="12560" max="12801" width="8.88671875" style="144"/>
    <col min="12802" max="12802" width="4.5546875" style="144" customWidth="1"/>
    <col min="12803" max="12803" width="18.88671875" style="144" customWidth="1"/>
    <col min="12804" max="12804" width="14" style="144" customWidth="1"/>
    <col min="12805" max="12805" width="4.109375" style="144" customWidth="1"/>
    <col min="12806" max="12806" width="14" style="144" customWidth="1"/>
    <col min="12807" max="12807" width="4.109375" style="144" customWidth="1"/>
    <col min="12808" max="12810" width="5.88671875" style="144" customWidth="1"/>
    <col min="12811" max="12811" width="9.44140625" style="144" customWidth="1"/>
    <col min="12812" max="12812" width="0" style="144" hidden="1" customWidth="1"/>
    <col min="12813" max="12815" width="5.88671875" style="144" customWidth="1"/>
    <col min="12816" max="13057" width="8.88671875" style="144"/>
    <col min="13058" max="13058" width="4.5546875" style="144" customWidth="1"/>
    <col min="13059" max="13059" width="18.88671875" style="144" customWidth="1"/>
    <col min="13060" max="13060" width="14" style="144" customWidth="1"/>
    <col min="13061" max="13061" width="4.109375" style="144" customWidth="1"/>
    <col min="13062" max="13062" width="14" style="144" customWidth="1"/>
    <col min="13063" max="13063" width="4.109375" style="144" customWidth="1"/>
    <col min="13064" max="13066" width="5.88671875" style="144" customWidth="1"/>
    <col min="13067" max="13067" width="9.44140625" style="144" customWidth="1"/>
    <col min="13068" max="13068" width="0" style="144" hidden="1" customWidth="1"/>
    <col min="13069" max="13071" width="5.88671875" style="144" customWidth="1"/>
    <col min="13072" max="13313" width="8.88671875" style="144"/>
    <col min="13314" max="13314" width="4.5546875" style="144" customWidth="1"/>
    <col min="13315" max="13315" width="18.88671875" style="144" customWidth="1"/>
    <col min="13316" max="13316" width="14" style="144" customWidth="1"/>
    <col min="13317" max="13317" width="4.109375" style="144" customWidth="1"/>
    <col min="13318" max="13318" width="14" style="144" customWidth="1"/>
    <col min="13319" max="13319" width="4.109375" style="144" customWidth="1"/>
    <col min="13320" max="13322" width="5.88671875" style="144" customWidth="1"/>
    <col min="13323" max="13323" width="9.44140625" style="144" customWidth="1"/>
    <col min="13324" max="13324" width="0" style="144" hidden="1" customWidth="1"/>
    <col min="13325" max="13327" width="5.88671875" style="144" customWidth="1"/>
    <col min="13328" max="13569" width="8.88671875" style="144"/>
    <col min="13570" max="13570" width="4.5546875" style="144" customWidth="1"/>
    <col min="13571" max="13571" width="18.88671875" style="144" customWidth="1"/>
    <col min="13572" max="13572" width="14" style="144" customWidth="1"/>
    <col min="13573" max="13573" width="4.109375" style="144" customWidth="1"/>
    <col min="13574" max="13574" width="14" style="144" customWidth="1"/>
    <col min="13575" max="13575" width="4.109375" style="144" customWidth="1"/>
    <col min="13576" max="13578" width="5.88671875" style="144" customWidth="1"/>
    <col min="13579" max="13579" width="9.44140625" style="144" customWidth="1"/>
    <col min="13580" max="13580" width="0" style="144" hidden="1" customWidth="1"/>
    <col min="13581" max="13583" width="5.88671875" style="144" customWidth="1"/>
    <col min="13584" max="13825" width="8.88671875" style="144"/>
    <col min="13826" max="13826" width="4.5546875" style="144" customWidth="1"/>
    <col min="13827" max="13827" width="18.88671875" style="144" customWidth="1"/>
    <col min="13828" max="13828" width="14" style="144" customWidth="1"/>
    <col min="13829" max="13829" width="4.109375" style="144" customWidth="1"/>
    <col min="13830" max="13830" width="14" style="144" customWidth="1"/>
    <col min="13831" max="13831" width="4.109375" style="144" customWidth="1"/>
    <col min="13832" max="13834" width="5.88671875" style="144" customWidth="1"/>
    <col min="13835" max="13835" width="9.44140625" style="144" customWidth="1"/>
    <col min="13836" max="13836" width="0" style="144" hidden="1" customWidth="1"/>
    <col min="13837" max="13839" width="5.88671875" style="144" customWidth="1"/>
    <col min="13840" max="14081" width="8.88671875" style="144"/>
    <col min="14082" max="14082" width="4.5546875" style="144" customWidth="1"/>
    <col min="14083" max="14083" width="18.88671875" style="144" customWidth="1"/>
    <col min="14084" max="14084" width="14" style="144" customWidth="1"/>
    <col min="14085" max="14085" width="4.109375" style="144" customWidth="1"/>
    <col min="14086" max="14086" width="14" style="144" customWidth="1"/>
    <col min="14087" max="14087" width="4.109375" style="144" customWidth="1"/>
    <col min="14088" max="14090" width="5.88671875" style="144" customWidth="1"/>
    <col min="14091" max="14091" width="9.44140625" style="144" customWidth="1"/>
    <col min="14092" max="14092" width="0" style="144" hidden="1" customWidth="1"/>
    <col min="14093" max="14095" width="5.88671875" style="144" customWidth="1"/>
    <col min="14096" max="14337" width="8.88671875" style="144"/>
    <col min="14338" max="14338" width="4.5546875" style="144" customWidth="1"/>
    <col min="14339" max="14339" width="18.88671875" style="144" customWidth="1"/>
    <col min="14340" max="14340" width="14" style="144" customWidth="1"/>
    <col min="14341" max="14341" width="4.109375" style="144" customWidth="1"/>
    <col min="14342" max="14342" width="14" style="144" customWidth="1"/>
    <col min="14343" max="14343" width="4.109375" style="144" customWidth="1"/>
    <col min="14344" max="14346" width="5.88671875" style="144" customWidth="1"/>
    <col min="14347" max="14347" width="9.44140625" style="144" customWidth="1"/>
    <col min="14348" max="14348" width="0" style="144" hidden="1" customWidth="1"/>
    <col min="14349" max="14351" width="5.88671875" style="144" customWidth="1"/>
    <col min="14352" max="14593" width="8.88671875" style="144"/>
    <col min="14594" max="14594" width="4.5546875" style="144" customWidth="1"/>
    <col min="14595" max="14595" width="18.88671875" style="144" customWidth="1"/>
    <col min="14596" max="14596" width="14" style="144" customWidth="1"/>
    <col min="14597" max="14597" width="4.109375" style="144" customWidth="1"/>
    <col min="14598" max="14598" width="14" style="144" customWidth="1"/>
    <col min="14599" max="14599" width="4.109375" style="144" customWidth="1"/>
    <col min="14600" max="14602" width="5.88671875" style="144" customWidth="1"/>
    <col min="14603" max="14603" width="9.44140625" style="144" customWidth="1"/>
    <col min="14604" max="14604" width="0" style="144" hidden="1" customWidth="1"/>
    <col min="14605" max="14607" width="5.88671875" style="144" customWidth="1"/>
    <col min="14608" max="14849" width="8.88671875" style="144"/>
    <col min="14850" max="14850" width="4.5546875" style="144" customWidth="1"/>
    <col min="14851" max="14851" width="18.88671875" style="144" customWidth="1"/>
    <col min="14852" max="14852" width="14" style="144" customWidth="1"/>
    <col min="14853" max="14853" width="4.109375" style="144" customWidth="1"/>
    <col min="14854" max="14854" width="14" style="144" customWidth="1"/>
    <col min="14855" max="14855" width="4.109375" style="144" customWidth="1"/>
    <col min="14856" max="14858" width="5.88671875" style="144" customWidth="1"/>
    <col min="14859" max="14859" width="9.44140625" style="144" customWidth="1"/>
    <col min="14860" max="14860" width="0" style="144" hidden="1" customWidth="1"/>
    <col min="14861" max="14863" width="5.88671875" style="144" customWidth="1"/>
    <col min="14864" max="15105" width="8.88671875" style="144"/>
    <col min="15106" max="15106" width="4.5546875" style="144" customWidth="1"/>
    <col min="15107" max="15107" width="18.88671875" style="144" customWidth="1"/>
    <col min="15108" max="15108" width="14" style="144" customWidth="1"/>
    <col min="15109" max="15109" width="4.109375" style="144" customWidth="1"/>
    <col min="15110" max="15110" width="14" style="144" customWidth="1"/>
    <col min="15111" max="15111" width="4.109375" style="144" customWidth="1"/>
    <col min="15112" max="15114" width="5.88671875" style="144" customWidth="1"/>
    <col min="15115" max="15115" width="9.44140625" style="144" customWidth="1"/>
    <col min="15116" max="15116" width="0" style="144" hidden="1" customWidth="1"/>
    <col min="15117" max="15119" width="5.88671875" style="144" customWidth="1"/>
    <col min="15120" max="15361" width="8.88671875" style="144"/>
    <col min="15362" max="15362" width="4.5546875" style="144" customWidth="1"/>
    <col min="15363" max="15363" width="18.88671875" style="144" customWidth="1"/>
    <col min="15364" max="15364" width="14" style="144" customWidth="1"/>
    <col min="15365" max="15365" width="4.109375" style="144" customWidth="1"/>
    <col min="15366" max="15366" width="14" style="144" customWidth="1"/>
    <col min="15367" max="15367" width="4.109375" style="144" customWidth="1"/>
    <col min="15368" max="15370" width="5.88671875" style="144" customWidth="1"/>
    <col min="15371" max="15371" width="9.44140625" style="144" customWidth="1"/>
    <col min="15372" max="15372" width="0" style="144" hidden="1" customWidth="1"/>
    <col min="15373" max="15375" width="5.88671875" style="144" customWidth="1"/>
    <col min="15376" max="15617" width="8.88671875" style="144"/>
    <col min="15618" max="15618" width="4.5546875" style="144" customWidth="1"/>
    <col min="15619" max="15619" width="18.88671875" style="144" customWidth="1"/>
    <col min="15620" max="15620" width="14" style="144" customWidth="1"/>
    <col min="15621" max="15621" width="4.109375" style="144" customWidth="1"/>
    <col min="15622" max="15622" width="14" style="144" customWidth="1"/>
    <col min="15623" max="15623" width="4.109375" style="144" customWidth="1"/>
    <col min="15624" max="15626" width="5.88671875" style="144" customWidth="1"/>
    <col min="15627" max="15627" width="9.44140625" style="144" customWidth="1"/>
    <col min="15628" max="15628" width="0" style="144" hidden="1" customWidth="1"/>
    <col min="15629" max="15631" width="5.88671875" style="144" customWidth="1"/>
    <col min="15632" max="15873" width="8.88671875" style="144"/>
    <col min="15874" max="15874" width="4.5546875" style="144" customWidth="1"/>
    <col min="15875" max="15875" width="18.88671875" style="144" customWidth="1"/>
    <col min="15876" max="15876" width="14" style="144" customWidth="1"/>
    <col min="15877" max="15877" width="4.109375" style="144" customWidth="1"/>
    <col min="15878" max="15878" width="14" style="144" customWidth="1"/>
    <col min="15879" max="15879" width="4.109375" style="144" customWidth="1"/>
    <col min="15880" max="15882" width="5.88671875" style="144" customWidth="1"/>
    <col min="15883" max="15883" width="9.44140625" style="144" customWidth="1"/>
    <col min="15884" max="15884" width="0" style="144" hidden="1" customWidth="1"/>
    <col min="15885" max="15887" width="5.88671875" style="144" customWidth="1"/>
    <col min="15888" max="16129" width="8.88671875" style="144"/>
    <col min="16130" max="16130" width="4.5546875" style="144" customWidth="1"/>
    <col min="16131" max="16131" width="18.88671875" style="144" customWidth="1"/>
    <col min="16132" max="16132" width="14" style="144" customWidth="1"/>
    <col min="16133" max="16133" width="4.109375" style="144" customWidth="1"/>
    <col min="16134" max="16134" width="14" style="144" customWidth="1"/>
    <col min="16135" max="16135" width="4.109375" style="144" customWidth="1"/>
    <col min="16136" max="16138" width="5.88671875" style="144" customWidth="1"/>
    <col min="16139" max="16139" width="9.44140625" style="144" customWidth="1"/>
    <col min="16140" max="16140" width="0" style="144" hidden="1" customWidth="1"/>
    <col min="16141" max="16143" width="5.88671875" style="144" customWidth="1"/>
    <col min="16144" max="16384" width="8.88671875" style="144"/>
  </cols>
  <sheetData>
    <row r="1" spans="1:20" ht="52.5" customHeight="1" x14ac:dyDescent="0.15"/>
    <row r="2" spans="1:20" ht="39.75" customHeight="1" x14ac:dyDescent="0.15">
      <c r="A2" s="104"/>
      <c r="B2" s="737" t="s">
        <v>210</v>
      </c>
      <c r="C2" s="738"/>
      <c r="D2" s="738"/>
      <c r="E2" s="738"/>
      <c r="F2" s="738"/>
      <c r="G2" s="738"/>
      <c r="H2" s="738"/>
      <c r="I2" s="738"/>
      <c r="J2" s="738"/>
      <c r="K2" s="104"/>
      <c r="L2" s="104"/>
      <c r="M2" s="104"/>
      <c r="N2" s="104"/>
      <c r="O2" s="104"/>
      <c r="P2" s="104"/>
      <c r="Q2" s="104"/>
      <c r="R2" s="104"/>
      <c r="S2" s="104"/>
    </row>
    <row r="3" spans="1:20" ht="37.5" customHeight="1" x14ac:dyDescent="0.15">
      <c r="A3" s="104"/>
      <c r="B3" s="750" t="s">
        <v>568</v>
      </c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2"/>
      <c r="P3" s="104"/>
      <c r="Q3" s="104"/>
      <c r="R3" s="104"/>
      <c r="S3" s="104"/>
    </row>
    <row r="4" spans="1:20" ht="24" customHeight="1" x14ac:dyDescent="0.15">
      <c r="A4" s="104"/>
      <c r="B4" s="753" t="s">
        <v>261</v>
      </c>
      <c r="C4" s="754"/>
      <c r="D4" s="754"/>
      <c r="E4" s="754"/>
      <c r="F4" s="754"/>
      <c r="G4" s="754"/>
      <c r="H4" s="754"/>
      <c r="I4" s="754"/>
      <c r="J4" s="754"/>
      <c r="K4" s="754"/>
      <c r="L4" s="754"/>
      <c r="M4" s="754"/>
      <c r="N4" s="754"/>
      <c r="O4" s="755"/>
      <c r="P4" s="104"/>
      <c r="Q4" s="104"/>
      <c r="R4" s="104"/>
      <c r="S4" s="104"/>
    </row>
    <row r="5" spans="1:20" ht="20.25" customHeight="1" x14ac:dyDescent="0.15">
      <c r="A5" s="104"/>
      <c r="B5" s="741" t="s">
        <v>499</v>
      </c>
      <c r="C5" s="742"/>
      <c r="D5" s="747" t="s">
        <v>331</v>
      </c>
      <c r="E5" s="748"/>
      <c r="F5" s="748"/>
      <c r="G5" s="756"/>
      <c r="H5" s="757"/>
      <c r="I5" s="758"/>
      <c r="J5" s="758"/>
      <c r="K5" s="758"/>
      <c r="L5" s="758"/>
      <c r="M5" s="758"/>
      <c r="N5" s="758"/>
      <c r="O5" s="759"/>
      <c r="P5" s="104"/>
      <c r="Q5" s="104"/>
      <c r="R5" s="104"/>
      <c r="S5" s="104"/>
    </row>
    <row r="6" spans="1:20" ht="20.25" customHeight="1" x14ac:dyDescent="0.15">
      <c r="A6" s="104"/>
      <c r="B6" s="741" t="s">
        <v>513</v>
      </c>
      <c r="C6" s="742"/>
      <c r="D6" s="743" t="str">
        <f>개별기초자료!E13</f>
        <v>안산양지초</v>
      </c>
      <c r="E6" s="743"/>
      <c r="F6" s="744" t="s">
        <v>115</v>
      </c>
      <c r="G6" s="744"/>
      <c r="H6" s="745" t="str">
        <f>개별기초자료!E9</f>
        <v>초등교사</v>
      </c>
      <c r="I6" s="745"/>
      <c r="J6" s="745"/>
      <c r="K6" s="746" t="s">
        <v>120</v>
      </c>
      <c r="L6" s="746"/>
      <c r="M6" s="747" t="str">
        <f>개별기초자료!E8</f>
        <v>나교사</v>
      </c>
      <c r="N6" s="748"/>
      <c r="O6" s="177" t="s">
        <v>511</v>
      </c>
      <c r="P6" s="104"/>
      <c r="Q6" s="104"/>
      <c r="R6" s="104"/>
      <c r="S6" s="104"/>
    </row>
    <row r="7" spans="1:20" ht="20.25" hidden="1" customHeight="1" x14ac:dyDescent="0.15">
      <c r="A7" s="104"/>
      <c r="B7" s="741"/>
      <c r="C7" s="742"/>
      <c r="D7" s="739"/>
      <c r="E7" s="739"/>
      <c r="F7" s="744"/>
      <c r="G7" s="744"/>
      <c r="H7" s="749"/>
      <c r="I7" s="749"/>
      <c r="J7" s="749"/>
      <c r="K7" s="746"/>
      <c r="L7" s="746"/>
      <c r="M7" s="739"/>
      <c r="N7" s="739"/>
      <c r="O7" s="740"/>
      <c r="P7" s="104"/>
      <c r="Q7" s="104"/>
      <c r="R7" s="104"/>
      <c r="S7" s="104"/>
    </row>
    <row r="8" spans="1:20" ht="20.25" hidden="1" customHeight="1" x14ac:dyDescent="0.15">
      <c r="A8" s="104"/>
      <c r="B8" s="774"/>
      <c r="C8" s="744"/>
      <c r="D8" s="739"/>
      <c r="E8" s="739"/>
      <c r="F8" s="744"/>
      <c r="G8" s="744"/>
      <c r="H8" s="749"/>
      <c r="I8" s="749"/>
      <c r="J8" s="749"/>
      <c r="K8" s="775" t="s">
        <v>439</v>
      </c>
      <c r="L8" s="776"/>
      <c r="M8" s="768" t="s">
        <v>301</v>
      </c>
      <c r="N8" s="769"/>
      <c r="O8" s="770"/>
      <c r="P8" s="104"/>
      <c r="Q8" s="104"/>
      <c r="R8" s="104"/>
      <c r="S8" s="104"/>
    </row>
    <row r="9" spans="1:20" ht="20.25" hidden="1" customHeight="1" x14ac:dyDescent="0.15">
      <c r="A9" s="104"/>
      <c r="B9" s="774"/>
      <c r="C9" s="744"/>
      <c r="D9" s="739"/>
      <c r="E9" s="739"/>
      <c r="F9" s="744"/>
      <c r="G9" s="744"/>
      <c r="H9" s="749"/>
      <c r="I9" s="749"/>
      <c r="J9" s="749"/>
      <c r="K9" s="777"/>
      <c r="L9" s="778"/>
      <c r="M9" s="771"/>
      <c r="N9" s="772"/>
      <c r="O9" s="773"/>
      <c r="P9" s="104"/>
      <c r="Q9" s="104"/>
      <c r="R9" s="104"/>
      <c r="S9" s="104"/>
    </row>
    <row r="10" spans="1:20" s="117" customFormat="1" ht="17.45" hidden="1" customHeight="1" x14ac:dyDescent="0.15">
      <c r="A10" s="106"/>
      <c r="B10" s="107"/>
      <c r="C10" s="108"/>
      <c r="D10" s="109"/>
      <c r="E10" s="109"/>
      <c r="F10" s="108"/>
      <c r="G10" s="108"/>
      <c r="H10" s="108"/>
      <c r="I10" s="110"/>
      <c r="J10" s="110"/>
      <c r="K10" s="109"/>
      <c r="L10" s="111"/>
      <c r="M10" s="111"/>
      <c r="N10" s="111"/>
      <c r="O10" s="112"/>
      <c r="P10" s="113"/>
      <c r="Q10" s="114"/>
      <c r="R10" s="115"/>
      <c r="S10" s="115"/>
      <c r="T10" s="116"/>
    </row>
    <row r="11" spans="1:20" s="117" customFormat="1" ht="17.45" hidden="1" customHeight="1" x14ac:dyDescent="0.15">
      <c r="A11" s="106"/>
      <c r="B11" s="107"/>
      <c r="C11" s="108"/>
      <c r="D11" s="109" t="s">
        <v>555</v>
      </c>
      <c r="E11" s="109"/>
      <c r="F11" s="108"/>
      <c r="G11" s="108"/>
      <c r="H11" s="108"/>
      <c r="I11" s="110"/>
      <c r="J11" s="110"/>
      <c r="K11" s="118" t="s">
        <v>421</v>
      </c>
      <c r="L11" s="111"/>
      <c r="M11" s="111"/>
      <c r="N11" s="111" t="s">
        <v>19</v>
      </c>
      <c r="O11" s="112"/>
      <c r="P11" s="113"/>
      <c r="Q11" s="114"/>
      <c r="R11" s="115"/>
      <c r="S11" s="115"/>
      <c r="T11" s="116"/>
    </row>
    <row r="12" spans="1:20" s="117" customFormat="1" ht="17.45" hidden="1" customHeight="1" x14ac:dyDescent="0.15">
      <c r="A12" s="106"/>
      <c r="B12" s="107"/>
      <c r="C12" s="108"/>
      <c r="D12" s="109" t="s">
        <v>563</v>
      </c>
      <c r="E12" s="109"/>
      <c r="F12" s="108"/>
      <c r="G12" s="108"/>
      <c r="H12" s="108"/>
      <c r="I12" s="110"/>
      <c r="J12" s="110"/>
      <c r="K12" s="118" t="s">
        <v>433</v>
      </c>
      <c r="L12" s="111"/>
      <c r="M12" s="111"/>
      <c r="N12" s="111" t="s">
        <v>430</v>
      </c>
      <c r="O12" s="112"/>
      <c r="P12" s="113"/>
      <c r="Q12" s="114"/>
      <c r="R12" s="115"/>
      <c r="S12" s="115"/>
      <c r="T12" s="116"/>
    </row>
    <row r="13" spans="1:20" s="117" customFormat="1" ht="17.45" hidden="1" customHeight="1" x14ac:dyDescent="0.15">
      <c r="A13" s="106"/>
      <c r="B13" s="107"/>
      <c r="C13" s="108"/>
      <c r="D13" s="109" t="s">
        <v>582</v>
      </c>
      <c r="E13" s="109"/>
      <c r="F13" s="108"/>
      <c r="G13" s="108"/>
      <c r="H13" s="108"/>
      <c r="I13" s="110"/>
      <c r="J13" s="110"/>
      <c r="K13" s="118" t="s">
        <v>440</v>
      </c>
      <c r="L13" s="111"/>
      <c r="M13" s="111"/>
      <c r="N13" s="111" t="s">
        <v>379</v>
      </c>
      <c r="O13" s="112"/>
      <c r="P13" s="113"/>
      <c r="Q13" s="114"/>
      <c r="R13" s="115"/>
      <c r="S13" s="115"/>
      <c r="T13" s="116"/>
    </row>
    <row r="14" spans="1:20" s="117" customFormat="1" ht="17.45" hidden="1" customHeight="1" x14ac:dyDescent="0.15">
      <c r="A14" s="106"/>
      <c r="B14" s="107"/>
      <c r="C14" s="108"/>
      <c r="D14" s="109" t="s">
        <v>566</v>
      </c>
      <c r="E14" s="109"/>
      <c r="F14" s="108"/>
      <c r="G14" s="108"/>
      <c r="H14" s="108"/>
      <c r="I14" s="110"/>
      <c r="J14" s="110"/>
      <c r="K14" s="118" t="s">
        <v>431</v>
      </c>
      <c r="L14" s="111"/>
      <c r="M14" s="111"/>
      <c r="N14" s="111" t="s">
        <v>394</v>
      </c>
      <c r="O14" s="112"/>
      <c r="P14" s="113"/>
      <c r="Q14" s="114"/>
      <c r="R14" s="115"/>
      <c r="S14" s="115"/>
      <c r="T14" s="116"/>
    </row>
    <row r="15" spans="1:20" s="117" customFormat="1" ht="17.45" hidden="1" customHeight="1" x14ac:dyDescent="0.15">
      <c r="A15" s="106"/>
      <c r="B15" s="107"/>
      <c r="C15" s="108"/>
      <c r="D15" s="109" t="s">
        <v>591</v>
      </c>
      <c r="E15" s="109"/>
      <c r="F15" s="108"/>
      <c r="G15" s="108"/>
      <c r="H15" s="108"/>
      <c r="I15" s="110"/>
      <c r="J15" s="110"/>
      <c r="K15" s="118" t="s">
        <v>372</v>
      </c>
      <c r="L15" s="111"/>
      <c r="M15" s="111"/>
      <c r="N15" s="111" t="s">
        <v>471</v>
      </c>
      <c r="O15" s="112"/>
      <c r="P15" s="113"/>
      <c r="Q15" s="114"/>
      <c r="R15" s="115"/>
      <c r="S15" s="115"/>
      <c r="T15" s="116"/>
    </row>
    <row r="16" spans="1:20" s="117" customFormat="1" ht="17.45" hidden="1" customHeight="1" x14ac:dyDescent="0.15">
      <c r="A16" s="106"/>
      <c r="B16" s="107"/>
      <c r="C16" s="108"/>
      <c r="D16" s="109" t="s">
        <v>584</v>
      </c>
      <c r="E16" s="109"/>
      <c r="F16" s="108"/>
      <c r="G16" s="108"/>
      <c r="H16" s="108"/>
      <c r="I16" s="110"/>
      <c r="J16" s="110"/>
      <c r="K16" s="118" t="s">
        <v>373</v>
      </c>
      <c r="L16" s="111"/>
      <c r="M16" s="111"/>
      <c r="N16" s="111" t="s">
        <v>387</v>
      </c>
      <c r="O16" s="112"/>
      <c r="P16" s="113"/>
      <c r="Q16" s="114"/>
      <c r="R16" s="115"/>
      <c r="S16" s="115"/>
      <c r="T16" s="116"/>
    </row>
    <row r="17" spans="1:20" s="117" customFormat="1" ht="17.45" hidden="1" customHeight="1" x14ac:dyDescent="0.15">
      <c r="A17" s="106"/>
      <c r="B17" s="107"/>
      <c r="C17" s="108"/>
      <c r="D17" s="109" t="s">
        <v>573</v>
      </c>
      <c r="E17" s="109"/>
      <c r="F17" s="108"/>
      <c r="G17" s="108"/>
      <c r="H17" s="108"/>
      <c r="I17" s="110"/>
      <c r="J17" s="110"/>
      <c r="K17" s="118" t="s">
        <v>107</v>
      </c>
      <c r="L17" s="111"/>
      <c r="M17" s="111"/>
      <c r="N17" s="111" t="s">
        <v>431</v>
      </c>
      <c r="O17" s="112"/>
      <c r="P17" s="113"/>
      <c r="Q17" s="114"/>
      <c r="R17" s="115"/>
      <c r="S17" s="115"/>
      <c r="T17" s="116"/>
    </row>
    <row r="18" spans="1:20" s="117" customFormat="1" ht="17.45" hidden="1" customHeight="1" x14ac:dyDescent="0.15">
      <c r="A18" s="106"/>
      <c r="B18" s="107"/>
      <c r="C18" s="108"/>
      <c r="D18" s="109" t="s">
        <v>590</v>
      </c>
      <c r="E18" s="109"/>
      <c r="F18" s="108"/>
      <c r="G18" s="108"/>
      <c r="H18" s="108"/>
      <c r="I18" s="110"/>
      <c r="J18" s="110"/>
      <c r="K18" s="118" t="s">
        <v>402</v>
      </c>
      <c r="L18" s="111"/>
      <c r="M18" s="111"/>
      <c r="N18" s="111" t="s">
        <v>112</v>
      </c>
      <c r="O18" s="112"/>
      <c r="P18" s="113"/>
      <c r="Q18" s="114"/>
      <c r="R18" s="115"/>
      <c r="S18" s="115"/>
      <c r="T18" s="116"/>
    </row>
    <row r="19" spans="1:20" s="117" customFormat="1" ht="17.45" hidden="1" customHeight="1" x14ac:dyDescent="0.15">
      <c r="A19" s="106"/>
      <c r="B19" s="107"/>
      <c r="C19" s="108"/>
      <c r="D19" s="109" t="s">
        <v>596</v>
      </c>
      <c r="E19" s="109"/>
      <c r="F19" s="108"/>
      <c r="G19" s="108"/>
      <c r="H19" s="108"/>
      <c r="I19" s="110"/>
      <c r="J19" s="110"/>
      <c r="K19" s="118" t="s">
        <v>414</v>
      </c>
      <c r="L19" s="111"/>
      <c r="M19" s="111"/>
      <c r="N19" s="111" t="s">
        <v>109</v>
      </c>
      <c r="O19" s="112"/>
      <c r="P19" s="113"/>
      <c r="Q19" s="114"/>
      <c r="R19" s="115"/>
      <c r="S19" s="115"/>
      <c r="T19" s="116"/>
    </row>
    <row r="20" spans="1:20" s="117" customFormat="1" ht="17.45" hidden="1" customHeight="1" x14ac:dyDescent="0.15">
      <c r="A20" s="106"/>
      <c r="B20" s="107"/>
      <c r="C20" s="108"/>
      <c r="D20" s="109" t="s">
        <v>581</v>
      </c>
      <c r="E20" s="109"/>
      <c r="F20" s="108"/>
      <c r="G20" s="108"/>
      <c r="H20" s="108"/>
      <c r="I20" s="110"/>
      <c r="J20" s="110"/>
      <c r="K20" s="118" t="s">
        <v>409</v>
      </c>
      <c r="L20" s="111"/>
      <c r="M20" s="111"/>
      <c r="N20" s="111" t="s">
        <v>110</v>
      </c>
      <c r="O20" s="112"/>
      <c r="P20" s="113"/>
      <c r="Q20" s="114"/>
      <c r="R20" s="115"/>
      <c r="S20" s="115"/>
      <c r="T20" s="116"/>
    </row>
    <row r="21" spans="1:20" s="117" customFormat="1" ht="17.45" hidden="1" customHeight="1" x14ac:dyDescent="0.15">
      <c r="A21" s="106"/>
      <c r="B21" s="107"/>
      <c r="C21" s="108"/>
      <c r="D21" s="109" t="s">
        <v>558</v>
      </c>
      <c r="E21" s="109"/>
      <c r="F21" s="108"/>
      <c r="G21" s="108"/>
      <c r="H21" s="108"/>
      <c r="I21" s="110"/>
      <c r="J21" s="110"/>
      <c r="K21" s="118" t="s">
        <v>475</v>
      </c>
      <c r="L21" s="111"/>
      <c r="M21" s="111"/>
      <c r="N21" s="111" t="s">
        <v>22</v>
      </c>
      <c r="O21" s="112"/>
      <c r="P21" s="113"/>
      <c r="Q21" s="114"/>
      <c r="R21" s="115"/>
      <c r="S21" s="115"/>
      <c r="T21" s="116"/>
    </row>
    <row r="22" spans="1:20" s="117" customFormat="1" ht="17.45" hidden="1" customHeight="1" x14ac:dyDescent="0.15">
      <c r="A22" s="106"/>
      <c r="B22" s="107"/>
      <c r="C22" s="108"/>
      <c r="D22" s="109" t="s">
        <v>562</v>
      </c>
      <c r="E22" s="109"/>
      <c r="F22" s="108"/>
      <c r="G22" s="108"/>
      <c r="H22" s="108"/>
      <c r="I22" s="110"/>
      <c r="J22" s="110"/>
      <c r="K22" s="118" t="s">
        <v>255</v>
      </c>
      <c r="L22" s="111"/>
      <c r="M22" s="111"/>
      <c r="N22" s="111" t="s">
        <v>108</v>
      </c>
      <c r="O22" s="112"/>
      <c r="P22" s="113"/>
      <c r="Q22" s="114"/>
      <c r="R22" s="115"/>
      <c r="S22" s="115"/>
      <c r="T22" s="116"/>
    </row>
    <row r="23" spans="1:20" s="117" customFormat="1" ht="17.45" hidden="1" customHeight="1" x14ac:dyDescent="0.15">
      <c r="A23" s="106"/>
      <c r="B23" s="107"/>
      <c r="C23" s="108"/>
      <c r="D23" s="109" t="s">
        <v>574</v>
      </c>
      <c r="E23" s="109"/>
      <c r="F23" s="108"/>
      <c r="G23" s="108"/>
      <c r="H23" s="108"/>
      <c r="I23" s="110"/>
      <c r="J23" s="110"/>
      <c r="K23" s="118" t="s">
        <v>262</v>
      </c>
      <c r="L23" s="111"/>
      <c r="M23" s="111"/>
      <c r="N23" s="111" t="s">
        <v>106</v>
      </c>
      <c r="O23" s="112"/>
      <c r="P23" s="113"/>
      <c r="Q23" s="114"/>
      <c r="R23" s="115"/>
      <c r="S23" s="115"/>
      <c r="T23" s="116"/>
    </row>
    <row r="24" spans="1:20" s="117" customFormat="1" ht="17.45" hidden="1" customHeight="1" x14ac:dyDescent="0.15">
      <c r="A24" s="106"/>
      <c r="B24" s="107"/>
      <c r="C24" s="108"/>
      <c r="D24" s="109" t="s">
        <v>569</v>
      </c>
      <c r="E24" s="109"/>
      <c r="F24" s="108"/>
      <c r="G24" s="108"/>
      <c r="H24" s="108"/>
      <c r="I24" s="110"/>
      <c r="J24" s="110"/>
      <c r="K24" s="118" t="s">
        <v>451</v>
      </c>
      <c r="L24" s="111"/>
      <c r="M24" s="111"/>
      <c r="N24" s="178"/>
      <c r="O24" s="112"/>
      <c r="P24" s="113"/>
      <c r="Q24" s="114"/>
      <c r="R24" s="115"/>
      <c r="S24" s="115"/>
      <c r="T24" s="116"/>
    </row>
    <row r="25" spans="1:20" s="117" customFormat="1" ht="17.45" hidden="1" customHeight="1" x14ac:dyDescent="0.15">
      <c r="A25" s="106"/>
      <c r="B25" s="107"/>
      <c r="C25" s="108"/>
      <c r="D25" s="109" t="s">
        <v>546</v>
      </c>
      <c r="E25" s="109"/>
      <c r="F25" s="108"/>
      <c r="G25" s="108"/>
      <c r="H25" s="108"/>
      <c r="I25" s="110"/>
      <c r="J25" s="110"/>
      <c r="K25" s="118" t="s">
        <v>415</v>
      </c>
      <c r="L25" s="111"/>
      <c r="M25" s="111"/>
      <c r="N25" s="111"/>
      <c r="O25" s="112"/>
      <c r="P25" s="113"/>
      <c r="Q25" s="114"/>
      <c r="R25" s="115"/>
      <c r="S25" s="115"/>
      <c r="T25" s="116"/>
    </row>
    <row r="26" spans="1:20" s="117" customFormat="1" ht="17.45" hidden="1" customHeight="1" x14ac:dyDescent="0.15">
      <c r="A26" s="106"/>
      <c r="B26" s="107"/>
      <c r="C26" s="108"/>
      <c r="D26" s="109" t="s">
        <v>547</v>
      </c>
      <c r="E26" s="109"/>
      <c r="F26" s="108"/>
      <c r="G26" s="108"/>
      <c r="H26" s="108"/>
      <c r="I26" s="110"/>
      <c r="J26" s="110"/>
      <c r="K26" s="118" t="s">
        <v>396</v>
      </c>
      <c r="L26" s="111"/>
      <c r="M26" s="111"/>
      <c r="N26" s="111"/>
      <c r="O26" s="112"/>
      <c r="P26" s="113"/>
      <c r="Q26" s="114"/>
      <c r="R26" s="115"/>
      <c r="S26" s="115"/>
      <c r="T26" s="116"/>
    </row>
    <row r="27" spans="1:20" s="117" customFormat="1" ht="17.45" hidden="1" customHeight="1" x14ac:dyDescent="0.15">
      <c r="A27" s="106"/>
      <c r="B27" s="107"/>
      <c r="C27" s="108"/>
      <c r="D27" s="109" t="s">
        <v>577</v>
      </c>
      <c r="E27" s="109"/>
      <c r="F27" s="108"/>
      <c r="G27" s="108"/>
      <c r="H27" s="108"/>
      <c r="I27" s="110"/>
      <c r="J27" s="110"/>
      <c r="K27" s="118" t="s">
        <v>468</v>
      </c>
      <c r="L27" s="111"/>
      <c r="M27" s="111"/>
      <c r="N27" s="111"/>
      <c r="O27" s="112"/>
      <c r="P27" s="113"/>
      <c r="Q27" s="114"/>
      <c r="R27" s="115"/>
      <c r="S27" s="115"/>
      <c r="T27" s="116"/>
    </row>
    <row r="28" spans="1:20" s="117" customFormat="1" ht="17.45" hidden="1" customHeight="1" x14ac:dyDescent="0.15">
      <c r="A28" s="106"/>
      <c r="B28" s="107"/>
      <c r="C28" s="108"/>
      <c r="D28" s="109" t="s">
        <v>559</v>
      </c>
      <c r="E28" s="109"/>
      <c r="F28" s="108"/>
      <c r="G28" s="108"/>
      <c r="H28" s="108"/>
      <c r="I28" s="110"/>
      <c r="J28" s="110"/>
      <c r="K28" s="118" t="s">
        <v>496</v>
      </c>
      <c r="L28" s="111"/>
      <c r="M28" s="111"/>
      <c r="N28" s="111"/>
      <c r="O28" s="112"/>
      <c r="P28" s="113"/>
      <c r="Q28" s="114"/>
      <c r="R28" s="115"/>
      <c r="S28" s="115"/>
      <c r="T28" s="116"/>
    </row>
    <row r="29" spans="1:20" s="117" customFormat="1" ht="17.45" hidden="1" customHeight="1" x14ac:dyDescent="0.15">
      <c r="A29" s="106"/>
      <c r="B29" s="107"/>
      <c r="C29" s="108"/>
      <c r="D29" s="109" t="s">
        <v>572</v>
      </c>
      <c r="E29" s="109"/>
      <c r="F29" s="108"/>
      <c r="G29" s="108"/>
      <c r="H29" s="108"/>
      <c r="I29" s="110"/>
      <c r="J29" s="110"/>
      <c r="K29" s="118" t="s">
        <v>458</v>
      </c>
      <c r="L29" s="111"/>
      <c r="M29" s="111"/>
      <c r="N29" s="111"/>
      <c r="O29" s="112"/>
      <c r="P29" s="113"/>
      <c r="Q29" s="114"/>
      <c r="R29" s="115"/>
      <c r="S29" s="115"/>
      <c r="T29" s="116"/>
    </row>
    <row r="30" spans="1:20" s="117" customFormat="1" ht="17.45" hidden="1" customHeight="1" x14ac:dyDescent="0.15">
      <c r="A30" s="106"/>
      <c r="B30" s="107"/>
      <c r="C30" s="108"/>
      <c r="D30" s="109" t="s">
        <v>561</v>
      </c>
      <c r="E30" s="109"/>
      <c r="F30" s="108"/>
      <c r="G30" s="108"/>
      <c r="H30" s="108"/>
      <c r="I30" s="110"/>
      <c r="J30" s="110"/>
      <c r="K30" s="118" t="s">
        <v>466</v>
      </c>
      <c r="L30" s="111"/>
      <c r="M30" s="111"/>
      <c r="N30" s="111"/>
      <c r="O30" s="112"/>
      <c r="P30" s="113"/>
      <c r="Q30" s="114"/>
      <c r="R30" s="115"/>
      <c r="S30" s="115"/>
      <c r="T30" s="116"/>
    </row>
    <row r="31" spans="1:20" s="117" customFormat="1" ht="17.45" hidden="1" customHeight="1" x14ac:dyDescent="0.15">
      <c r="A31" s="106"/>
      <c r="B31" s="107"/>
      <c r="C31" s="108"/>
      <c r="D31" s="109" t="s">
        <v>567</v>
      </c>
      <c r="E31" s="109"/>
      <c r="F31" s="108"/>
      <c r="G31" s="108"/>
      <c r="H31" s="108"/>
      <c r="I31" s="110"/>
      <c r="J31" s="110"/>
      <c r="K31" s="118" t="s">
        <v>457</v>
      </c>
      <c r="L31" s="111"/>
      <c r="M31" s="111"/>
      <c r="N31" s="111"/>
      <c r="O31" s="112"/>
      <c r="P31" s="113"/>
      <c r="Q31" s="114"/>
      <c r="R31" s="115"/>
      <c r="S31" s="115"/>
      <c r="T31" s="116"/>
    </row>
    <row r="32" spans="1:20" s="117" customFormat="1" ht="17.45" hidden="1" customHeight="1" x14ac:dyDescent="0.15">
      <c r="A32" s="106"/>
      <c r="B32" s="107"/>
      <c r="C32" s="108"/>
      <c r="D32" s="109" t="s">
        <v>578</v>
      </c>
      <c r="E32" s="109"/>
      <c r="F32" s="108"/>
      <c r="G32" s="108"/>
      <c r="H32" s="108"/>
      <c r="I32" s="110"/>
      <c r="J32" s="110"/>
      <c r="K32" s="118" t="s">
        <v>460</v>
      </c>
      <c r="L32" s="111"/>
      <c r="M32" s="111"/>
      <c r="N32" s="111"/>
      <c r="O32" s="112"/>
      <c r="P32" s="113"/>
      <c r="Q32" s="114"/>
      <c r="R32" s="115"/>
      <c r="S32" s="115"/>
      <c r="T32" s="116"/>
    </row>
    <row r="33" spans="1:20" s="117" customFormat="1" ht="17.45" hidden="1" customHeight="1" x14ac:dyDescent="0.15">
      <c r="A33" s="106"/>
      <c r="B33" s="107"/>
      <c r="C33" s="108"/>
      <c r="D33" s="109" t="s">
        <v>545</v>
      </c>
      <c r="E33" s="109"/>
      <c r="F33" s="108"/>
      <c r="G33" s="108"/>
      <c r="H33" s="108"/>
      <c r="I33" s="110"/>
      <c r="J33" s="110"/>
      <c r="K33" s="118" t="s">
        <v>438</v>
      </c>
      <c r="L33" s="111"/>
      <c r="M33" s="111"/>
      <c r="N33" s="111"/>
      <c r="O33" s="112"/>
      <c r="P33" s="113"/>
      <c r="Q33" s="114"/>
      <c r="R33" s="115"/>
      <c r="S33" s="115"/>
      <c r="T33" s="116"/>
    </row>
    <row r="34" spans="1:20" s="117" customFormat="1" ht="17.45" hidden="1" customHeight="1" x14ac:dyDescent="0.15">
      <c r="A34" s="106"/>
      <c r="B34" s="107"/>
      <c r="C34" s="108"/>
      <c r="D34" s="109" t="s">
        <v>583</v>
      </c>
      <c r="E34" s="109"/>
      <c r="F34" s="108"/>
      <c r="G34" s="108"/>
      <c r="H34" s="108"/>
      <c r="I34" s="110"/>
      <c r="J34" s="110"/>
      <c r="K34" s="111"/>
      <c r="L34" s="111"/>
      <c r="M34" s="111"/>
      <c r="N34" s="111"/>
      <c r="O34" s="112"/>
      <c r="P34" s="113"/>
      <c r="Q34" s="114"/>
      <c r="R34" s="115"/>
      <c r="S34" s="115"/>
      <c r="T34" s="116"/>
    </row>
    <row r="35" spans="1:20" s="117" customFormat="1" ht="17.45" hidden="1" customHeight="1" x14ac:dyDescent="0.15">
      <c r="A35" s="106"/>
      <c r="B35" s="107"/>
      <c r="C35" s="108"/>
      <c r="D35" s="109" t="s">
        <v>552</v>
      </c>
      <c r="E35" s="109"/>
      <c r="F35" s="108"/>
      <c r="G35" s="108"/>
      <c r="H35" s="108"/>
      <c r="I35" s="110"/>
      <c r="J35" s="110"/>
      <c r="K35" s="111"/>
      <c r="L35" s="111"/>
      <c r="M35" s="111"/>
      <c r="N35" s="111"/>
      <c r="O35" s="112"/>
      <c r="P35" s="113"/>
      <c r="Q35" s="114"/>
      <c r="R35" s="115"/>
      <c r="S35" s="115"/>
      <c r="T35" s="116"/>
    </row>
    <row r="36" spans="1:20" s="117" customFormat="1" ht="17.45" hidden="1" customHeight="1" x14ac:dyDescent="0.15">
      <c r="A36" s="106"/>
      <c r="B36" s="107"/>
      <c r="C36" s="108"/>
      <c r="D36" s="109" t="s">
        <v>224</v>
      </c>
      <c r="E36" s="109"/>
      <c r="F36" s="108"/>
      <c r="G36" s="108"/>
      <c r="H36" s="108"/>
      <c r="I36" s="110"/>
      <c r="J36" s="110"/>
      <c r="K36" s="111"/>
      <c r="L36" s="111"/>
      <c r="M36" s="111"/>
      <c r="N36" s="111"/>
      <c r="O36" s="112"/>
      <c r="P36" s="113"/>
      <c r="Q36" s="114"/>
      <c r="R36" s="115"/>
      <c r="S36" s="115"/>
      <c r="T36" s="116"/>
    </row>
    <row r="37" spans="1:20" s="117" customFormat="1" ht="17.45" hidden="1" customHeight="1" x14ac:dyDescent="0.15">
      <c r="A37" s="106"/>
      <c r="B37" s="107"/>
      <c r="C37" s="108"/>
      <c r="D37" s="109" t="s">
        <v>497</v>
      </c>
      <c r="E37" s="109"/>
      <c r="F37" s="108"/>
      <c r="G37" s="108"/>
      <c r="H37" s="108"/>
      <c r="I37" s="110"/>
      <c r="J37" s="110"/>
      <c r="K37" s="111"/>
      <c r="L37" s="111"/>
      <c r="M37" s="111"/>
      <c r="N37" s="111"/>
      <c r="O37" s="112"/>
      <c r="P37" s="113"/>
      <c r="Q37" s="114"/>
      <c r="R37" s="115"/>
      <c r="S37" s="115"/>
      <c r="T37" s="116"/>
    </row>
    <row r="38" spans="1:20" s="117" customFormat="1" ht="17.45" hidden="1" customHeight="1" x14ac:dyDescent="0.15">
      <c r="A38" s="106"/>
      <c r="B38" s="107"/>
      <c r="C38" s="108"/>
      <c r="D38" s="109" t="s">
        <v>487</v>
      </c>
      <c r="E38" s="109"/>
      <c r="F38" s="108"/>
      <c r="G38" s="108"/>
      <c r="H38" s="108"/>
      <c r="I38" s="110"/>
      <c r="J38" s="110"/>
      <c r="K38" s="111"/>
      <c r="L38" s="111"/>
      <c r="M38" s="111"/>
      <c r="N38" s="111"/>
      <c r="O38" s="112"/>
      <c r="P38" s="113"/>
      <c r="Q38" s="114"/>
      <c r="R38" s="115"/>
      <c r="S38" s="115"/>
      <c r="T38" s="116"/>
    </row>
    <row r="39" spans="1:20" ht="24.75" customHeight="1" x14ac:dyDescent="0.15">
      <c r="A39" s="104"/>
      <c r="B39" s="753" t="s">
        <v>256</v>
      </c>
      <c r="C39" s="754"/>
      <c r="D39" s="754"/>
      <c r="E39" s="754"/>
      <c r="F39" s="754"/>
      <c r="G39" s="754"/>
      <c r="H39" s="754"/>
      <c r="I39" s="754"/>
      <c r="J39" s="754"/>
      <c r="K39" s="754"/>
      <c r="L39" s="754"/>
      <c r="M39" s="754"/>
      <c r="N39" s="754"/>
      <c r="O39" s="755"/>
      <c r="P39" s="104"/>
      <c r="Q39" s="104"/>
      <c r="R39" s="104"/>
      <c r="S39" s="104"/>
    </row>
    <row r="40" spans="1:20" ht="24.75" customHeight="1" x14ac:dyDescent="0.15">
      <c r="A40" s="104"/>
      <c r="B40" s="179" t="s">
        <v>127</v>
      </c>
      <c r="C40" s="119" t="s">
        <v>448</v>
      </c>
      <c r="D40" s="760" t="s">
        <v>489</v>
      </c>
      <c r="E40" s="761"/>
      <c r="F40" s="761"/>
      <c r="G40" s="762"/>
      <c r="H40" s="763" t="s">
        <v>478</v>
      </c>
      <c r="I40" s="764"/>
      <c r="J40" s="765"/>
      <c r="K40" s="168" t="s">
        <v>515</v>
      </c>
      <c r="L40" s="168" t="s">
        <v>515</v>
      </c>
      <c r="M40" s="766" t="s">
        <v>428</v>
      </c>
      <c r="N40" s="766"/>
      <c r="O40" s="767"/>
      <c r="P40" s="104"/>
      <c r="Q40" s="104"/>
      <c r="R40" s="104"/>
      <c r="S40" s="104"/>
    </row>
    <row r="41" spans="1:20" ht="14.25" hidden="1" customHeight="1" x14ac:dyDescent="0.15">
      <c r="A41" s="104"/>
      <c r="B41" s="779" t="s">
        <v>450</v>
      </c>
      <c r="C41" s="120"/>
      <c r="D41" s="121"/>
      <c r="E41" s="122" t="s">
        <v>517</v>
      </c>
      <c r="F41" s="121"/>
      <c r="G41" s="123" t="s">
        <v>522</v>
      </c>
      <c r="H41" s="124">
        <f t="shared" ref="H41:H46" si="0">hjp_1($D41,$F41,1)</f>
        <v>0</v>
      </c>
      <c r="I41" s="125">
        <f t="shared" ref="I41:I46" si="1">hjp_1($D41,$F41,4)</f>
        <v>0</v>
      </c>
      <c r="J41" s="126">
        <f t="shared" ref="J41:J46" si="2">hjp_1($D41,$F41,3)</f>
        <v>0</v>
      </c>
      <c r="K41" s="127"/>
      <c r="L41" s="128">
        <f>+K41/100</f>
        <v>0</v>
      </c>
      <c r="M41" s="124">
        <f t="shared" ref="M41:M46" si="3">hjp_2($D41,$F41,$L41,1)</f>
        <v>0</v>
      </c>
      <c r="N41" s="125">
        <f t="shared" ref="N41:N46" si="4">hjp_2($D41,$F41,$L41,2)</f>
        <v>0</v>
      </c>
      <c r="O41" s="180">
        <f t="shared" ref="O41:O46" si="5">hjp_2($D41,$F41,$L41,3)</f>
        <v>0</v>
      </c>
      <c r="P41" s="104"/>
      <c r="Q41" s="104"/>
      <c r="R41" s="104"/>
      <c r="S41" s="104"/>
    </row>
    <row r="42" spans="1:20" ht="14.25" hidden="1" customHeight="1" x14ac:dyDescent="0.15">
      <c r="A42" s="104"/>
      <c r="B42" s="780"/>
      <c r="C42" s="120"/>
      <c r="D42" s="121"/>
      <c r="E42" s="122" t="s">
        <v>517</v>
      </c>
      <c r="F42" s="121"/>
      <c r="G42" s="123" t="s">
        <v>522</v>
      </c>
      <c r="H42" s="124">
        <f t="shared" si="0"/>
        <v>0</v>
      </c>
      <c r="I42" s="125">
        <f t="shared" si="1"/>
        <v>0</v>
      </c>
      <c r="J42" s="126">
        <f t="shared" si="2"/>
        <v>0</v>
      </c>
      <c r="K42" s="127"/>
      <c r="L42" s="128">
        <f t="shared" ref="L42:L91" si="6">+K42/100</f>
        <v>0</v>
      </c>
      <c r="M42" s="124">
        <f t="shared" si="3"/>
        <v>0</v>
      </c>
      <c r="N42" s="125">
        <f t="shared" si="4"/>
        <v>0</v>
      </c>
      <c r="O42" s="180">
        <f t="shared" si="5"/>
        <v>0</v>
      </c>
      <c r="P42" s="104"/>
      <c r="Q42" s="104"/>
      <c r="R42" s="104"/>
      <c r="S42" s="104"/>
    </row>
    <row r="43" spans="1:20" ht="14.25" hidden="1" customHeight="1" x14ac:dyDescent="0.15">
      <c r="A43" s="104"/>
      <c r="B43" s="780"/>
      <c r="C43" s="120"/>
      <c r="D43" s="121"/>
      <c r="E43" s="122" t="s">
        <v>517</v>
      </c>
      <c r="F43" s="121"/>
      <c r="G43" s="123" t="s">
        <v>522</v>
      </c>
      <c r="H43" s="124">
        <f t="shared" si="0"/>
        <v>0</v>
      </c>
      <c r="I43" s="125">
        <f t="shared" si="1"/>
        <v>0</v>
      </c>
      <c r="J43" s="126">
        <f t="shared" si="2"/>
        <v>0</v>
      </c>
      <c r="K43" s="127"/>
      <c r="L43" s="128">
        <f t="shared" si="6"/>
        <v>0</v>
      </c>
      <c r="M43" s="124">
        <f t="shared" si="3"/>
        <v>0</v>
      </c>
      <c r="N43" s="125">
        <f t="shared" si="4"/>
        <v>0</v>
      </c>
      <c r="O43" s="180">
        <f t="shared" si="5"/>
        <v>0</v>
      </c>
      <c r="P43" s="104"/>
      <c r="Q43" s="104"/>
      <c r="R43" s="104"/>
      <c r="S43" s="104"/>
    </row>
    <row r="44" spans="1:20" ht="14.25" hidden="1" customHeight="1" x14ac:dyDescent="0.15">
      <c r="A44" s="104"/>
      <c r="B44" s="780"/>
      <c r="C44" s="129"/>
      <c r="D44" s="121"/>
      <c r="E44" s="122" t="s">
        <v>517</v>
      </c>
      <c r="F44" s="121"/>
      <c r="G44" s="123" t="s">
        <v>522</v>
      </c>
      <c r="H44" s="124">
        <f t="shared" si="0"/>
        <v>0</v>
      </c>
      <c r="I44" s="125">
        <f t="shared" si="1"/>
        <v>0</v>
      </c>
      <c r="J44" s="126">
        <f t="shared" si="2"/>
        <v>0</v>
      </c>
      <c r="K44" s="127"/>
      <c r="L44" s="128">
        <f t="shared" si="6"/>
        <v>0</v>
      </c>
      <c r="M44" s="124">
        <f t="shared" si="3"/>
        <v>0</v>
      </c>
      <c r="N44" s="125">
        <f t="shared" si="4"/>
        <v>0</v>
      </c>
      <c r="O44" s="180">
        <f t="shared" si="5"/>
        <v>0</v>
      </c>
      <c r="P44" s="104"/>
      <c r="Q44" s="104"/>
      <c r="R44" s="104"/>
      <c r="S44" s="104"/>
    </row>
    <row r="45" spans="1:20" ht="14.25" hidden="1" customHeight="1" x14ac:dyDescent="0.15">
      <c r="A45" s="104"/>
      <c r="B45" s="780"/>
      <c r="C45" s="129"/>
      <c r="D45" s="121"/>
      <c r="E45" s="122" t="s">
        <v>517</v>
      </c>
      <c r="F45" s="121"/>
      <c r="G45" s="123" t="s">
        <v>522</v>
      </c>
      <c r="H45" s="124">
        <f t="shared" si="0"/>
        <v>0</v>
      </c>
      <c r="I45" s="125">
        <f t="shared" si="1"/>
        <v>0</v>
      </c>
      <c r="J45" s="126">
        <f t="shared" si="2"/>
        <v>0</v>
      </c>
      <c r="K45" s="127"/>
      <c r="L45" s="128">
        <f t="shared" si="6"/>
        <v>0</v>
      </c>
      <c r="M45" s="124">
        <f t="shared" si="3"/>
        <v>0</v>
      </c>
      <c r="N45" s="125">
        <f t="shared" si="4"/>
        <v>0</v>
      </c>
      <c r="O45" s="180">
        <f t="shared" si="5"/>
        <v>0</v>
      </c>
      <c r="P45" s="104"/>
      <c r="Q45" s="104"/>
      <c r="R45" s="104"/>
      <c r="S45" s="104"/>
    </row>
    <row r="46" spans="1:20" ht="14.25" hidden="1" customHeight="1" x14ac:dyDescent="0.15">
      <c r="A46" s="104"/>
      <c r="B46" s="780"/>
      <c r="C46" s="120"/>
      <c r="D46" s="121"/>
      <c r="E46" s="122" t="s">
        <v>517</v>
      </c>
      <c r="F46" s="121"/>
      <c r="G46" s="123" t="s">
        <v>522</v>
      </c>
      <c r="H46" s="124">
        <f t="shared" si="0"/>
        <v>0</v>
      </c>
      <c r="I46" s="125">
        <f t="shared" si="1"/>
        <v>0</v>
      </c>
      <c r="J46" s="126">
        <f t="shared" si="2"/>
        <v>0</v>
      </c>
      <c r="K46" s="127"/>
      <c r="L46" s="128">
        <f t="shared" si="6"/>
        <v>0</v>
      </c>
      <c r="M46" s="124">
        <f t="shared" si="3"/>
        <v>0</v>
      </c>
      <c r="N46" s="125">
        <f t="shared" si="4"/>
        <v>0</v>
      </c>
      <c r="O46" s="180">
        <f t="shared" si="5"/>
        <v>0</v>
      </c>
      <c r="P46" s="104"/>
      <c r="Q46" s="104"/>
      <c r="R46" s="104"/>
      <c r="S46" s="104"/>
    </row>
    <row r="47" spans="1:20" ht="13.5" hidden="1" customHeight="1" x14ac:dyDescent="0.15">
      <c r="A47" s="104"/>
      <c r="B47" s="780"/>
      <c r="C47" s="130"/>
      <c r="D47" s="131"/>
      <c r="E47" s="123"/>
      <c r="F47" s="131"/>
      <c r="G47" s="123"/>
      <c r="H47" s="132">
        <f>SUM(H41:H46)</f>
        <v>0</v>
      </c>
      <c r="I47" s="132">
        <f>SUM(I41:I46)</f>
        <v>0</v>
      </c>
      <c r="J47" s="132">
        <f>SUM(J41:J46)</f>
        <v>0</v>
      </c>
      <c r="K47" s="124"/>
      <c r="L47" s="128">
        <f t="shared" si="6"/>
        <v>0</v>
      </c>
      <c r="M47" s="124">
        <f>SUM(M41:M46)</f>
        <v>0</v>
      </c>
      <c r="N47" s="125">
        <f>SUM(N41:N46)</f>
        <v>0</v>
      </c>
      <c r="O47" s="180">
        <f>SUM(O41:O46)</f>
        <v>0</v>
      </c>
      <c r="P47" s="104"/>
      <c r="Q47" s="104"/>
      <c r="R47" s="104"/>
      <c r="S47" s="104"/>
    </row>
    <row r="48" spans="1:20" ht="18" hidden="1" customHeight="1" x14ac:dyDescent="0.15">
      <c r="A48" s="104"/>
      <c r="B48" s="781"/>
      <c r="C48" s="782" t="s">
        <v>506</v>
      </c>
      <c r="D48" s="783"/>
      <c r="E48" s="783"/>
      <c r="F48" s="783"/>
      <c r="G48" s="784"/>
      <c r="H48" s="133">
        <f>H47+INT((I47+INT(J47/30))/12)</f>
        <v>0</v>
      </c>
      <c r="I48" s="134">
        <f>MOD(I47+INT(J47/30),12)</f>
        <v>0</v>
      </c>
      <c r="J48" s="135">
        <f>MOD(J47,30)</f>
        <v>0</v>
      </c>
      <c r="K48" s="136"/>
      <c r="L48" s="137"/>
      <c r="M48" s="138">
        <f>M47+INT((N47+INT(O47/30))/12)</f>
        <v>0</v>
      </c>
      <c r="N48" s="139">
        <f>MOD(N47+INT(O47/30),12)</f>
        <v>0</v>
      </c>
      <c r="O48" s="140">
        <f>MOD(O47,30)</f>
        <v>0</v>
      </c>
      <c r="P48" s="104"/>
      <c r="Q48" s="104"/>
      <c r="R48" s="104"/>
      <c r="S48" s="104"/>
    </row>
    <row r="49" spans="1:19" ht="22.5" customHeight="1" x14ac:dyDescent="0.15">
      <c r="A49" s="104"/>
      <c r="B49" s="785" t="s">
        <v>385</v>
      </c>
      <c r="C49" s="141"/>
      <c r="D49" s="121"/>
      <c r="E49" s="122" t="s">
        <v>517</v>
      </c>
      <c r="F49" s="121"/>
      <c r="G49" s="123" t="s">
        <v>522</v>
      </c>
      <c r="H49" s="124">
        <f t="shared" ref="H49:H69" si="7">hjp_1($D49,$F49,1)</f>
        <v>0</v>
      </c>
      <c r="I49" s="125">
        <f t="shared" ref="I49:I69" si="8">hjp_1($D49,$F49,4)</f>
        <v>0</v>
      </c>
      <c r="J49" s="126">
        <f t="shared" ref="J49:J69" si="9">hjp_1($D49,$F49,3)</f>
        <v>0</v>
      </c>
      <c r="K49" s="127"/>
      <c r="L49" s="128">
        <f t="shared" si="6"/>
        <v>0</v>
      </c>
      <c r="M49" s="124">
        <f t="shared" ref="M49:M69" si="10">hjp_2($D49,$F49,$L49,1)</f>
        <v>0</v>
      </c>
      <c r="N49" s="125">
        <f t="shared" ref="N49:N69" si="11">hjp_2($D49,$F49,$L49,2)</f>
        <v>0</v>
      </c>
      <c r="O49" s="180">
        <f t="shared" ref="O49:O69" si="12">hjp_2($D49,$F49,$L49,3)</f>
        <v>0</v>
      </c>
      <c r="P49" s="104"/>
      <c r="Q49" s="104"/>
      <c r="R49" s="104"/>
      <c r="S49" s="104"/>
    </row>
    <row r="50" spans="1:19" ht="22.5" customHeight="1" x14ac:dyDescent="0.15">
      <c r="A50" s="104"/>
      <c r="B50" s="785"/>
      <c r="C50" s="141"/>
      <c r="D50" s="121"/>
      <c r="E50" s="122" t="s">
        <v>517</v>
      </c>
      <c r="F50" s="121"/>
      <c r="G50" s="123" t="s">
        <v>522</v>
      </c>
      <c r="H50" s="124">
        <f t="shared" si="7"/>
        <v>0</v>
      </c>
      <c r="I50" s="125">
        <f t="shared" si="8"/>
        <v>0</v>
      </c>
      <c r="J50" s="126">
        <f t="shared" si="9"/>
        <v>0</v>
      </c>
      <c r="K50" s="127"/>
      <c r="L50" s="128">
        <f t="shared" si="6"/>
        <v>0</v>
      </c>
      <c r="M50" s="124">
        <f t="shared" si="10"/>
        <v>0</v>
      </c>
      <c r="N50" s="125">
        <f t="shared" si="11"/>
        <v>0</v>
      </c>
      <c r="O50" s="180">
        <f t="shared" si="12"/>
        <v>0</v>
      </c>
      <c r="P50" s="104"/>
      <c r="Q50" s="104"/>
      <c r="R50" s="104"/>
      <c r="S50" s="104"/>
    </row>
    <row r="51" spans="1:19" ht="22.5" customHeight="1" x14ac:dyDescent="0.15">
      <c r="A51" s="104"/>
      <c r="B51" s="785"/>
      <c r="C51" s="141"/>
      <c r="D51" s="121"/>
      <c r="E51" s="122" t="s">
        <v>517</v>
      </c>
      <c r="F51" s="121"/>
      <c r="G51" s="123" t="s">
        <v>522</v>
      </c>
      <c r="H51" s="124">
        <f t="shared" si="7"/>
        <v>0</v>
      </c>
      <c r="I51" s="125">
        <f t="shared" si="8"/>
        <v>0</v>
      </c>
      <c r="J51" s="126">
        <f t="shared" si="9"/>
        <v>0</v>
      </c>
      <c r="K51" s="127"/>
      <c r="L51" s="128">
        <f t="shared" si="6"/>
        <v>0</v>
      </c>
      <c r="M51" s="124">
        <f t="shared" si="10"/>
        <v>0</v>
      </c>
      <c r="N51" s="125">
        <f t="shared" si="11"/>
        <v>0</v>
      </c>
      <c r="O51" s="180">
        <f t="shared" si="12"/>
        <v>0</v>
      </c>
      <c r="P51" s="104"/>
      <c r="Q51" s="104"/>
      <c r="R51" s="104"/>
      <c r="S51" s="104"/>
    </row>
    <row r="52" spans="1:19" ht="22.5" customHeight="1" x14ac:dyDescent="0.15">
      <c r="A52" s="104"/>
      <c r="B52" s="785"/>
      <c r="C52" s="141"/>
      <c r="D52" s="121"/>
      <c r="E52" s="122" t="s">
        <v>517</v>
      </c>
      <c r="F52" s="121"/>
      <c r="G52" s="123" t="s">
        <v>522</v>
      </c>
      <c r="H52" s="124">
        <f t="shared" si="7"/>
        <v>0</v>
      </c>
      <c r="I52" s="125">
        <f t="shared" si="8"/>
        <v>0</v>
      </c>
      <c r="J52" s="126">
        <f t="shared" si="9"/>
        <v>0</v>
      </c>
      <c r="K52" s="127"/>
      <c r="L52" s="128">
        <f t="shared" si="6"/>
        <v>0</v>
      </c>
      <c r="M52" s="124">
        <f t="shared" si="10"/>
        <v>0</v>
      </c>
      <c r="N52" s="125">
        <f t="shared" si="11"/>
        <v>0</v>
      </c>
      <c r="O52" s="180">
        <f t="shared" si="12"/>
        <v>0</v>
      </c>
      <c r="P52" s="104"/>
      <c r="Q52" s="104"/>
      <c r="R52" s="104"/>
      <c r="S52" s="104"/>
    </row>
    <row r="53" spans="1:19" ht="22.5" customHeight="1" x14ac:dyDescent="0.15">
      <c r="A53" s="104"/>
      <c r="B53" s="785"/>
      <c r="C53" s="141"/>
      <c r="D53" s="121"/>
      <c r="E53" s="122" t="s">
        <v>517</v>
      </c>
      <c r="F53" s="121"/>
      <c r="G53" s="123" t="s">
        <v>522</v>
      </c>
      <c r="H53" s="124">
        <f t="shared" si="7"/>
        <v>0</v>
      </c>
      <c r="I53" s="125">
        <f t="shared" si="8"/>
        <v>0</v>
      </c>
      <c r="J53" s="126">
        <f t="shared" si="9"/>
        <v>0</v>
      </c>
      <c r="K53" s="127"/>
      <c r="L53" s="128">
        <f t="shared" si="6"/>
        <v>0</v>
      </c>
      <c r="M53" s="124">
        <f t="shared" si="10"/>
        <v>0</v>
      </c>
      <c r="N53" s="125">
        <f t="shared" si="11"/>
        <v>0</v>
      </c>
      <c r="O53" s="180">
        <f t="shared" si="12"/>
        <v>0</v>
      </c>
      <c r="P53" s="104"/>
      <c r="Q53" s="104"/>
      <c r="R53" s="104"/>
      <c r="S53" s="104"/>
    </row>
    <row r="54" spans="1:19" ht="22.5" customHeight="1" x14ac:dyDescent="0.15">
      <c r="A54" s="104"/>
      <c r="B54" s="785"/>
      <c r="C54" s="141"/>
      <c r="D54" s="121"/>
      <c r="E54" s="122" t="s">
        <v>517</v>
      </c>
      <c r="F54" s="121"/>
      <c r="G54" s="123" t="s">
        <v>522</v>
      </c>
      <c r="H54" s="124">
        <f t="shared" si="7"/>
        <v>0</v>
      </c>
      <c r="I54" s="125">
        <f t="shared" si="8"/>
        <v>0</v>
      </c>
      <c r="J54" s="126">
        <f t="shared" si="9"/>
        <v>0</v>
      </c>
      <c r="K54" s="127"/>
      <c r="L54" s="128">
        <f t="shared" si="6"/>
        <v>0</v>
      </c>
      <c r="M54" s="124">
        <f t="shared" si="10"/>
        <v>0</v>
      </c>
      <c r="N54" s="125">
        <f t="shared" si="11"/>
        <v>0</v>
      </c>
      <c r="O54" s="180">
        <f t="shared" si="12"/>
        <v>0</v>
      </c>
      <c r="P54" s="104"/>
      <c r="Q54" s="104"/>
      <c r="R54" s="104"/>
      <c r="S54" s="104"/>
    </row>
    <row r="55" spans="1:19" ht="22.5" customHeight="1" x14ac:dyDescent="0.15">
      <c r="A55" s="104"/>
      <c r="B55" s="785"/>
      <c r="C55" s="141"/>
      <c r="D55" s="121"/>
      <c r="E55" s="122" t="s">
        <v>517</v>
      </c>
      <c r="F55" s="121"/>
      <c r="G55" s="123" t="s">
        <v>522</v>
      </c>
      <c r="H55" s="124">
        <f t="shared" si="7"/>
        <v>0</v>
      </c>
      <c r="I55" s="125">
        <f t="shared" si="8"/>
        <v>0</v>
      </c>
      <c r="J55" s="126">
        <f t="shared" si="9"/>
        <v>0</v>
      </c>
      <c r="K55" s="127"/>
      <c r="L55" s="128">
        <f t="shared" si="6"/>
        <v>0</v>
      </c>
      <c r="M55" s="124">
        <f t="shared" si="10"/>
        <v>0</v>
      </c>
      <c r="N55" s="125">
        <f t="shared" si="11"/>
        <v>0</v>
      </c>
      <c r="O55" s="180">
        <f t="shared" si="12"/>
        <v>0</v>
      </c>
      <c r="P55" s="104"/>
      <c r="Q55" s="104"/>
      <c r="R55" s="104"/>
      <c r="S55" s="104"/>
    </row>
    <row r="56" spans="1:19" ht="22.5" customHeight="1" x14ac:dyDescent="0.15">
      <c r="A56" s="104"/>
      <c r="B56" s="785"/>
      <c r="C56" s="141"/>
      <c r="D56" s="121"/>
      <c r="E56" s="122" t="s">
        <v>517</v>
      </c>
      <c r="F56" s="121"/>
      <c r="G56" s="123" t="s">
        <v>522</v>
      </c>
      <c r="H56" s="124">
        <f t="shared" si="7"/>
        <v>0</v>
      </c>
      <c r="I56" s="125">
        <f t="shared" si="8"/>
        <v>0</v>
      </c>
      <c r="J56" s="126">
        <f t="shared" si="9"/>
        <v>0</v>
      </c>
      <c r="K56" s="127"/>
      <c r="L56" s="128">
        <f t="shared" si="6"/>
        <v>0</v>
      </c>
      <c r="M56" s="124">
        <f t="shared" si="10"/>
        <v>0</v>
      </c>
      <c r="N56" s="125">
        <f t="shared" si="11"/>
        <v>0</v>
      </c>
      <c r="O56" s="180">
        <f t="shared" si="12"/>
        <v>0</v>
      </c>
      <c r="P56" s="104"/>
      <c r="Q56" s="104"/>
      <c r="R56" s="104"/>
      <c r="S56" s="104"/>
    </row>
    <row r="57" spans="1:19" ht="22.5" customHeight="1" x14ac:dyDescent="0.15">
      <c r="A57" s="104"/>
      <c r="B57" s="785"/>
      <c r="C57" s="141"/>
      <c r="D57" s="121"/>
      <c r="E57" s="122" t="s">
        <v>517</v>
      </c>
      <c r="F57" s="121"/>
      <c r="G57" s="123" t="s">
        <v>522</v>
      </c>
      <c r="H57" s="124">
        <f t="shared" si="7"/>
        <v>0</v>
      </c>
      <c r="I57" s="125">
        <f t="shared" si="8"/>
        <v>0</v>
      </c>
      <c r="J57" s="126">
        <f t="shared" si="9"/>
        <v>0</v>
      </c>
      <c r="K57" s="127"/>
      <c r="L57" s="128">
        <f t="shared" si="6"/>
        <v>0</v>
      </c>
      <c r="M57" s="124">
        <f t="shared" si="10"/>
        <v>0</v>
      </c>
      <c r="N57" s="125">
        <f t="shared" si="11"/>
        <v>0</v>
      </c>
      <c r="O57" s="180">
        <f t="shared" si="12"/>
        <v>0</v>
      </c>
      <c r="P57" s="104"/>
      <c r="Q57" s="104"/>
      <c r="R57" s="104"/>
      <c r="S57" s="104"/>
    </row>
    <row r="58" spans="1:19" ht="22.5" customHeight="1" x14ac:dyDescent="0.15">
      <c r="A58" s="104"/>
      <c r="B58" s="785"/>
      <c r="C58" s="141"/>
      <c r="D58" s="121"/>
      <c r="E58" s="122" t="s">
        <v>517</v>
      </c>
      <c r="F58" s="121"/>
      <c r="G58" s="123" t="s">
        <v>522</v>
      </c>
      <c r="H58" s="124">
        <f t="shared" si="7"/>
        <v>0</v>
      </c>
      <c r="I58" s="125">
        <f t="shared" si="8"/>
        <v>0</v>
      </c>
      <c r="J58" s="126">
        <f t="shared" si="9"/>
        <v>0</v>
      </c>
      <c r="K58" s="127"/>
      <c r="L58" s="128">
        <f t="shared" si="6"/>
        <v>0</v>
      </c>
      <c r="M58" s="124">
        <f t="shared" si="10"/>
        <v>0</v>
      </c>
      <c r="N58" s="125">
        <f t="shared" si="11"/>
        <v>0</v>
      </c>
      <c r="O58" s="180">
        <f t="shared" si="12"/>
        <v>0</v>
      </c>
      <c r="P58" s="104"/>
      <c r="Q58" s="104"/>
      <c r="R58" s="104"/>
      <c r="S58" s="104"/>
    </row>
    <row r="59" spans="1:19" ht="22.5" customHeight="1" x14ac:dyDescent="0.15">
      <c r="A59" s="104"/>
      <c r="B59" s="785"/>
      <c r="C59" s="141"/>
      <c r="D59" s="121"/>
      <c r="E59" s="122" t="s">
        <v>517</v>
      </c>
      <c r="F59" s="121"/>
      <c r="G59" s="123" t="s">
        <v>522</v>
      </c>
      <c r="H59" s="124">
        <f t="shared" si="7"/>
        <v>0</v>
      </c>
      <c r="I59" s="125">
        <f t="shared" si="8"/>
        <v>0</v>
      </c>
      <c r="J59" s="126">
        <f t="shared" si="9"/>
        <v>0</v>
      </c>
      <c r="K59" s="127"/>
      <c r="L59" s="128">
        <f t="shared" si="6"/>
        <v>0</v>
      </c>
      <c r="M59" s="124">
        <f t="shared" si="10"/>
        <v>0</v>
      </c>
      <c r="N59" s="125">
        <f t="shared" si="11"/>
        <v>0</v>
      </c>
      <c r="O59" s="180">
        <f t="shared" si="12"/>
        <v>0</v>
      </c>
      <c r="P59" s="104"/>
      <c r="Q59" s="104"/>
      <c r="R59" s="104"/>
      <c r="S59" s="104"/>
    </row>
    <row r="60" spans="1:19" ht="22.5" customHeight="1" x14ac:dyDescent="0.15">
      <c r="A60" s="104"/>
      <c r="B60" s="785"/>
      <c r="C60" s="141"/>
      <c r="D60" s="121"/>
      <c r="E60" s="122" t="s">
        <v>517</v>
      </c>
      <c r="F60" s="121"/>
      <c r="G60" s="123" t="s">
        <v>522</v>
      </c>
      <c r="H60" s="124">
        <f t="shared" si="7"/>
        <v>0</v>
      </c>
      <c r="I60" s="125">
        <f t="shared" si="8"/>
        <v>0</v>
      </c>
      <c r="J60" s="126">
        <f t="shared" si="9"/>
        <v>0</v>
      </c>
      <c r="K60" s="127"/>
      <c r="L60" s="128">
        <f t="shared" si="6"/>
        <v>0</v>
      </c>
      <c r="M60" s="124">
        <f t="shared" si="10"/>
        <v>0</v>
      </c>
      <c r="N60" s="125">
        <f t="shared" si="11"/>
        <v>0</v>
      </c>
      <c r="O60" s="180">
        <f t="shared" si="12"/>
        <v>0</v>
      </c>
      <c r="P60" s="104"/>
      <c r="Q60" s="104"/>
      <c r="R60" s="104"/>
      <c r="S60" s="104"/>
    </row>
    <row r="61" spans="1:19" ht="22.5" customHeight="1" x14ac:dyDescent="0.15">
      <c r="A61" s="104"/>
      <c r="B61" s="785"/>
      <c r="C61" s="141"/>
      <c r="D61" s="121"/>
      <c r="E61" s="122" t="s">
        <v>517</v>
      </c>
      <c r="F61" s="121"/>
      <c r="G61" s="123" t="s">
        <v>522</v>
      </c>
      <c r="H61" s="124">
        <f t="shared" si="7"/>
        <v>0</v>
      </c>
      <c r="I61" s="125">
        <f t="shared" si="8"/>
        <v>0</v>
      </c>
      <c r="J61" s="126">
        <f t="shared" si="9"/>
        <v>0</v>
      </c>
      <c r="K61" s="127"/>
      <c r="L61" s="128">
        <f t="shared" si="6"/>
        <v>0</v>
      </c>
      <c r="M61" s="124">
        <f t="shared" si="10"/>
        <v>0</v>
      </c>
      <c r="N61" s="125">
        <f t="shared" si="11"/>
        <v>0</v>
      </c>
      <c r="O61" s="180">
        <f t="shared" si="12"/>
        <v>0</v>
      </c>
      <c r="P61" s="104"/>
      <c r="Q61" s="104"/>
      <c r="R61" s="104"/>
      <c r="S61" s="104"/>
    </row>
    <row r="62" spans="1:19" ht="22.5" customHeight="1" x14ac:dyDescent="0.15">
      <c r="A62" s="104"/>
      <c r="B62" s="785"/>
      <c r="C62" s="141"/>
      <c r="D62" s="121"/>
      <c r="E62" s="122" t="s">
        <v>517</v>
      </c>
      <c r="F62" s="121"/>
      <c r="G62" s="123" t="s">
        <v>522</v>
      </c>
      <c r="H62" s="124">
        <f t="shared" si="7"/>
        <v>0</v>
      </c>
      <c r="I62" s="125">
        <f t="shared" si="8"/>
        <v>0</v>
      </c>
      <c r="J62" s="126">
        <f t="shared" si="9"/>
        <v>0</v>
      </c>
      <c r="K62" s="127"/>
      <c r="L62" s="128">
        <f t="shared" si="6"/>
        <v>0</v>
      </c>
      <c r="M62" s="124">
        <f t="shared" si="10"/>
        <v>0</v>
      </c>
      <c r="N62" s="125">
        <f t="shared" si="11"/>
        <v>0</v>
      </c>
      <c r="O62" s="180">
        <f t="shared" si="12"/>
        <v>0</v>
      </c>
      <c r="P62" s="104"/>
      <c r="Q62" s="104"/>
      <c r="R62" s="104"/>
      <c r="S62" s="104"/>
    </row>
    <row r="63" spans="1:19" ht="22.5" customHeight="1" x14ac:dyDescent="0.15">
      <c r="A63" s="104"/>
      <c r="B63" s="785"/>
      <c r="C63" s="141"/>
      <c r="D63" s="121"/>
      <c r="E63" s="122" t="s">
        <v>517</v>
      </c>
      <c r="F63" s="121"/>
      <c r="G63" s="123" t="s">
        <v>522</v>
      </c>
      <c r="H63" s="124">
        <f t="shared" si="7"/>
        <v>0</v>
      </c>
      <c r="I63" s="125">
        <f t="shared" si="8"/>
        <v>0</v>
      </c>
      <c r="J63" s="126">
        <f t="shared" si="9"/>
        <v>0</v>
      </c>
      <c r="K63" s="127"/>
      <c r="L63" s="128">
        <f t="shared" si="6"/>
        <v>0</v>
      </c>
      <c r="M63" s="124">
        <f t="shared" si="10"/>
        <v>0</v>
      </c>
      <c r="N63" s="125">
        <f t="shared" si="11"/>
        <v>0</v>
      </c>
      <c r="O63" s="180">
        <f t="shared" si="12"/>
        <v>0</v>
      </c>
      <c r="P63" s="104"/>
      <c r="Q63" s="104"/>
      <c r="R63" s="104"/>
      <c r="S63" s="104"/>
    </row>
    <row r="64" spans="1:19" ht="22.5" customHeight="1" x14ac:dyDescent="0.15">
      <c r="A64" s="104"/>
      <c r="B64" s="785"/>
      <c r="C64" s="141"/>
      <c r="D64" s="121"/>
      <c r="E64" s="122" t="s">
        <v>517</v>
      </c>
      <c r="F64" s="121"/>
      <c r="G64" s="123" t="s">
        <v>522</v>
      </c>
      <c r="H64" s="124">
        <f t="shared" si="7"/>
        <v>0</v>
      </c>
      <c r="I64" s="125">
        <f t="shared" si="8"/>
        <v>0</v>
      </c>
      <c r="J64" s="126">
        <f t="shared" si="9"/>
        <v>0</v>
      </c>
      <c r="K64" s="127"/>
      <c r="L64" s="128">
        <f t="shared" si="6"/>
        <v>0</v>
      </c>
      <c r="M64" s="124">
        <f t="shared" si="10"/>
        <v>0</v>
      </c>
      <c r="N64" s="125">
        <f t="shared" si="11"/>
        <v>0</v>
      </c>
      <c r="O64" s="180">
        <f t="shared" si="12"/>
        <v>0</v>
      </c>
      <c r="P64" s="104"/>
      <c r="Q64" s="104"/>
      <c r="R64" s="104"/>
      <c r="S64" s="104"/>
    </row>
    <row r="65" spans="1:19" ht="22.5" customHeight="1" x14ac:dyDescent="0.15">
      <c r="A65" s="104"/>
      <c r="B65" s="785"/>
      <c r="C65" s="141"/>
      <c r="D65" s="121"/>
      <c r="E65" s="122" t="s">
        <v>517</v>
      </c>
      <c r="F65" s="121"/>
      <c r="G65" s="123" t="s">
        <v>522</v>
      </c>
      <c r="H65" s="124">
        <f t="shared" si="7"/>
        <v>0</v>
      </c>
      <c r="I65" s="125">
        <f t="shared" si="8"/>
        <v>0</v>
      </c>
      <c r="J65" s="126">
        <f t="shared" si="9"/>
        <v>0</v>
      </c>
      <c r="K65" s="127"/>
      <c r="L65" s="128">
        <f t="shared" si="6"/>
        <v>0</v>
      </c>
      <c r="M65" s="124">
        <f t="shared" si="10"/>
        <v>0</v>
      </c>
      <c r="N65" s="125">
        <f t="shared" si="11"/>
        <v>0</v>
      </c>
      <c r="O65" s="180">
        <f t="shared" si="12"/>
        <v>0</v>
      </c>
      <c r="P65" s="104"/>
      <c r="Q65" s="104"/>
      <c r="R65" s="104"/>
      <c r="S65" s="104"/>
    </row>
    <row r="66" spans="1:19" ht="22.5" customHeight="1" x14ac:dyDescent="0.15">
      <c r="A66" s="104"/>
      <c r="B66" s="785"/>
      <c r="C66" s="141"/>
      <c r="D66" s="121"/>
      <c r="E66" s="122" t="s">
        <v>517</v>
      </c>
      <c r="F66" s="121"/>
      <c r="G66" s="123" t="s">
        <v>522</v>
      </c>
      <c r="H66" s="124">
        <f t="shared" si="7"/>
        <v>0</v>
      </c>
      <c r="I66" s="125">
        <f t="shared" si="8"/>
        <v>0</v>
      </c>
      <c r="J66" s="126">
        <f t="shared" si="9"/>
        <v>0</v>
      </c>
      <c r="K66" s="127"/>
      <c r="L66" s="128">
        <f t="shared" si="6"/>
        <v>0</v>
      </c>
      <c r="M66" s="124">
        <f t="shared" si="10"/>
        <v>0</v>
      </c>
      <c r="N66" s="125">
        <f t="shared" si="11"/>
        <v>0</v>
      </c>
      <c r="O66" s="180">
        <f t="shared" si="12"/>
        <v>0</v>
      </c>
      <c r="P66" s="104"/>
      <c r="Q66" s="104"/>
      <c r="R66" s="104"/>
      <c r="S66" s="104"/>
    </row>
    <row r="67" spans="1:19" ht="22.5" customHeight="1" x14ac:dyDescent="0.15">
      <c r="A67" s="104"/>
      <c r="B67" s="785"/>
      <c r="C67" s="141"/>
      <c r="D67" s="121"/>
      <c r="E67" s="122" t="s">
        <v>517</v>
      </c>
      <c r="F67" s="121"/>
      <c r="G67" s="123" t="s">
        <v>522</v>
      </c>
      <c r="H67" s="124">
        <f t="shared" si="7"/>
        <v>0</v>
      </c>
      <c r="I67" s="125">
        <f t="shared" si="8"/>
        <v>0</v>
      </c>
      <c r="J67" s="126">
        <f t="shared" si="9"/>
        <v>0</v>
      </c>
      <c r="K67" s="127"/>
      <c r="L67" s="128">
        <f t="shared" si="6"/>
        <v>0</v>
      </c>
      <c r="M67" s="124">
        <f t="shared" si="10"/>
        <v>0</v>
      </c>
      <c r="N67" s="125">
        <f t="shared" si="11"/>
        <v>0</v>
      </c>
      <c r="O67" s="180">
        <f t="shared" si="12"/>
        <v>0</v>
      </c>
      <c r="P67" s="104"/>
      <c r="Q67" s="104"/>
      <c r="R67" s="104"/>
      <c r="S67" s="104"/>
    </row>
    <row r="68" spans="1:19" ht="22.5" customHeight="1" x14ac:dyDescent="0.15">
      <c r="A68" s="104"/>
      <c r="B68" s="785"/>
      <c r="C68" s="141"/>
      <c r="D68" s="121"/>
      <c r="E68" s="122" t="s">
        <v>517</v>
      </c>
      <c r="F68" s="121"/>
      <c r="G68" s="123" t="s">
        <v>522</v>
      </c>
      <c r="H68" s="124">
        <f t="shared" si="7"/>
        <v>0</v>
      </c>
      <c r="I68" s="125">
        <f t="shared" si="8"/>
        <v>0</v>
      </c>
      <c r="J68" s="126">
        <f t="shared" si="9"/>
        <v>0</v>
      </c>
      <c r="K68" s="127"/>
      <c r="L68" s="128">
        <f t="shared" si="6"/>
        <v>0</v>
      </c>
      <c r="M68" s="124">
        <f t="shared" si="10"/>
        <v>0</v>
      </c>
      <c r="N68" s="125">
        <f t="shared" si="11"/>
        <v>0</v>
      </c>
      <c r="O68" s="180">
        <f t="shared" si="12"/>
        <v>0</v>
      </c>
      <c r="P68" s="104"/>
      <c r="Q68" s="104"/>
      <c r="R68" s="104"/>
      <c r="S68" s="104"/>
    </row>
    <row r="69" spans="1:19" ht="22.5" customHeight="1" x14ac:dyDescent="0.15">
      <c r="A69" s="104"/>
      <c r="B69" s="785"/>
      <c r="C69" s="141"/>
      <c r="D69" s="121"/>
      <c r="E69" s="122" t="s">
        <v>517</v>
      </c>
      <c r="F69" s="121"/>
      <c r="G69" s="123" t="s">
        <v>522</v>
      </c>
      <c r="H69" s="124">
        <f t="shared" si="7"/>
        <v>0</v>
      </c>
      <c r="I69" s="125">
        <f t="shared" si="8"/>
        <v>0</v>
      </c>
      <c r="J69" s="126">
        <f t="shared" si="9"/>
        <v>0</v>
      </c>
      <c r="K69" s="127"/>
      <c r="L69" s="128">
        <f t="shared" si="6"/>
        <v>0</v>
      </c>
      <c r="M69" s="124">
        <f t="shared" si="10"/>
        <v>0</v>
      </c>
      <c r="N69" s="125">
        <f t="shared" si="11"/>
        <v>0</v>
      </c>
      <c r="O69" s="180">
        <f t="shared" si="12"/>
        <v>0</v>
      </c>
      <c r="P69" s="104"/>
      <c r="Q69" s="104"/>
      <c r="R69" s="104"/>
      <c r="S69" s="104"/>
    </row>
    <row r="70" spans="1:19" ht="13.5" hidden="1" customHeight="1" x14ac:dyDescent="0.15">
      <c r="A70" s="104"/>
      <c r="B70" s="785"/>
      <c r="C70" s="142"/>
      <c r="D70" s="131"/>
      <c r="E70" s="123"/>
      <c r="F70" s="131"/>
      <c r="G70" s="123"/>
      <c r="H70" s="132">
        <f>SUM(H49:H69)</f>
        <v>0</v>
      </c>
      <c r="I70" s="132">
        <f>SUM(I49:I69)</f>
        <v>0</v>
      </c>
      <c r="J70" s="132">
        <f>SUM(J49:J69)</f>
        <v>0</v>
      </c>
      <c r="K70" s="124"/>
      <c r="L70" s="128">
        <f t="shared" si="6"/>
        <v>0</v>
      </c>
      <c r="M70" s="124">
        <f>SUM(M49:M69)</f>
        <v>0</v>
      </c>
      <c r="N70" s="125">
        <f>SUM(N49:N69)</f>
        <v>0</v>
      </c>
      <c r="O70" s="180">
        <f>SUM(O49:O69)</f>
        <v>0</v>
      </c>
      <c r="P70" s="104"/>
      <c r="Q70" s="104"/>
      <c r="R70" s="104"/>
      <c r="S70" s="104"/>
    </row>
    <row r="71" spans="1:19" ht="17.25" hidden="1" customHeight="1" x14ac:dyDescent="0.15">
      <c r="A71" s="104"/>
      <c r="B71" s="785"/>
      <c r="C71" s="786" t="s">
        <v>418</v>
      </c>
      <c r="D71" s="786"/>
      <c r="E71" s="786"/>
      <c r="F71" s="786"/>
      <c r="G71" s="787"/>
      <c r="H71" s="133">
        <f>H70+INT((I70+INT(J70/30))/12)</f>
        <v>0</v>
      </c>
      <c r="I71" s="134">
        <f>MOD(I70+INT(J70/30),12)</f>
        <v>0</v>
      </c>
      <c r="J71" s="135">
        <f>MOD(J70,30)</f>
        <v>0</v>
      </c>
      <c r="K71" s="136"/>
      <c r="L71" s="137"/>
      <c r="M71" s="138">
        <f>M70+INT((N70+INT(O70/30))/12)</f>
        <v>0</v>
      </c>
      <c r="N71" s="139">
        <f>MOD(N70+INT(O70/30),12)</f>
        <v>0</v>
      </c>
      <c r="O71" s="140">
        <f>MOD(O70,30)</f>
        <v>0</v>
      </c>
      <c r="P71" s="104"/>
      <c r="Q71" s="104"/>
      <c r="R71" s="104"/>
      <c r="S71" s="104"/>
    </row>
    <row r="72" spans="1:19" ht="18" hidden="1" customHeight="1" x14ac:dyDescent="0.15">
      <c r="A72" s="104"/>
      <c r="B72" s="779" t="s">
        <v>447</v>
      </c>
      <c r="C72" s="120"/>
      <c r="D72" s="121"/>
      <c r="E72" s="122" t="s">
        <v>517</v>
      </c>
      <c r="F72" s="121"/>
      <c r="G72" s="123" t="s">
        <v>522</v>
      </c>
      <c r="H72" s="124">
        <f t="shared" ref="H72:H78" si="13">hjp_1($D72,$F72,1)</f>
        <v>0</v>
      </c>
      <c r="I72" s="125">
        <f t="shared" ref="I72:I78" si="14">hjp_1($D72,$F72,4)</f>
        <v>0</v>
      </c>
      <c r="J72" s="126">
        <f t="shared" ref="J72:J78" si="15">hjp_1($D72,$F72,3)</f>
        <v>0</v>
      </c>
      <c r="K72" s="127"/>
      <c r="L72" s="128">
        <f t="shared" ref="L72:L79" si="16">+K72/100</f>
        <v>0</v>
      </c>
      <c r="M72" s="124">
        <f t="shared" ref="M72:M78" si="17">hjp_2($D72,$F72,$L72,1)</f>
        <v>0</v>
      </c>
      <c r="N72" s="125">
        <f t="shared" ref="N72:N78" si="18">hjp_2($D72,$F72,$L72,2)</f>
        <v>0</v>
      </c>
      <c r="O72" s="180">
        <f t="shared" ref="O72:O78" si="19">hjp_2($D72,$F72,$L72,3)</f>
        <v>0</v>
      </c>
      <c r="P72" s="104"/>
      <c r="Q72" s="104"/>
      <c r="R72" s="104"/>
      <c r="S72" s="104"/>
    </row>
    <row r="73" spans="1:19" ht="18" hidden="1" customHeight="1" x14ac:dyDescent="0.15">
      <c r="A73" s="104"/>
      <c r="B73" s="780"/>
      <c r="C73" s="120"/>
      <c r="D73" s="121"/>
      <c r="E73" s="122" t="s">
        <v>517</v>
      </c>
      <c r="F73" s="121"/>
      <c r="G73" s="123" t="s">
        <v>522</v>
      </c>
      <c r="H73" s="124">
        <f t="shared" si="13"/>
        <v>0</v>
      </c>
      <c r="I73" s="125">
        <f t="shared" si="14"/>
        <v>0</v>
      </c>
      <c r="J73" s="126">
        <f t="shared" si="15"/>
        <v>0</v>
      </c>
      <c r="K73" s="127"/>
      <c r="L73" s="128">
        <f t="shared" si="16"/>
        <v>0</v>
      </c>
      <c r="M73" s="124">
        <f t="shared" si="17"/>
        <v>0</v>
      </c>
      <c r="N73" s="125">
        <f t="shared" si="18"/>
        <v>0</v>
      </c>
      <c r="O73" s="180">
        <f t="shared" si="19"/>
        <v>0</v>
      </c>
      <c r="P73" s="104"/>
      <c r="Q73" s="104"/>
      <c r="R73" s="104"/>
      <c r="S73" s="104"/>
    </row>
    <row r="74" spans="1:19" ht="18" hidden="1" customHeight="1" x14ac:dyDescent="0.15">
      <c r="A74" s="104"/>
      <c r="B74" s="780"/>
      <c r="C74" s="120"/>
      <c r="D74" s="121"/>
      <c r="E74" s="122" t="s">
        <v>517</v>
      </c>
      <c r="F74" s="121"/>
      <c r="G74" s="123" t="s">
        <v>522</v>
      </c>
      <c r="H74" s="124">
        <f t="shared" si="13"/>
        <v>0</v>
      </c>
      <c r="I74" s="125">
        <f t="shared" si="14"/>
        <v>0</v>
      </c>
      <c r="J74" s="126">
        <f t="shared" si="15"/>
        <v>0</v>
      </c>
      <c r="K74" s="127"/>
      <c r="L74" s="128">
        <f t="shared" si="16"/>
        <v>0</v>
      </c>
      <c r="M74" s="124">
        <f t="shared" si="17"/>
        <v>0</v>
      </c>
      <c r="N74" s="125">
        <f t="shared" si="18"/>
        <v>0</v>
      </c>
      <c r="O74" s="180">
        <f t="shared" si="19"/>
        <v>0</v>
      </c>
      <c r="P74" s="104"/>
      <c r="Q74" s="104"/>
      <c r="R74" s="104"/>
      <c r="S74" s="104"/>
    </row>
    <row r="75" spans="1:19" ht="18" hidden="1" customHeight="1" x14ac:dyDescent="0.15">
      <c r="A75" s="104"/>
      <c r="B75" s="780"/>
      <c r="C75" s="129"/>
      <c r="D75" s="121"/>
      <c r="E75" s="122" t="s">
        <v>517</v>
      </c>
      <c r="F75" s="121"/>
      <c r="G75" s="123" t="s">
        <v>522</v>
      </c>
      <c r="H75" s="124">
        <f t="shared" si="13"/>
        <v>0</v>
      </c>
      <c r="I75" s="125">
        <f t="shared" si="14"/>
        <v>0</v>
      </c>
      <c r="J75" s="126">
        <f t="shared" si="15"/>
        <v>0</v>
      </c>
      <c r="K75" s="127"/>
      <c r="L75" s="128">
        <f t="shared" si="16"/>
        <v>0</v>
      </c>
      <c r="M75" s="124">
        <f t="shared" si="17"/>
        <v>0</v>
      </c>
      <c r="N75" s="125">
        <f t="shared" si="18"/>
        <v>0</v>
      </c>
      <c r="O75" s="180">
        <f t="shared" si="19"/>
        <v>0</v>
      </c>
      <c r="P75" s="104"/>
      <c r="Q75" s="104"/>
      <c r="R75" s="104"/>
      <c r="S75" s="104"/>
    </row>
    <row r="76" spans="1:19" ht="18" hidden="1" customHeight="1" x14ac:dyDescent="0.15">
      <c r="A76" s="104"/>
      <c r="B76" s="780"/>
      <c r="C76" s="129"/>
      <c r="D76" s="121"/>
      <c r="E76" s="122" t="s">
        <v>517</v>
      </c>
      <c r="F76" s="121"/>
      <c r="G76" s="123" t="s">
        <v>522</v>
      </c>
      <c r="H76" s="124">
        <f t="shared" si="13"/>
        <v>0</v>
      </c>
      <c r="I76" s="125">
        <f t="shared" si="14"/>
        <v>0</v>
      </c>
      <c r="J76" s="126">
        <f t="shared" si="15"/>
        <v>0</v>
      </c>
      <c r="K76" s="127"/>
      <c r="L76" s="128">
        <f t="shared" si="16"/>
        <v>0</v>
      </c>
      <c r="M76" s="124">
        <f t="shared" si="17"/>
        <v>0</v>
      </c>
      <c r="N76" s="125">
        <f t="shared" si="18"/>
        <v>0</v>
      </c>
      <c r="O76" s="180">
        <f t="shared" si="19"/>
        <v>0</v>
      </c>
      <c r="P76" s="104"/>
      <c r="Q76" s="104"/>
      <c r="R76" s="104"/>
      <c r="S76" s="104"/>
    </row>
    <row r="77" spans="1:19" ht="18" hidden="1" customHeight="1" x14ac:dyDescent="0.15">
      <c r="A77" s="104"/>
      <c r="B77" s="780"/>
      <c r="C77" s="129"/>
      <c r="D77" s="121"/>
      <c r="E77" s="122" t="s">
        <v>517</v>
      </c>
      <c r="F77" s="121"/>
      <c r="G77" s="123" t="s">
        <v>522</v>
      </c>
      <c r="H77" s="124">
        <f t="shared" si="13"/>
        <v>0</v>
      </c>
      <c r="I77" s="125">
        <f t="shared" si="14"/>
        <v>0</v>
      </c>
      <c r="J77" s="126">
        <f t="shared" si="15"/>
        <v>0</v>
      </c>
      <c r="K77" s="127"/>
      <c r="L77" s="128">
        <f t="shared" si="16"/>
        <v>0</v>
      </c>
      <c r="M77" s="124">
        <f t="shared" si="17"/>
        <v>0</v>
      </c>
      <c r="N77" s="125">
        <f t="shared" si="18"/>
        <v>0</v>
      </c>
      <c r="O77" s="180">
        <f t="shared" si="19"/>
        <v>0</v>
      </c>
      <c r="P77" s="104"/>
      <c r="Q77" s="104"/>
      <c r="R77" s="104"/>
      <c r="S77" s="104"/>
    </row>
    <row r="78" spans="1:19" ht="18" hidden="1" customHeight="1" x14ac:dyDescent="0.15">
      <c r="A78" s="104"/>
      <c r="B78" s="780"/>
      <c r="C78" s="120"/>
      <c r="D78" s="121"/>
      <c r="E78" s="122" t="s">
        <v>517</v>
      </c>
      <c r="F78" s="121"/>
      <c r="G78" s="123" t="s">
        <v>522</v>
      </c>
      <c r="H78" s="124">
        <f t="shared" si="13"/>
        <v>0</v>
      </c>
      <c r="I78" s="125">
        <f t="shared" si="14"/>
        <v>0</v>
      </c>
      <c r="J78" s="126">
        <f t="shared" si="15"/>
        <v>0</v>
      </c>
      <c r="K78" s="127"/>
      <c r="L78" s="128">
        <f t="shared" si="16"/>
        <v>0</v>
      </c>
      <c r="M78" s="124">
        <f t="shared" si="17"/>
        <v>0</v>
      </c>
      <c r="N78" s="125">
        <f t="shared" si="18"/>
        <v>0</v>
      </c>
      <c r="O78" s="180">
        <f t="shared" si="19"/>
        <v>0</v>
      </c>
      <c r="P78" s="104"/>
      <c r="Q78" s="104"/>
      <c r="R78" s="104"/>
      <c r="S78" s="104"/>
    </row>
    <row r="79" spans="1:19" ht="13.5" hidden="1" customHeight="1" x14ac:dyDescent="0.15">
      <c r="A79" s="104"/>
      <c r="B79" s="780"/>
      <c r="C79" s="130"/>
      <c r="D79" s="131"/>
      <c r="E79" s="123"/>
      <c r="F79" s="131"/>
      <c r="G79" s="123"/>
      <c r="H79" s="132">
        <f>SUM(H72:H78)</f>
        <v>0</v>
      </c>
      <c r="I79" s="132">
        <f>SUM(I72:I78)</f>
        <v>0</v>
      </c>
      <c r="J79" s="132">
        <f>SUM(J72:J78)</f>
        <v>0</v>
      </c>
      <c r="K79" s="124"/>
      <c r="L79" s="128">
        <f t="shared" si="16"/>
        <v>0</v>
      </c>
      <c r="M79" s="124">
        <f>SUM(M72:M78)</f>
        <v>0</v>
      </c>
      <c r="N79" s="125">
        <f>SUM(N72:N78)</f>
        <v>0</v>
      </c>
      <c r="O79" s="180">
        <f>SUM(O72:O78)</f>
        <v>0</v>
      </c>
      <c r="P79" s="104"/>
      <c r="Q79" s="104"/>
      <c r="R79" s="104"/>
      <c r="S79" s="104"/>
    </row>
    <row r="80" spans="1:19" ht="19.5" hidden="1" customHeight="1" x14ac:dyDescent="0.15">
      <c r="A80" s="104"/>
      <c r="B80" s="781"/>
      <c r="C80" s="782" t="s">
        <v>418</v>
      </c>
      <c r="D80" s="783"/>
      <c r="E80" s="783"/>
      <c r="F80" s="783"/>
      <c r="G80" s="784"/>
      <c r="H80" s="133">
        <f>H79+INT((I79+INT(J79/30))/12)</f>
        <v>0</v>
      </c>
      <c r="I80" s="134">
        <f>MOD(I79+INT(J79/30),12)</f>
        <v>0</v>
      </c>
      <c r="J80" s="135">
        <f>MOD(J79,30)</f>
        <v>0</v>
      </c>
      <c r="K80" s="136"/>
      <c r="L80" s="137"/>
      <c r="M80" s="138">
        <f>M79+INT((N79+INT(O79/30))/12)</f>
        <v>0</v>
      </c>
      <c r="N80" s="139">
        <f>MOD(N79+INT(O79/30),12)</f>
        <v>0</v>
      </c>
      <c r="O80" s="140">
        <f>MOD(O79,30)</f>
        <v>0</v>
      </c>
      <c r="P80" s="104"/>
      <c r="Q80" s="104"/>
      <c r="R80" s="104"/>
      <c r="S80" s="104"/>
    </row>
    <row r="81" spans="1:19" ht="18" hidden="1" customHeight="1" x14ac:dyDescent="0.15">
      <c r="A81" s="104"/>
      <c r="B81" s="779" t="s">
        <v>463</v>
      </c>
      <c r="C81" s="120"/>
      <c r="D81" s="121"/>
      <c r="E81" s="122" t="s">
        <v>517</v>
      </c>
      <c r="F81" s="121"/>
      <c r="G81" s="123" t="s">
        <v>522</v>
      </c>
      <c r="H81" s="124">
        <f>hjp_1($D81,$F81,1)</f>
        <v>0</v>
      </c>
      <c r="I81" s="125">
        <f>hjp_1($D81,$F81,4)</f>
        <v>0</v>
      </c>
      <c r="J81" s="126">
        <f>hjp_1($D81,$F81,3)</f>
        <v>0</v>
      </c>
      <c r="K81" s="127"/>
      <c r="L81" s="128">
        <f>+K81/100</f>
        <v>0</v>
      </c>
      <c r="M81" s="124">
        <f>hjp_2($D81,$F81,$L81,1)</f>
        <v>0</v>
      </c>
      <c r="N81" s="125">
        <f>hjp_2($D81,$F81,$L81,2)</f>
        <v>0</v>
      </c>
      <c r="O81" s="180">
        <f>hjp_2($D81,$F81,$L81,3)</f>
        <v>0</v>
      </c>
      <c r="P81" s="104"/>
      <c r="Q81" s="104"/>
      <c r="R81" s="104"/>
      <c r="S81" s="104"/>
    </row>
    <row r="82" spans="1:19" ht="18" hidden="1" customHeight="1" x14ac:dyDescent="0.15">
      <c r="A82" s="104"/>
      <c r="B82" s="780"/>
      <c r="C82" s="120"/>
      <c r="D82" s="121"/>
      <c r="E82" s="122" t="s">
        <v>517</v>
      </c>
      <c r="F82" s="121"/>
      <c r="G82" s="123" t="s">
        <v>522</v>
      </c>
      <c r="H82" s="124">
        <f>hjp_1($D82,$F82,1)</f>
        <v>0</v>
      </c>
      <c r="I82" s="125">
        <f>hjp_1($D82,$F82,4)</f>
        <v>0</v>
      </c>
      <c r="J82" s="126">
        <f>hjp_1($D82,$F82,3)</f>
        <v>0</v>
      </c>
      <c r="K82" s="127"/>
      <c r="L82" s="128">
        <f>+K82/100</f>
        <v>0</v>
      </c>
      <c r="M82" s="124">
        <f>hjp_2($D82,$F82,$L82,1)</f>
        <v>0</v>
      </c>
      <c r="N82" s="125">
        <f>hjp_2($D82,$F82,$L82,2)</f>
        <v>0</v>
      </c>
      <c r="O82" s="180">
        <f>hjp_2($D82,$F82,$L82,3)</f>
        <v>0</v>
      </c>
      <c r="P82" s="104"/>
      <c r="Q82" s="104"/>
      <c r="R82" s="104"/>
      <c r="S82" s="104"/>
    </row>
    <row r="83" spans="1:19" ht="18" hidden="1" customHeight="1" x14ac:dyDescent="0.15">
      <c r="A83" s="104"/>
      <c r="B83" s="780"/>
      <c r="C83" s="129"/>
      <c r="D83" s="121"/>
      <c r="E83" s="122" t="s">
        <v>517</v>
      </c>
      <c r="F83" s="121"/>
      <c r="G83" s="123" t="s">
        <v>522</v>
      </c>
      <c r="H83" s="124">
        <f>hjp_1($D83,$F83,1)</f>
        <v>0</v>
      </c>
      <c r="I83" s="125">
        <f>hjp_1($D83,$F83,4)</f>
        <v>0</v>
      </c>
      <c r="J83" s="126">
        <f>hjp_1($D83,$F83,3)</f>
        <v>0</v>
      </c>
      <c r="K83" s="127"/>
      <c r="L83" s="128">
        <f>+K83/100</f>
        <v>0</v>
      </c>
      <c r="M83" s="124">
        <f>hjp_2($D83,$F83,$L83,1)</f>
        <v>0</v>
      </c>
      <c r="N83" s="125">
        <f>hjp_2($D83,$F83,$L83,2)</f>
        <v>0</v>
      </c>
      <c r="O83" s="180">
        <f>hjp_2($D83,$F83,$L83,3)</f>
        <v>0</v>
      </c>
      <c r="P83" s="104"/>
      <c r="Q83" s="104"/>
      <c r="R83" s="104"/>
      <c r="S83" s="104"/>
    </row>
    <row r="84" spans="1:19" ht="18" hidden="1" customHeight="1" x14ac:dyDescent="0.15">
      <c r="A84" s="104"/>
      <c r="B84" s="780"/>
      <c r="C84" s="120"/>
      <c r="D84" s="121"/>
      <c r="E84" s="122" t="s">
        <v>517</v>
      </c>
      <c r="F84" s="121"/>
      <c r="G84" s="123" t="s">
        <v>522</v>
      </c>
      <c r="H84" s="124">
        <f>hjp_1($D84,$F84,1)</f>
        <v>0</v>
      </c>
      <c r="I84" s="125">
        <f>hjp_1($D84,$F84,4)</f>
        <v>0</v>
      </c>
      <c r="J84" s="126">
        <f>hjp_1($D84,$F84,3)</f>
        <v>0</v>
      </c>
      <c r="K84" s="127"/>
      <c r="L84" s="128">
        <f>+K84/100</f>
        <v>0</v>
      </c>
      <c r="M84" s="124">
        <f>hjp_2($D84,$F84,$L84,1)</f>
        <v>0</v>
      </c>
      <c r="N84" s="125">
        <f>hjp_2($D84,$F84,$L84,2)</f>
        <v>0</v>
      </c>
      <c r="O84" s="180">
        <f>hjp_2($D84,$F84,$L84,3)</f>
        <v>0</v>
      </c>
      <c r="P84" s="104"/>
      <c r="Q84" s="104"/>
      <c r="R84" s="104"/>
      <c r="S84" s="104"/>
    </row>
    <row r="85" spans="1:19" ht="13.5" hidden="1" customHeight="1" x14ac:dyDescent="0.15">
      <c r="A85" s="104"/>
      <c r="B85" s="780"/>
      <c r="C85" s="130"/>
      <c r="D85" s="131"/>
      <c r="E85" s="123"/>
      <c r="F85" s="131"/>
      <c r="G85" s="123"/>
      <c r="H85" s="132">
        <f>SUM(H81:H84)</f>
        <v>0</v>
      </c>
      <c r="I85" s="132">
        <f>SUM(I81:I84)</f>
        <v>0</v>
      </c>
      <c r="J85" s="132">
        <f>SUM(J81:J84)</f>
        <v>0</v>
      </c>
      <c r="K85" s="124"/>
      <c r="L85" s="128">
        <f>+K85/100</f>
        <v>0</v>
      </c>
      <c r="M85" s="124">
        <f>SUM(M81:M84)</f>
        <v>0</v>
      </c>
      <c r="N85" s="125">
        <f>SUM(N81:N84)</f>
        <v>0</v>
      </c>
      <c r="O85" s="180">
        <f>SUM(O81:O84)</f>
        <v>0</v>
      </c>
      <c r="P85" s="104"/>
      <c r="Q85" s="104"/>
      <c r="R85" s="104"/>
      <c r="S85" s="104"/>
    </row>
    <row r="86" spans="1:19" ht="19.5" hidden="1" customHeight="1" x14ac:dyDescent="0.15">
      <c r="A86" s="104"/>
      <c r="B86" s="781"/>
      <c r="C86" s="782" t="s">
        <v>418</v>
      </c>
      <c r="D86" s="783"/>
      <c r="E86" s="783"/>
      <c r="F86" s="783"/>
      <c r="G86" s="784"/>
      <c r="H86" s="133">
        <f>H85+INT((I85+INT(J85/30))/12)</f>
        <v>0</v>
      </c>
      <c r="I86" s="134">
        <f>MOD(I85+INT(J85/30),12)</f>
        <v>0</v>
      </c>
      <c r="J86" s="135">
        <f>MOD(J85,30)</f>
        <v>0</v>
      </c>
      <c r="K86" s="136"/>
      <c r="L86" s="137"/>
      <c r="M86" s="138">
        <f>M85+INT((N85+INT(O85/30))/12)</f>
        <v>0</v>
      </c>
      <c r="N86" s="139">
        <f>MOD(N85+INT(O85/30),12)</f>
        <v>0</v>
      </c>
      <c r="O86" s="140">
        <f>MOD(O85,30)</f>
        <v>0</v>
      </c>
      <c r="P86" s="104"/>
      <c r="Q86" s="104"/>
      <c r="R86" s="104"/>
      <c r="S86" s="104"/>
    </row>
    <row r="87" spans="1:19" ht="17.25" hidden="1" customHeight="1" x14ac:dyDescent="0.15">
      <c r="A87" s="104"/>
      <c r="B87" s="779" t="s">
        <v>469</v>
      </c>
      <c r="C87" s="120"/>
      <c r="D87" s="121"/>
      <c r="E87" s="122" t="s">
        <v>517</v>
      </c>
      <c r="F87" s="121"/>
      <c r="G87" s="123" t="s">
        <v>522</v>
      </c>
      <c r="H87" s="124">
        <f>hjp_1($D87,$F87,1)</f>
        <v>0</v>
      </c>
      <c r="I87" s="125">
        <f>hjp_1($D87,$F87,4)</f>
        <v>0</v>
      </c>
      <c r="J87" s="126">
        <f>hjp_1($D87,$F87,3)</f>
        <v>0</v>
      </c>
      <c r="K87" s="127"/>
      <c r="L87" s="128">
        <f t="shared" si="6"/>
        <v>0</v>
      </c>
      <c r="M87" s="124">
        <f>hjp_2($D87,$F87,$L87,1)</f>
        <v>0</v>
      </c>
      <c r="N87" s="125">
        <f>hjp_2($D87,$F87,$L87,2)</f>
        <v>0</v>
      </c>
      <c r="O87" s="180">
        <f>hjp_2($D87,$F87,$L87,3)</f>
        <v>0</v>
      </c>
      <c r="P87" s="104"/>
      <c r="Q87" s="104"/>
      <c r="R87" s="104"/>
      <c r="S87" s="104"/>
    </row>
    <row r="88" spans="1:19" ht="17.25" hidden="1" customHeight="1" x14ac:dyDescent="0.15">
      <c r="A88" s="104"/>
      <c r="B88" s="780"/>
      <c r="C88" s="129"/>
      <c r="D88" s="121"/>
      <c r="E88" s="122" t="s">
        <v>517</v>
      </c>
      <c r="F88" s="121"/>
      <c r="G88" s="123" t="s">
        <v>522</v>
      </c>
      <c r="H88" s="124">
        <f>hjp_1($D88,$F88,1)</f>
        <v>0</v>
      </c>
      <c r="I88" s="125">
        <f>hjp_1($D88,$F88,4)</f>
        <v>0</v>
      </c>
      <c r="J88" s="126">
        <f>hjp_1($D88,$F88,3)</f>
        <v>0</v>
      </c>
      <c r="K88" s="127"/>
      <c r="L88" s="128">
        <f t="shared" si="6"/>
        <v>0</v>
      </c>
      <c r="M88" s="124">
        <f>hjp_2($D88,$F88,$L88,1)</f>
        <v>0</v>
      </c>
      <c r="N88" s="125">
        <f>hjp_2($D88,$F88,$L88,2)</f>
        <v>0</v>
      </c>
      <c r="O88" s="180">
        <f>hjp_2($D88,$F88,$L88,3)</f>
        <v>0</v>
      </c>
      <c r="P88" s="104"/>
      <c r="Q88" s="104"/>
      <c r="R88" s="104"/>
      <c r="S88" s="104"/>
    </row>
    <row r="89" spans="1:19" ht="17.25" hidden="1" customHeight="1" x14ac:dyDescent="0.15">
      <c r="A89" s="104"/>
      <c r="B89" s="780"/>
      <c r="C89" s="129"/>
      <c r="D89" s="121"/>
      <c r="E89" s="122" t="s">
        <v>517</v>
      </c>
      <c r="F89" s="121"/>
      <c r="G89" s="123" t="s">
        <v>522</v>
      </c>
      <c r="H89" s="124">
        <f>hjp_1($D89,$F89,1)</f>
        <v>0</v>
      </c>
      <c r="I89" s="125">
        <f>hjp_1($D89,$F89,4)</f>
        <v>0</v>
      </c>
      <c r="J89" s="126">
        <f>hjp_1($D89,$F89,3)</f>
        <v>0</v>
      </c>
      <c r="K89" s="127"/>
      <c r="L89" s="128">
        <f t="shared" si="6"/>
        <v>0</v>
      </c>
      <c r="M89" s="124">
        <f>hjp_2($D89,$F89,$L89,1)</f>
        <v>0</v>
      </c>
      <c r="N89" s="125">
        <f>hjp_2($D89,$F89,$L89,2)</f>
        <v>0</v>
      </c>
      <c r="O89" s="180">
        <f>hjp_2($D89,$F89,$L89,3)</f>
        <v>0</v>
      </c>
      <c r="P89" s="104"/>
      <c r="Q89" s="104"/>
      <c r="R89" s="104"/>
      <c r="S89" s="104"/>
    </row>
    <row r="90" spans="1:19" ht="17.25" hidden="1" customHeight="1" x14ac:dyDescent="0.15">
      <c r="A90" s="104"/>
      <c r="B90" s="780"/>
      <c r="C90" s="120"/>
      <c r="D90" s="121"/>
      <c r="E90" s="122" t="s">
        <v>517</v>
      </c>
      <c r="F90" s="121"/>
      <c r="G90" s="123" t="s">
        <v>522</v>
      </c>
      <c r="H90" s="124">
        <f>hjp_1($D90,$F90,1)</f>
        <v>0</v>
      </c>
      <c r="I90" s="125">
        <f>hjp_1($D90,$F90,4)</f>
        <v>0</v>
      </c>
      <c r="J90" s="126">
        <f>hjp_1($D90,$F90,3)</f>
        <v>0</v>
      </c>
      <c r="K90" s="127"/>
      <c r="L90" s="128">
        <f t="shared" si="6"/>
        <v>0</v>
      </c>
      <c r="M90" s="124">
        <f>hjp_2($D90,$F90,$L90,1)</f>
        <v>0</v>
      </c>
      <c r="N90" s="125">
        <f>hjp_2($D90,$F90,$L90,2)</f>
        <v>0</v>
      </c>
      <c r="O90" s="180">
        <f>hjp_2($D90,$F90,$L90,3)</f>
        <v>0</v>
      </c>
      <c r="P90" s="104"/>
      <c r="Q90" s="104"/>
      <c r="R90" s="104"/>
      <c r="S90" s="104"/>
    </row>
    <row r="91" spans="1:19" ht="13.5" hidden="1" customHeight="1" x14ac:dyDescent="0.15">
      <c r="A91" s="104"/>
      <c r="B91" s="780"/>
      <c r="C91" s="130"/>
      <c r="D91" s="131"/>
      <c r="E91" s="123"/>
      <c r="F91" s="131"/>
      <c r="G91" s="123"/>
      <c r="H91" s="132">
        <f>SUM(H87:H90)</f>
        <v>0</v>
      </c>
      <c r="I91" s="132">
        <f>SUM(I87:I90)</f>
        <v>0</v>
      </c>
      <c r="J91" s="132">
        <f>SUM(J87:J90)</f>
        <v>0</v>
      </c>
      <c r="K91" s="124"/>
      <c r="L91" s="128">
        <f t="shared" si="6"/>
        <v>0</v>
      </c>
      <c r="M91" s="124">
        <f>SUM(M87:M90)</f>
        <v>0</v>
      </c>
      <c r="N91" s="125">
        <f>SUM(N87:N90)</f>
        <v>0</v>
      </c>
      <c r="O91" s="180">
        <f>SUM(O87:O90)</f>
        <v>0</v>
      </c>
      <c r="P91" s="104"/>
      <c r="Q91" s="104"/>
      <c r="R91" s="104"/>
      <c r="S91" s="104"/>
    </row>
    <row r="92" spans="1:19" ht="19.5" hidden="1" customHeight="1" x14ac:dyDescent="0.15">
      <c r="A92" s="104"/>
      <c r="B92" s="781"/>
      <c r="C92" s="782" t="s">
        <v>418</v>
      </c>
      <c r="D92" s="783"/>
      <c r="E92" s="783"/>
      <c r="F92" s="783"/>
      <c r="G92" s="784"/>
      <c r="H92" s="133">
        <f>H91+INT((I91+INT(J91/30))/12)</f>
        <v>0</v>
      </c>
      <c r="I92" s="134">
        <f>MOD(I91+INT(J91/30),12)</f>
        <v>0</v>
      </c>
      <c r="J92" s="135">
        <f>MOD(J91,30)</f>
        <v>0</v>
      </c>
      <c r="K92" s="136"/>
      <c r="L92" s="137"/>
      <c r="M92" s="138">
        <f>M91+INT((N91+INT(O91/30))/12)</f>
        <v>0</v>
      </c>
      <c r="N92" s="139">
        <f>MOD(N91+INT(O91/30),12)</f>
        <v>0</v>
      </c>
      <c r="O92" s="140">
        <f>MOD(O91,30)</f>
        <v>0</v>
      </c>
      <c r="P92" s="104"/>
      <c r="Q92" s="104"/>
      <c r="R92" s="104"/>
      <c r="S92" s="104"/>
    </row>
    <row r="93" spans="1:19" ht="19.5" hidden="1" customHeight="1" x14ac:dyDescent="0.15">
      <c r="A93" s="104"/>
      <c r="B93" s="181"/>
      <c r="C93" s="169"/>
      <c r="D93" s="169"/>
      <c r="E93" s="169"/>
      <c r="F93" s="169"/>
      <c r="G93" s="169"/>
      <c r="H93" s="133">
        <f>H48+H71+H80+H86+H92</f>
        <v>0</v>
      </c>
      <c r="I93" s="134">
        <f>I48+I80+I86+I71+I92</f>
        <v>0</v>
      </c>
      <c r="J93" s="135">
        <f>J48+J80+J86+J71+J92</f>
        <v>0</v>
      </c>
      <c r="K93" s="136"/>
      <c r="L93" s="137"/>
      <c r="M93" s="138">
        <f>M48+M80+M86+M71+M92</f>
        <v>0</v>
      </c>
      <c r="N93" s="139">
        <f>N48+N80+N86+N71+N92</f>
        <v>0</v>
      </c>
      <c r="O93" s="140">
        <f>O48+O80+O86+O71+O92</f>
        <v>0</v>
      </c>
      <c r="P93" s="104"/>
      <c r="Q93" s="104"/>
      <c r="R93" s="104"/>
      <c r="S93" s="104"/>
    </row>
    <row r="94" spans="1:19" ht="26.25" customHeight="1" x14ac:dyDescent="0.15">
      <c r="A94" s="104"/>
      <c r="B94" s="788" t="s">
        <v>452</v>
      </c>
      <c r="C94" s="789"/>
      <c r="D94" s="789"/>
      <c r="E94" s="789"/>
      <c r="F94" s="789"/>
      <c r="G94" s="789"/>
      <c r="H94" s="133">
        <f>H93+INT((I93+INT(J93/30))/12)</f>
        <v>0</v>
      </c>
      <c r="I94" s="134">
        <f>MOD(I93+INT(J93/30),12)</f>
        <v>0</v>
      </c>
      <c r="J94" s="135">
        <f>MOD(J93,30)</f>
        <v>0</v>
      </c>
      <c r="K94" s="143"/>
      <c r="L94" s="137"/>
      <c r="M94" s="138">
        <f>M93+INT((N93+INT(O93/30))/12)</f>
        <v>0</v>
      </c>
      <c r="N94" s="139">
        <f>MOD(N93+INT(O93/30),12)</f>
        <v>0</v>
      </c>
      <c r="O94" s="140">
        <f>MOD(O93,30)</f>
        <v>0</v>
      </c>
      <c r="P94" s="104"/>
      <c r="Q94" s="104"/>
      <c r="R94" s="104"/>
      <c r="S94" s="104"/>
    </row>
    <row r="95" spans="1:19" ht="26.25" customHeight="1" x14ac:dyDescent="0.15">
      <c r="A95" s="104"/>
      <c r="B95" s="753" t="s">
        <v>540</v>
      </c>
      <c r="C95" s="754"/>
      <c r="D95" s="754"/>
      <c r="E95" s="754"/>
      <c r="F95" s="754"/>
      <c r="G95" s="754"/>
      <c r="H95" s="790"/>
      <c r="I95" s="790"/>
      <c r="J95" s="790"/>
      <c r="K95" s="754"/>
      <c r="L95" s="754"/>
      <c r="M95" s="790"/>
      <c r="N95" s="790"/>
      <c r="O95" s="791"/>
      <c r="P95" s="104"/>
      <c r="Q95" s="104"/>
      <c r="R95" s="104"/>
      <c r="S95" s="104"/>
    </row>
    <row r="96" spans="1:19" ht="29.25" customHeight="1" x14ac:dyDescent="0.15">
      <c r="A96" s="104"/>
      <c r="B96" s="792" t="s">
        <v>391</v>
      </c>
      <c r="C96" s="793"/>
      <c r="D96" s="794" t="s">
        <v>298</v>
      </c>
      <c r="E96" s="794"/>
      <c r="F96" s="794"/>
      <c r="G96" s="794" t="s">
        <v>498</v>
      </c>
      <c r="H96" s="794"/>
      <c r="I96" s="794"/>
      <c r="J96" s="794"/>
      <c r="K96" s="795" t="s">
        <v>548</v>
      </c>
      <c r="L96" s="796"/>
      <c r="M96" s="796"/>
      <c r="N96" s="796"/>
      <c r="O96" s="797"/>
      <c r="P96" s="104"/>
      <c r="Q96" s="104"/>
      <c r="R96" s="104"/>
      <c r="S96" s="104"/>
    </row>
    <row r="97" spans="1:19" ht="33.75" customHeight="1" x14ac:dyDescent="0.15">
      <c r="A97" s="104"/>
      <c r="B97" s="799" t="s">
        <v>443</v>
      </c>
      <c r="C97" s="800"/>
      <c r="D97" s="739" t="str">
        <f>D6</f>
        <v>안산양지초</v>
      </c>
      <c r="E97" s="739"/>
      <c r="F97" s="739"/>
      <c r="G97" s="801" t="s">
        <v>112</v>
      </c>
      <c r="H97" s="801"/>
      <c r="I97" s="801"/>
      <c r="J97" s="801"/>
      <c r="K97" s="802" t="str">
        <f>개별기초자료!K23</f>
        <v>나교감</v>
      </c>
      <c r="L97" s="803"/>
      <c r="M97" s="803"/>
      <c r="N97" s="803"/>
      <c r="O97" s="182" t="s">
        <v>511</v>
      </c>
      <c r="P97" s="104"/>
      <c r="Q97" s="104"/>
      <c r="R97" s="104"/>
      <c r="S97" s="104"/>
    </row>
    <row r="98" spans="1:19" ht="33.75" customHeight="1" x14ac:dyDescent="0.15">
      <c r="A98" s="104"/>
      <c r="B98" s="804" t="s">
        <v>420</v>
      </c>
      <c r="C98" s="805"/>
      <c r="D98" s="806" t="str">
        <f>D6</f>
        <v>안산양지초</v>
      </c>
      <c r="E98" s="806"/>
      <c r="F98" s="806"/>
      <c r="G98" s="807" t="s">
        <v>106</v>
      </c>
      <c r="H98" s="807"/>
      <c r="I98" s="807"/>
      <c r="J98" s="807"/>
      <c r="K98" s="808" t="str">
        <f>개별기초자료!K22</f>
        <v>나교장</v>
      </c>
      <c r="L98" s="809"/>
      <c r="M98" s="809"/>
      <c r="N98" s="809"/>
      <c r="O98" s="183" t="s">
        <v>511</v>
      </c>
      <c r="P98" s="104"/>
      <c r="Q98" s="104"/>
      <c r="R98" s="104"/>
      <c r="S98" s="104"/>
    </row>
    <row r="99" spans="1:19" ht="24" hidden="1" customHeight="1" x14ac:dyDescent="0.15">
      <c r="A99" s="104"/>
      <c r="B99" s="798"/>
      <c r="C99" s="798"/>
      <c r="D99" s="798"/>
      <c r="E99" s="798"/>
      <c r="F99" s="798"/>
      <c r="G99" s="798"/>
      <c r="H99" s="798"/>
      <c r="I99" s="798"/>
      <c r="J99" s="798"/>
      <c r="K99" s="798"/>
      <c r="L99" s="798"/>
      <c r="M99" s="798"/>
      <c r="N99" s="798"/>
      <c r="O99" s="798"/>
      <c r="P99" s="104"/>
      <c r="Q99" s="104"/>
      <c r="R99" s="104"/>
      <c r="S99" s="104"/>
    </row>
    <row r="100" spans="1:19" ht="24" customHeight="1" x14ac:dyDescent="0.1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1:19" ht="24" customHeight="1" x14ac:dyDescent="0.1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1:19" ht="24" customHeight="1" x14ac:dyDescent="0.1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1:19" ht="24" customHeight="1" x14ac:dyDescent="0.1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1:19" ht="24" customHeight="1" x14ac:dyDescent="0.1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1:19" ht="24" customHeight="1" x14ac:dyDescent="0.1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1:19" ht="24" customHeight="1" x14ac:dyDescent="0.1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1:19" ht="24" customHeight="1" x14ac:dyDescent="0.1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</sheetData>
  <sheetProtection password="DA8F" sheet="1" objects="1" scenarios="1" selectLockedCells="1"/>
  <mergeCells count="57">
    <mergeCell ref="B99:O99"/>
    <mergeCell ref="B97:C97"/>
    <mergeCell ref="D97:F97"/>
    <mergeCell ref="G97:J97"/>
    <mergeCell ref="K97:N97"/>
    <mergeCell ref="B98:C98"/>
    <mergeCell ref="D98:F98"/>
    <mergeCell ref="G98:J98"/>
    <mergeCell ref="K98:N98"/>
    <mergeCell ref="B95:O95"/>
    <mergeCell ref="B96:C96"/>
    <mergeCell ref="D96:F96"/>
    <mergeCell ref="G96:J96"/>
    <mergeCell ref="K96:O96"/>
    <mergeCell ref="B81:B86"/>
    <mergeCell ref="C86:G86"/>
    <mergeCell ref="B87:B92"/>
    <mergeCell ref="C92:G92"/>
    <mergeCell ref="B94:G94"/>
    <mergeCell ref="B41:B48"/>
    <mergeCell ref="C48:G48"/>
    <mergeCell ref="B49:B71"/>
    <mergeCell ref="C71:G71"/>
    <mergeCell ref="B72:B80"/>
    <mergeCell ref="C80:G80"/>
    <mergeCell ref="D5:G5"/>
    <mergeCell ref="H5:O5"/>
    <mergeCell ref="B39:O39"/>
    <mergeCell ref="D40:G40"/>
    <mergeCell ref="H40:J40"/>
    <mergeCell ref="M40:O40"/>
    <mergeCell ref="M8:O9"/>
    <mergeCell ref="B9:C9"/>
    <mergeCell ref="D9:E9"/>
    <mergeCell ref="F9:G9"/>
    <mergeCell ref="H9:J9"/>
    <mergeCell ref="B8:C8"/>
    <mergeCell ref="D8:E8"/>
    <mergeCell ref="F8:G8"/>
    <mergeCell ref="H8:J8"/>
    <mergeCell ref="K8:L9"/>
    <mergeCell ref="B2:J2"/>
    <mergeCell ref="M7:O7"/>
    <mergeCell ref="B6:C6"/>
    <mergeCell ref="D6:E6"/>
    <mergeCell ref="F6:G6"/>
    <mergeCell ref="H6:J6"/>
    <mergeCell ref="K6:L6"/>
    <mergeCell ref="M6:N6"/>
    <mergeCell ref="B7:C7"/>
    <mergeCell ref="D7:E7"/>
    <mergeCell ref="F7:G7"/>
    <mergeCell ref="H7:J7"/>
    <mergeCell ref="K7:L7"/>
    <mergeCell ref="B3:O3"/>
    <mergeCell ref="B4:O4"/>
    <mergeCell ref="B5:C5"/>
  </mergeCells>
  <phoneticPr fontId="81" type="noConversion"/>
  <conditionalFormatting sqref="M6:M8 D5:D38">
    <cfRule type="cellIs" dxfId="5" priority="5" stopIfTrue="1" operator="equal">
      <formula>"기초자료입력!"</formula>
    </cfRule>
  </conditionalFormatting>
  <conditionalFormatting sqref="H5:H38">
    <cfRule type="cellIs" dxfId="4" priority="4" stopIfTrue="1" operator="equal">
      <formula>"기초자료입력확인"</formula>
    </cfRule>
  </conditionalFormatting>
  <conditionalFormatting sqref="B41:B71">
    <cfRule type="cellIs" dxfId="3" priority="3" stopIfTrue="1" operator="equal">
      <formula>"기초자료  입력요망!"</formula>
    </cfRule>
  </conditionalFormatting>
  <conditionalFormatting sqref="B72:B93">
    <cfRule type="cellIs" dxfId="2" priority="2" stopIfTrue="1" operator="equal">
      <formula>"해당없음"</formula>
    </cfRule>
    <cfRule type="cellIs" dxfId="1" priority="1" stopIfTrue="1" operator="equal">
      <formula>"기초자료  입력요망!"</formula>
    </cfRule>
  </conditionalFormatting>
  <dataValidations count="6">
    <dataValidation allowBlank="1" showInputMessage="1" showErrorMessage="1" prompt="▼를 누른 후 _x000a_목록에서 해당_x000a_소지 자격을 _x000a_선택해 주세요." sqref="D6:E9" xr:uid="{00000000-0002-0000-0400-000000000000}"/>
    <dataValidation allowBlank="1" showInputMessage="1" showErrorMessage="1" prompt="▼ 을 누른 후_x000a_목록에서 소속_x000a_교육청, 기관을_x000a_선택하세요." sqref="D5" xr:uid="{00000000-0002-0000-0400-000001000000}"/>
    <dataValidation imeMode="halfHangul" allowBlank="1" showErrorMessage="1" sqref="D10:E38 IZ10:JA38 SV10:SW38 ACR10:ACS38 AMN10:AMO38 AWJ10:AWK38 BGF10:BGG38 BQB10:BQC38 BZX10:BZY38 CJT10:CJU38 CTP10:CTQ38 DDL10:DDM38 DNH10:DNI38 DXD10:DXE38 EGZ10:EHA38 EQV10:EQW38 FAR10:FAS38 FKN10:FKO38 FUJ10:FUK38 GEF10:GEG38 GOB10:GOC38 GXX10:GXY38 HHT10:HHU38 HRP10:HRQ38 IBL10:IBM38 ILH10:ILI38 IVD10:IVE38 JEZ10:JFA38 JOV10:JOW38 JYR10:JYS38 KIN10:KIO38 KSJ10:KSK38 LCF10:LCG38 LMB10:LMC38 LVX10:LVY38 MFT10:MFU38 MPP10:MPQ38 MZL10:MZM38 NJH10:NJI38 NTD10:NTE38 OCZ10:ODA38 OMV10:OMW38 OWR10:OWS38 PGN10:PGO38 PQJ10:PQK38 QAF10:QAG38 QKB10:QKC38 QTX10:QTY38 RDT10:RDU38 RNP10:RNQ38 RXL10:RXM38 SHH10:SHI38 SRD10:SRE38 TAZ10:TBA38 TKV10:TKW38 TUR10:TUS38 UEN10:UEO38 UOJ10:UOK38 UYF10:UYG38 VIB10:VIC38 VRX10:VRY38 WBT10:WBU38 WLP10:WLQ38 WVL10:WVM38 D65546:E65574 IZ65546:JA65574 SV65546:SW65574 ACR65546:ACS65574 AMN65546:AMO65574 AWJ65546:AWK65574 BGF65546:BGG65574 BQB65546:BQC65574 BZX65546:BZY65574 CJT65546:CJU65574 CTP65546:CTQ65574 DDL65546:DDM65574 DNH65546:DNI65574 DXD65546:DXE65574 EGZ65546:EHA65574 EQV65546:EQW65574 FAR65546:FAS65574 FKN65546:FKO65574 FUJ65546:FUK65574 GEF65546:GEG65574 GOB65546:GOC65574 GXX65546:GXY65574 HHT65546:HHU65574 HRP65546:HRQ65574 IBL65546:IBM65574 ILH65546:ILI65574 IVD65546:IVE65574 JEZ65546:JFA65574 JOV65546:JOW65574 JYR65546:JYS65574 KIN65546:KIO65574 KSJ65546:KSK65574 LCF65546:LCG65574 LMB65546:LMC65574 LVX65546:LVY65574 MFT65546:MFU65574 MPP65546:MPQ65574 MZL65546:MZM65574 NJH65546:NJI65574 NTD65546:NTE65574 OCZ65546:ODA65574 OMV65546:OMW65574 OWR65546:OWS65574 PGN65546:PGO65574 PQJ65546:PQK65574 QAF65546:QAG65574 QKB65546:QKC65574 QTX65546:QTY65574 RDT65546:RDU65574 RNP65546:RNQ65574 RXL65546:RXM65574 SHH65546:SHI65574 SRD65546:SRE65574 TAZ65546:TBA65574 TKV65546:TKW65574 TUR65546:TUS65574 UEN65546:UEO65574 UOJ65546:UOK65574 UYF65546:UYG65574 VIB65546:VIC65574 VRX65546:VRY65574 WBT65546:WBU65574 WLP65546:WLQ65574 WVL65546:WVM65574 D131082:E131110 IZ131082:JA131110 SV131082:SW131110 ACR131082:ACS131110 AMN131082:AMO131110 AWJ131082:AWK131110 BGF131082:BGG131110 BQB131082:BQC131110 BZX131082:BZY131110 CJT131082:CJU131110 CTP131082:CTQ131110 DDL131082:DDM131110 DNH131082:DNI131110 DXD131082:DXE131110 EGZ131082:EHA131110 EQV131082:EQW131110 FAR131082:FAS131110 FKN131082:FKO131110 FUJ131082:FUK131110 GEF131082:GEG131110 GOB131082:GOC131110 GXX131082:GXY131110 HHT131082:HHU131110 HRP131082:HRQ131110 IBL131082:IBM131110 ILH131082:ILI131110 IVD131082:IVE131110 JEZ131082:JFA131110 JOV131082:JOW131110 JYR131082:JYS131110 KIN131082:KIO131110 KSJ131082:KSK131110 LCF131082:LCG131110 LMB131082:LMC131110 LVX131082:LVY131110 MFT131082:MFU131110 MPP131082:MPQ131110 MZL131082:MZM131110 NJH131082:NJI131110 NTD131082:NTE131110 OCZ131082:ODA131110 OMV131082:OMW131110 OWR131082:OWS131110 PGN131082:PGO131110 PQJ131082:PQK131110 QAF131082:QAG131110 QKB131082:QKC131110 QTX131082:QTY131110 RDT131082:RDU131110 RNP131082:RNQ131110 RXL131082:RXM131110 SHH131082:SHI131110 SRD131082:SRE131110 TAZ131082:TBA131110 TKV131082:TKW131110 TUR131082:TUS131110 UEN131082:UEO131110 UOJ131082:UOK131110 UYF131082:UYG131110 VIB131082:VIC131110 VRX131082:VRY131110 WBT131082:WBU131110 WLP131082:WLQ131110 WVL131082:WVM131110 D196618:E196646 IZ196618:JA196646 SV196618:SW196646 ACR196618:ACS196646 AMN196618:AMO196646 AWJ196618:AWK196646 BGF196618:BGG196646 BQB196618:BQC196646 BZX196618:BZY196646 CJT196618:CJU196646 CTP196618:CTQ196646 DDL196618:DDM196646 DNH196618:DNI196646 DXD196618:DXE196646 EGZ196618:EHA196646 EQV196618:EQW196646 FAR196618:FAS196646 FKN196618:FKO196646 FUJ196618:FUK196646 GEF196618:GEG196646 GOB196618:GOC196646 GXX196618:GXY196646 HHT196618:HHU196646 HRP196618:HRQ196646 IBL196618:IBM196646 ILH196618:ILI196646 IVD196618:IVE196646 JEZ196618:JFA196646 JOV196618:JOW196646 JYR196618:JYS196646 KIN196618:KIO196646 KSJ196618:KSK196646 LCF196618:LCG196646 LMB196618:LMC196646 LVX196618:LVY196646 MFT196618:MFU196646 MPP196618:MPQ196646 MZL196618:MZM196646 NJH196618:NJI196646 NTD196618:NTE196646 OCZ196618:ODA196646 OMV196618:OMW196646 OWR196618:OWS196646 PGN196618:PGO196646 PQJ196618:PQK196646 QAF196618:QAG196646 QKB196618:QKC196646 QTX196618:QTY196646 RDT196618:RDU196646 RNP196618:RNQ196646 RXL196618:RXM196646 SHH196618:SHI196646 SRD196618:SRE196646 TAZ196618:TBA196646 TKV196618:TKW196646 TUR196618:TUS196646 UEN196618:UEO196646 UOJ196618:UOK196646 UYF196618:UYG196646 VIB196618:VIC196646 VRX196618:VRY196646 WBT196618:WBU196646 WLP196618:WLQ196646 WVL196618:WVM196646 D262154:E262182 IZ262154:JA262182 SV262154:SW262182 ACR262154:ACS262182 AMN262154:AMO262182 AWJ262154:AWK262182 BGF262154:BGG262182 BQB262154:BQC262182 BZX262154:BZY262182 CJT262154:CJU262182 CTP262154:CTQ262182 DDL262154:DDM262182 DNH262154:DNI262182 DXD262154:DXE262182 EGZ262154:EHA262182 EQV262154:EQW262182 FAR262154:FAS262182 FKN262154:FKO262182 FUJ262154:FUK262182 GEF262154:GEG262182 GOB262154:GOC262182 GXX262154:GXY262182 HHT262154:HHU262182 HRP262154:HRQ262182 IBL262154:IBM262182 ILH262154:ILI262182 IVD262154:IVE262182 JEZ262154:JFA262182 JOV262154:JOW262182 JYR262154:JYS262182 KIN262154:KIO262182 KSJ262154:KSK262182 LCF262154:LCG262182 LMB262154:LMC262182 LVX262154:LVY262182 MFT262154:MFU262182 MPP262154:MPQ262182 MZL262154:MZM262182 NJH262154:NJI262182 NTD262154:NTE262182 OCZ262154:ODA262182 OMV262154:OMW262182 OWR262154:OWS262182 PGN262154:PGO262182 PQJ262154:PQK262182 QAF262154:QAG262182 QKB262154:QKC262182 QTX262154:QTY262182 RDT262154:RDU262182 RNP262154:RNQ262182 RXL262154:RXM262182 SHH262154:SHI262182 SRD262154:SRE262182 TAZ262154:TBA262182 TKV262154:TKW262182 TUR262154:TUS262182 UEN262154:UEO262182 UOJ262154:UOK262182 UYF262154:UYG262182 VIB262154:VIC262182 VRX262154:VRY262182 WBT262154:WBU262182 WLP262154:WLQ262182 WVL262154:WVM262182 D327690:E327718 IZ327690:JA327718 SV327690:SW327718 ACR327690:ACS327718 AMN327690:AMO327718 AWJ327690:AWK327718 BGF327690:BGG327718 BQB327690:BQC327718 BZX327690:BZY327718 CJT327690:CJU327718 CTP327690:CTQ327718 DDL327690:DDM327718 DNH327690:DNI327718 DXD327690:DXE327718 EGZ327690:EHA327718 EQV327690:EQW327718 FAR327690:FAS327718 FKN327690:FKO327718 FUJ327690:FUK327718 GEF327690:GEG327718 GOB327690:GOC327718 GXX327690:GXY327718 HHT327690:HHU327718 HRP327690:HRQ327718 IBL327690:IBM327718 ILH327690:ILI327718 IVD327690:IVE327718 JEZ327690:JFA327718 JOV327690:JOW327718 JYR327690:JYS327718 KIN327690:KIO327718 KSJ327690:KSK327718 LCF327690:LCG327718 LMB327690:LMC327718 LVX327690:LVY327718 MFT327690:MFU327718 MPP327690:MPQ327718 MZL327690:MZM327718 NJH327690:NJI327718 NTD327690:NTE327718 OCZ327690:ODA327718 OMV327690:OMW327718 OWR327690:OWS327718 PGN327690:PGO327718 PQJ327690:PQK327718 QAF327690:QAG327718 QKB327690:QKC327718 QTX327690:QTY327718 RDT327690:RDU327718 RNP327690:RNQ327718 RXL327690:RXM327718 SHH327690:SHI327718 SRD327690:SRE327718 TAZ327690:TBA327718 TKV327690:TKW327718 TUR327690:TUS327718 UEN327690:UEO327718 UOJ327690:UOK327718 UYF327690:UYG327718 VIB327690:VIC327718 VRX327690:VRY327718 WBT327690:WBU327718 WLP327690:WLQ327718 WVL327690:WVM327718 D393226:E393254 IZ393226:JA393254 SV393226:SW393254 ACR393226:ACS393254 AMN393226:AMO393254 AWJ393226:AWK393254 BGF393226:BGG393254 BQB393226:BQC393254 BZX393226:BZY393254 CJT393226:CJU393254 CTP393226:CTQ393254 DDL393226:DDM393254 DNH393226:DNI393254 DXD393226:DXE393254 EGZ393226:EHA393254 EQV393226:EQW393254 FAR393226:FAS393254 FKN393226:FKO393254 FUJ393226:FUK393254 GEF393226:GEG393254 GOB393226:GOC393254 GXX393226:GXY393254 HHT393226:HHU393254 HRP393226:HRQ393254 IBL393226:IBM393254 ILH393226:ILI393254 IVD393226:IVE393254 JEZ393226:JFA393254 JOV393226:JOW393254 JYR393226:JYS393254 KIN393226:KIO393254 KSJ393226:KSK393254 LCF393226:LCG393254 LMB393226:LMC393254 LVX393226:LVY393254 MFT393226:MFU393254 MPP393226:MPQ393254 MZL393226:MZM393254 NJH393226:NJI393254 NTD393226:NTE393254 OCZ393226:ODA393254 OMV393226:OMW393254 OWR393226:OWS393254 PGN393226:PGO393254 PQJ393226:PQK393254 QAF393226:QAG393254 QKB393226:QKC393254 QTX393226:QTY393254 RDT393226:RDU393254 RNP393226:RNQ393254 RXL393226:RXM393254 SHH393226:SHI393254 SRD393226:SRE393254 TAZ393226:TBA393254 TKV393226:TKW393254 TUR393226:TUS393254 UEN393226:UEO393254 UOJ393226:UOK393254 UYF393226:UYG393254 VIB393226:VIC393254 VRX393226:VRY393254 WBT393226:WBU393254 WLP393226:WLQ393254 WVL393226:WVM393254 D458762:E458790 IZ458762:JA458790 SV458762:SW458790 ACR458762:ACS458790 AMN458762:AMO458790 AWJ458762:AWK458790 BGF458762:BGG458790 BQB458762:BQC458790 BZX458762:BZY458790 CJT458762:CJU458790 CTP458762:CTQ458790 DDL458762:DDM458790 DNH458762:DNI458790 DXD458762:DXE458790 EGZ458762:EHA458790 EQV458762:EQW458790 FAR458762:FAS458790 FKN458762:FKO458790 FUJ458762:FUK458790 GEF458762:GEG458790 GOB458762:GOC458790 GXX458762:GXY458790 HHT458762:HHU458790 HRP458762:HRQ458790 IBL458762:IBM458790 ILH458762:ILI458790 IVD458762:IVE458790 JEZ458762:JFA458790 JOV458762:JOW458790 JYR458762:JYS458790 KIN458762:KIO458790 KSJ458762:KSK458790 LCF458762:LCG458790 LMB458762:LMC458790 LVX458762:LVY458790 MFT458762:MFU458790 MPP458762:MPQ458790 MZL458762:MZM458790 NJH458762:NJI458790 NTD458762:NTE458790 OCZ458762:ODA458790 OMV458762:OMW458790 OWR458762:OWS458790 PGN458762:PGO458790 PQJ458762:PQK458790 QAF458762:QAG458790 QKB458762:QKC458790 QTX458762:QTY458790 RDT458762:RDU458790 RNP458762:RNQ458790 RXL458762:RXM458790 SHH458762:SHI458790 SRD458762:SRE458790 TAZ458762:TBA458790 TKV458762:TKW458790 TUR458762:TUS458790 UEN458762:UEO458790 UOJ458762:UOK458790 UYF458762:UYG458790 VIB458762:VIC458790 VRX458762:VRY458790 WBT458762:WBU458790 WLP458762:WLQ458790 WVL458762:WVM458790 D524298:E524326 IZ524298:JA524326 SV524298:SW524326 ACR524298:ACS524326 AMN524298:AMO524326 AWJ524298:AWK524326 BGF524298:BGG524326 BQB524298:BQC524326 BZX524298:BZY524326 CJT524298:CJU524326 CTP524298:CTQ524326 DDL524298:DDM524326 DNH524298:DNI524326 DXD524298:DXE524326 EGZ524298:EHA524326 EQV524298:EQW524326 FAR524298:FAS524326 FKN524298:FKO524326 FUJ524298:FUK524326 GEF524298:GEG524326 GOB524298:GOC524326 GXX524298:GXY524326 HHT524298:HHU524326 HRP524298:HRQ524326 IBL524298:IBM524326 ILH524298:ILI524326 IVD524298:IVE524326 JEZ524298:JFA524326 JOV524298:JOW524326 JYR524298:JYS524326 KIN524298:KIO524326 KSJ524298:KSK524326 LCF524298:LCG524326 LMB524298:LMC524326 LVX524298:LVY524326 MFT524298:MFU524326 MPP524298:MPQ524326 MZL524298:MZM524326 NJH524298:NJI524326 NTD524298:NTE524326 OCZ524298:ODA524326 OMV524298:OMW524326 OWR524298:OWS524326 PGN524298:PGO524326 PQJ524298:PQK524326 QAF524298:QAG524326 QKB524298:QKC524326 QTX524298:QTY524326 RDT524298:RDU524326 RNP524298:RNQ524326 RXL524298:RXM524326 SHH524298:SHI524326 SRD524298:SRE524326 TAZ524298:TBA524326 TKV524298:TKW524326 TUR524298:TUS524326 UEN524298:UEO524326 UOJ524298:UOK524326 UYF524298:UYG524326 VIB524298:VIC524326 VRX524298:VRY524326 WBT524298:WBU524326 WLP524298:WLQ524326 WVL524298:WVM524326 D589834:E589862 IZ589834:JA589862 SV589834:SW589862 ACR589834:ACS589862 AMN589834:AMO589862 AWJ589834:AWK589862 BGF589834:BGG589862 BQB589834:BQC589862 BZX589834:BZY589862 CJT589834:CJU589862 CTP589834:CTQ589862 DDL589834:DDM589862 DNH589834:DNI589862 DXD589834:DXE589862 EGZ589834:EHA589862 EQV589834:EQW589862 FAR589834:FAS589862 FKN589834:FKO589862 FUJ589834:FUK589862 GEF589834:GEG589862 GOB589834:GOC589862 GXX589834:GXY589862 HHT589834:HHU589862 HRP589834:HRQ589862 IBL589834:IBM589862 ILH589834:ILI589862 IVD589834:IVE589862 JEZ589834:JFA589862 JOV589834:JOW589862 JYR589834:JYS589862 KIN589834:KIO589862 KSJ589834:KSK589862 LCF589834:LCG589862 LMB589834:LMC589862 LVX589834:LVY589862 MFT589834:MFU589862 MPP589834:MPQ589862 MZL589834:MZM589862 NJH589834:NJI589862 NTD589834:NTE589862 OCZ589834:ODA589862 OMV589834:OMW589862 OWR589834:OWS589862 PGN589834:PGO589862 PQJ589834:PQK589862 QAF589834:QAG589862 QKB589834:QKC589862 QTX589834:QTY589862 RDT589834:RDU589862 RNP589834:RNQ589862 RXL589834:RXM589862 SHH589834:SHI589862 SRD589834:SRE589862 TAZ589834:TBA589862 TKV589834:TKW589862 TUR589834:TUS589862 UEN589834:UEO589862 UOJ589834:UOK589862 UYF589834:UYG589862 VIB589834:VIC589862 VRX589834:VRY589862 WBT589834:WBU589862 WLP589834:WLQ589862 WVL589834:WVM589862 D655370:E655398 IZ655370:JA655398 SV655370:SW655398 ACR655370:ACS655398 AMN655370:AMO655398 AWJ655370:AWK655398 BGF655370:BGG655398 BQB655370:BQC655398 BZX655370:BZY655398 CJT655370:CJU655398 CTP655370:CTQ655398 DDL655370:DDM655398 DNH655370:DNI655398 DXD655370:DXE655398 EGZ655370:EHA655398 EQV655370:EQW655398 FAR655370:FAS655398 FKN655370:FKO655398 FUJ655370:FUK655398 GEF655370:GEG655398 GOB655370:GOC655398 GXX655370:GXY655398 HHT655370:HHU655398 HRP655370:HRQ655398 IBL655370:IBM655398 ILH655370:ILI655398 IVD655370:IVE655398 JEZ655370:JFA655398 JOV655370:JOW655398 JYR655370:JYS655398 KIN655370:KIO655398 KSJ655370:KSK655398 LCF655370:LCG655398 LMB655370:LMC655398 LVX655370:LVY655398 MFT655370:MFU655398 MPP655370:MPQ655398 MZL655370:MZM655398 NJH655370:NJI655398 NTD655370:NTE655398 OCZ655370:ODA655398 OMV655370:OMW655398 OWR655370:OWS655398 PGN655370:PGO655398 PQJ655370:PQK655398 QAF655370:QAG655398 QKB655370:QKC655398 QTX655370:QTY655398 RDT655370:RDU655398 RNP655370:RNQ655398 RXL655370:RXM655398 SHH655370:SHI655398 SRD655370:SRE655398 TAZ655370:TBA655398 TKV655370:TKW655398 TUR655370:TUS655398 UEN655370:UEO655398 UOJ655370:UOK655398 UYF655370:UYG655398 VIB655370:VIC655398 VRX655370:VRY655398 WBT655370:WBU655398 WLP655370:WLQ655398 WVL655370:WVM655398 D720906:E720934 IZ720906:JA720934 SV720906:SW720934 ACR720906:ACS720934 AMN720906:AMO720934 AWJ720906:AWK720934 BGF720906:BGG720934 BQB720906:BQC720934 BZX720906:BZY720934 CJT720906:CJU720934 CTP720906:CTQ720934 DDL720906:DDM720934 DNH720906:DNI720934 DXD720906:DXE720934 EGZ720906:EHA720934 EQV720906:EQW720934 FAR720906:FAS720934 FKN720906:FKO720934 FUJ720906:FUK720934 GEF720906:GEG720934 GOB720906:GOC720934 GXX720906:GXY720934 HHT720906:HHU720934 HRP720906:HRQ720934 IBL720906:IBM720934 ILH720906:ILI720934 IVD720906:IVE720934 JEZ720906:JFA720934 JOV720906:JOW720934 JYR720906:JYS720934 KIN720906:KIO720934 KSJ720906:KSK720934 LCF720906:LCG720934 LMB720906:LMC720934 LVX720906:LVY720934 MFT720906:MFU720934 MPP720906:MPQ720934 MZL720906:MZM720934 NJH720906:NJI720934 NTD720906:NTE720934 OCZ720906:ODA720934 OMV720906:OMW720934 OWR720906:OWS720934 PGN720906:PGO720934 PQJ720906:PQK720934 QAF720906:QAG720934 QKB720906:QKC720934 QTX720906:QTY720934 RDT720906:RDU720934 RNP720906:RNQ720934 RXL720906:RXM720934 SHH720906:SHI720934 SRD720906:SRE720934 TAZ720906:TBA720934 TKV720906:TKW720934 TUR720906:TUS720934 UEN720906:UEO720934 UOJ720906:UOK720934 UYF720906:UYG720934 VIB720906:VIC720934 VRX720906:VRY720934 WBT720906:WBU720934 WLP720906:WLQ720934 WVL720906:WVM720934 D786442:E786470 IZ786442:JA786470 SV786442:SW786470 ACR786442:ACS786470 AMN786442:AMO786470 AWJ786442:AWK786470 BGF786442:BGG786470 BQB786442:BQC786470 BZX786442:BZY786470 CJT786442:CJU786470 CTP786442:CTQ786470 DDL786442:DDM786470 DNH786442:DNI786470 DXD786442:DXE786470 EGZ786442:EHA786470 EQV786442:EQW786470 FAR786442:FAS786470 FKN786442:FKO786470 FUJ786442:FUK786470 GEF786442:GEG786470 GOB786442:GOC786470 GXX786442:GXY786470 HHT786442:HHU786470 HRP786442:HRQ786470 IBL786442:IBM786470 ILH786442:ILI786470 IVD786442:IVE786470 JEZ786442:JFA786470 JOV786442:JOW786470 JYR786442:JYS786470 KIN786442:KIO786470 KSJ786442:KSK786470 LCF786442:LCG786470 LMB786442:LMC786470 LVX786442:LVY786470 MFT786442:MFU786470 MPP786442:MPQ786470 MZL786442:MZM786470 NJH786442:NJI786470 NTD786442:NTE786470 OCZ786442:ODA786470 OMV786442:OMW786470 OWR786442:OWS786470 PGN786442:PGO786470 PQJ786442:PQK786470 QAF786442:QAG786470 QKB786442:QKC786470 QTX786442:QTY786470 RDT786442:RDU786470 RNP786442:RNQ786470 RXL786442:RXM786470 SHH786442:SHI786470 SRD786442:SRE786470 TAZ786442:TBA786470 TKV786442:TKW786470 TUR786442:TUS786470 UEN786442:UEO786470 UOJ786442:UOK786470 UYF786442:UYG786470 VIB786442:VIC786470 VRX786442:VRY786470 WBT786442:WBU786470 WLP786442:WLQ786470 WVL786442:WVM786470 D851978:E852006 IZ851978:JA852006 SV851978:SW852006 ACR851978:ACS852006 AMN851978:AMO852006 AWJ851978:AWK852006 BGF851978:BGG852006 BQB851978:BQC852006 BZX851978:BZY852006 CJT851978:CJU852006 CTP851978:CTQ852006 DDL851978:DDM852006 DNH851978:DNI852006 DXD851978:DXE852006 EGZ851978:EHA852006 EQV851978:EQW852006 FAR851978:FAS852006 FKN851978:FKO852006 FUJ851978:FUK852006 GEF851978:GEG852006 GOB851978:GOC852006 GXX851978:GXY852006 HHT851978:HHU852006 HRP851978:HRQ852006 IBL851978:IBM852006 ILH851978:ILI852006 IVD851978:IVE852006 JEZ851978:JFA852006 JOV851978:JOW852006 JYR851978:JYS852006 KIN851978:KIO852006 KSJ851978:KSK852006 LCF851978:LCG852006 LMB851978:LMC852006 LVX851978:LVY852006 MFT851978:MFU852006 MPP851978:MPQ852006 MZL851978:MZM852006 NJH851978:NJI852006 NTD851978:NTE852006 OCZ851978:ODA852006 OMV851978:OMW852006 OWR851978:OWS852006 PGN851978:PGO852006 PQJ851978:PQK852006 QAF851978:QAG852006 QKB851978:QKC852006 QTX851978:QTY852006 RDT851978:RDU852006 RNP851978:RNQ852006 RXL851978:RXM852006 SHH851978:SHI852006 SRD851978:SRE852006 TAZ851978:TBA852006 TKV851978:TKW852006 TUR851978:TUS852006 UEN851978:UEO852006 UOJ851978:UOK852006 UYF851978:UYG852006 VIB851978:VIC852006 VRX851978:VRY852006 WBT851978:WBU852006 WLP851978:WLQ852006 WVL851978:WVM852006 D917514:E917542 IZ917514:JA917542 SV917514:SW917542 ACR917514:ACS917542 AMN917514:AMO917542 AWJ917514:AWK917542 BGF917514:BGG917542 BQB917514:BQC917542 BZX917514:BZY917542 CJT917514:CJU917542 CTP917514:CTQ917542 DDL917514:DDM917542 DNH917514:DNI917542 DXD917514:DXE917542 EGZ917514:EHA917542 EQV917514:EQW917542 FAR917514:FAS917542 FKN917514:FKO917542 FUJ917514:FUK917542 GEF917514:GEG917542 GOB917514:GOC917542 GXX917514:GXY917542 HHT917514:HHU917542 HRP917514:HRQ917542 IBL917514:IBM917542 ILH917514:ILI917542 IVD917514:IVE917542 JEZ917514:JFA917542 JOV917514:JOW917542 JYR917514:JYS917542 KIN917514:KIO917542 KSJ917514:KSK917542 LCF917514:LCG917542 LMB917514:LMC917542 LVX917514:LVY917542 MFT917514:MFU917542 MPP917514:MPQ917542 MZL917514:MZM917542 NJH917514:NJI917542 NTD917514:NTE917542 OCZ917514:ODA917542 OMV917514:OMW917542 OWR917514:OWS917542 PGN917514:PGO917542 PQJ917514:PQK917542 QAF917514:QAG917542 QKB917514:QKC917542 QTX917514:QTY917542 RDT917514:RDU917542 RNP917514:RNQ917542 RXL917514:RXM917542 SHH917514:SHI917542 SRD917514:SRE917542 TAZ917514:TBA917542 TKV917514:TKW917542 TUR917514:TUS917542 UEN917514:UEO917542 UOJ917514:UOK917542 UYF917514:UYG917542 VIB917514:VIC917542 VRX917514:VRY917542 WBT917514:WBU917542 WLP917514:WLQ917542 WVL917514:WVM917542 D983050:E983078 IZ983050:JA983078 SV983050:SW983078 ACR983050:ACS983078 AMN983050:AMO983078 AWJ983050:AWK983078 BGF983050:BGG983078 BQB983050:BQC983078 BZX983050:BZY983078 CJT983050:CJU983078 CTP983050:CTQ983078 DDL983050:DDM983078 DNH983050:DNI983078 DXD983050:DXE983078 EGZ983050:EHA983078 EQV983050:EQW983078 FAR983050:FAS983078 FKN983050:FKO983078 FUJ983050:FUK983078 GEF983050:GEG983078 GOB983050:GOC983078 GXX983050:GXY983078 HHT983050:HHU983078 HRP983050:HRQ983078 IBL983050:IBM983078 ILH983050:ILI983078 IVD983050:IVE983078 JEZ983050:JFA983078 JOV983050:JOW983078 JYR983050:JYS983078 KIN983050:KIO983078 KSJ983050:KSK983078 LCF983050:LCG983078 LMB983050:LMC983078 LVX983050:LVY983078 MFT983050:MFU983078 MPP983050:MPQ983078 MZL983050:MZM983078 NJH983050:NJI983078 NTD983050:NTE983078 OCZ983050:ODA983078 OMV983050:OMW983078 OWR983050:OWS983078 PGN983050:PGO983078 PQJ983050:PQK983078 QAF983050:QAG983078 QKB983050:QKC983078 QTX983050:QTY983078 RDT983050:RDU983078 RNP983050:RNQ983078 RXL983050:RXM983078 SHH983050:SHI983078 SRD983050:SRE983078 TAZ983050:TBA983078 TKV983050:TKW983078 TUR983050:TUS983078 UEN983050:UEO983078 UOJ983050:UOK983078 UYF983050:UYG983078 VIB983050:VIC983078 VRX983050:VRY983078 WBT983050:WBU983078 WLP983050:WLQ983078 WVL983050:WVM983078" xr:uid="{00000000-0002-0000-0400-000002000000}"/>
    <dataValidation type="list" allowBlank="1" showInputMessage="1" showErrorMessage="1" prompt="▼ 을 누른 후_x000a_목록에서 소속_x000a_교육청, 기관을_x000a_선택하세요." sqref="IZ5:JA5 WVL983045:WVM983045 WLP983045:WLQ983045 WBT983045:WBU983045 VRX983045:VRY983045 VIB983045:VIC983045 UYF983045:UYG983045 UOJ983045:UOK983045 UEN983045:UEO983045 TUR983045:TUS983045 TKV983045:TKW983045 TAZ983045:TBA983045 SRD983045:SRE983045 SHH983045:SHI983045 RXL983045:RXM983045 RNP983045:RNQ983045 RDT983045:RDU983045 QTX983045:QTY983045 QKB983045:QKC983045 QAF983045:QAG983045 PQJ983045:PQK983045 PGN983045:PGO983045 OWR983045:OWS983045 OMV983045:OMW983045 OCZ983045:ODA983045 NTD983045:NTE983045 NJH983045:NJI983045 MZL983045:MZM983045 MPP983045:MPQ983045 MFT983045:MFU983045 LVX983045:LVY983045 LMB983045:LMC983045 LCF983045:LCG983045 KSJ983045:KSK983045 KIN983045:KIO983045 JYR983045:JYS983045 JOV983045:JOW983045 JEZ983045:JFA983045 IVD983045:IVE983045 ILH983045:ILI983045 IBL983045:IBM983045 HRP983045:HRQ983045 HHT983045:HHU983045 GXX983045:GXY983045 GOB983045:GOC983045 GEF983045:GEG983045 FUJ983045:FUK983045 FKN983045:FKO983045 FAR983045:FAS983045 EQV983045:EQW983045 EGZ983045:EHA983045 DXD983045:DXE983045 DNH983045:DNI983045 DDL983045:DDM983045 CTP983045:CTQ983045 CJT983045:CJU983045 BZX983045:BZY983045 BQB983045:BQC983045 BGF983045:BGG983045 AWJ983045:AWK983045 AMN983045:AMO983045 ACR983045:ACS983045 SV983045:SW983045 IZ983045:JA983045 D983045:E983045 WVL917509:WVM917509 WLP917509:WLQ917509 WBT917509:WBU917509 VRX917509:VRY917509 VIB917509:VIC917509 UYF917509:UYG917509 UOJ917509:UOK917509 UEN917509:UEO917509 TUR917509:TUS917509 TKV917509:TKW917509 TAZ917509:TBA917509 SRD917509:SRE917509 SHH917509:SHI917509 RXL917509:RXM917509 RNP917509:RNQ917509 RDT917509:RDU917509 QTX917509:QTY917509 QKB917509:QKC917509 QAF917509:QAG917509 PQJ917509:PQK917509 PGN917509:PGO917509 OWR917509:OWS917509 OMV917509:OMW917509 OCZ917509:ODA917509 NTD917509:NTE917509 NJH917509:NJI917509 MZL917509:MZM917509 MPP917509:MPQ917509 MFT917509:MFU917509 LVX917509:LVY917509 LMB917509:LMC917509 LCF917509:LCG917509 KSJ917509:KSK917509 KIN917509:KIO917509 JYR917509:JYS917509 JOV917509:JOW917509 JEZ917509:JFA917509 IVD917509:IVE917509 ILH917509:ILI917509 IBL917509:IBM917509 HRP917509:HRQ917509 HHT917509:HHU917509 GXX917509:GXY917509 GOB917509:GOC917509 GEF917509:GEG917509 FUJ917509:FUK917509 FKN917509:FKO917509 FAR917509:FAS917509 EQV917509:EQW917509 EGZ917509:EHA917509 DXD917509:DXE917509 DNH917509:DNI917509 DDL917509:DDM917509 CTP917509:CTQ917509 CJT917509:CJU917509 BZX917509:BZY917509 BQB917509:BQC917509 BGF917509:BGG917509 AWJ917509:AWK917509 AMN917509:AMO917509 ACR917509:ACS917509 SV917509:SW917509 IZ917509:JA917509 D917509:E917509 WVL851973:WVM851973 WLP851973:WLQ851973 WBT851973:WBU851973 VRX851973:VRY851973 VIB851973:VIC851973 UYF851973:UYG851973 UOJ851973:UOK851973 UEN851973:UEO851973 TUR851973:TUS851973 TKV851973:TKW851973 TAZ851973:TBA851973 SRD851973:SRE851973 SHH851973:SHI851973 RXL851973:RXM851973 RNP851973:RNQ851973 RDT851973:RDU851973 QTX851973:QTY851973 QKB851973:QKC851973 QAF851973:QAG851973 PQJ851973:PQK851973 PGN851973:PGO851973 OWR851973:OWS851973 OMV851973:OMW851973 OCZ851973:ODA851973 NTD851973:NTE851973 NJH851973:NJI851973 MZL851973:MZM851973 MPP851973:MPQ851973 MFT851973:MFU851973 LVX851973:LVY851973 LMB851973:LMC851973 LCF851973:LCG851973 KSJ851973:KSK851973 KIN851973:KIO851973 JYR851973:JYS851973 JOV851973:JOW851973 JEZ851973:JFA851973 IVD851973:IVE851973 ILH851973:ILI851973 IBL851973:IBM851973 HRP851973:HRQ851973 HHT851973:HHU851973 GXX851973:GXY851973 GOB851973:GOC851973 GEF851973:GEG851973 FUJ851973:FUK851973 FKN851973:FKO851973 FAR851973:FAS851973 EQV851973:EQW851973 EGZ851973:EHA851973 DXD851973:DXE851973 DNH851973:DNI851973 DDL851973:DDM851973 CTP851973:CTQ851973 CJT851973:CJU851973 BZX851973:BZY851973 BQB851973:BQC851973 BGF851973:BGG851973 AWJ851973:AWK851973 AMN851973:AMO851973 ACR851973:ACS851973 SV851973:SW851973 IZ851973:JA851973 D851973:E851973 WVL786437:WVM786437 WLP786437:WLQ786437 WBT786437:WBU786437 VRX786437:VRY786437 VIB786437:VIC786437 UYF786437:UYG786437 UOJ786437:UOK786437 UEN786437:UEO786437 TUR786437:TUS786437 TKV786437:TKW786437 TAZ786437:TBA786437 SRD786437:SRE786437 SHH786437:SHI786437 RXL786437:RXM786437 RNP786437:RNQ786437 RDT786437:RDU786437 QTX786437:QTY786437 QKB786437:QKC786437 QAF786437:QAG786437 PQJ786437:PQK786437 PGN786437:PGO786437 OWR786437:OWS786437 OMV786437:OMW786437 OCZ786437:ODA786437 NTD786437:NTE786437 NJH786437:NJI786437 MZL786437:MZM786437 MPP786437:MPQ786437 MFT786437:MFU786437 LVX786437:LVY786437 LMB786437:LMC786437 LCF786437:LCG786437 KSJ786437:KSK786437 KIN786437:KIO786437 JYR786437:JYS786437 JOV786437:JOW786437 JEZ786437:JFA786437 IVD786437:IVE786437 ILH786437:ILI786437 IBL786437:IBM786437 HRP786437:HRQ786437 HHT786437:HHU786437 GXX786437:GXY786437 GOB786437:GOC786437 GEF786437:GEG786437 FUJ786437:FUK786437 FKN786437:FKO786437 FAR786437:FAS786437 EQV786437:EQW786437 EGZ786437:EHA786437 DXD786437:DXE786437 DNH786437:DNI786437 DDL786437:DDM786437 CTP786437:CTQ786437 CJT786437:CJU786437 BZX786437:BZY786437 BQB786437:BQC786437 BGF786437:BGG786437 AWJ786437:AWK786437 AMN786437:AMO786437 ACR786437:ACS786437 SV786437:SW786437 IZ786437:JA786437 D786437:E786437 WVL720901:WVM720901 WLP720901:WLQ720901 WBT720901:WBU720901 VRX720901:VRY720901 VIB720901:VIC720901 UYF720901:UYG720901 UOJ720901:UOK720901 UEN720901:UEO720901 TUR720901:TUS720901 TKV720901:TKW720901 TAZ720901:TBA720901 SRD720901:SRE720901 SHH720901:SHI720901 RXL720901:RXM720901 RNP720901:RNQ720901 RDT720901:RDU720901 QTX720901:QTY720901 QKB720901:QKC720901 QAF720901:QAG720901 PQJ720901:PQK720901 PGN720901:PGO720901 OWR720901:OWS720901 OMV720901:OMW720901 OCZ720901:ODA720901 NTD720901:NTE720901 NJH720901:NJI720901 MZL720901:MZM720901 MPP720901:MPQ720901 MFT720901:MFU720901 LVX720901:LVY720901 LMB720901:LMC720901 LCF720901:LCG720901 KSJ720901:KSK720901 KIN720901:KIO720901 JYR720901:JYS720901 JOV720901:JOW720901 JEZ720901:JFA720901 IVD720901:IVE720901 ILH720901:ILI720901 IBL720901:IBM720901 HRP720901:HRQ720901 HHT720901:HHU720901 GXX720901:GXY720901 GOB720901:GOC720901 GEF720901:GEG720901 FUJ720901:FUK720901 FKN720901:FKO720901 FAR720901:FAS720901 EQV720901:EQW720901 EGZ720901:EHA720901 DXD720901:DXE720901 DNH720901:DNI720901 DDL720901:DDM720901 CTP720901:CTQ720901 CJT720901:CJU720901 BZX720901:BZY720901 BQB720901:BQC720901 BGF720901:BGG720901 AWJ720901:AWK720901 AMN720901:AMO720901 ACR720901:ACS720901 SV720901:SW720901 IZ720901:JA720901 D720901:E720901 WVL655365:WVM655365 WLP655365:WLQ655365 WBT655365:WBU655365 VRX655365:VRY655365 VIB655365:VIC655365 UYF655365:UYG655365 UOJ655365:UOK655365 UEN655365:UEO655365 TUR655365:TUS655365 TKV655365:TKW655365 TAZ655365:TBA655365 SRD655365:SRE655365 SHH655365:SHI655365 RXL655365:RXM655365 RNP655365:RNQ655365 RDT655365:RDU655365 QTX655365:QTY655365 QKB655365:QKC655365 QAF655365:QAG655365 PQJ655365:PQK655365 PGN655365:PGO655365 OWR655365:OWS655365 OMV655365:OMW655365 OCZ655365:ODA655365 NTD655365:NTE655365 NJH655365:NJI655365 MZL655365:MZM655365 MPP655365:MPQ655365 MFT655365:MFU655365 LVX655365:LVY655365 LMB655365:LMC655365 LCF655365:LCG655365 KSJ655365:KSK655365 KIN655365:KIO655365 JYR655365:JYS655365 JOV655365:JOW655365 JEZ655365:JFA655365 IVD655365:IVE655365 ILH655365:ILI655365 IBL655365:IBM655365 HRP655365:HRQ655365 HHT655365:HHU655365 GXX655365:GXY655365 GOB655365:GOC655365 GEF655365:GEG655365 FUJ655365:FUK655365 FKN655365:FKO655365 FAR655365:FAS655365 EQV655365:EQW655365 EGZ655365:EHA655365 DXD655365:DXE655365 DNH655365:DNI655365 DDL655365:DDM655365 CTP655365:CTQ655365 CJT655365:CJU655365 BZX655365:BZY655365 BQB655365:BQC655365 BGF655365:BGG655365 AWJ655365:AWK655365 AMN655365:AMO655365 ACR655365:ACS655365 SV655365:SW655365 IZ655365:JA655365 D655365:E655365 WVL589829:WVM589829 WLP589829:WLQ589829 WBT589829:WBU589829 VRX589829:VRY589829 VIB589829:VIC589829 UYF589829:UYG589829 UOJ589829:UOK589829 UEN589829:UEO589829 TUR589829:TUS589829 TKV589829:TKW589829 TAZ589829:TBA589829 SRD589829:SRE589829 SHH589829:SHI589829 RXL589829:RXM589829 RNP589829:RNQ589829 RDT589829:RDU589829 QTX589829:QTY589829 QKB589829:QKC589829 QAF589829:QAG589829 PQJ589829:PQK589829 PGN589829:PGO589829 OWR589829:OWS589829 OMV589829:OMW589829 OCZ589829:ODA589829 NTD589829:NTE589829 NJH589829:NJI589829 MZL589829:MZM589829 MPP589829:MPQ589829 MFT589829:MFU589829 LVX589829:LVY589829 LMB589829:LMC589829 LCF589829:LCG589829 KSJ589829:KSK589829 KIN589829:KIO589829 JYR589829:JYS589829 JOV589829:JOW589829 JEZ589829:JFA589829 IVD589829:IVE589829 ILH589829:ILI589829 IBL589829:IBM589829 HRP589829:HRQ589829 HHT589829:HHU589829 GXX589829:GXY589829 GOB589829:GOC589829 GEF589829:GEG589829 FUJ589829:FUK589829 FKN589829:FKO589829 FAR589829:FAS589829 EQV589829:EQW589829 EGZ589829:EHA589829 DXD589829:DXE589829 DNH589829:DNI589829 DDL589829:DDM589829 CTP589829:CTQ589829 CJT589829:CJU589829 BZX589829:BZY589829 BQB589829:BQC589829 BGF589829:BGG589829 AWJ589829:AWK589829 AMN589829:AMO589829 ACR589829:ACS589829 SV589829:SW589829 IZ589829:JA589829 D589829:E589829 WVL524293:WVM524293 WLP524293:WLQ524293 WBT524293:WBU524293 VRX524293:VRY524293 VIB524293:VIC524293 UYF524293:UYG524293 UOJ524293:UOK524293 UEN524293:UEO524293 TUR524293:TUS524293 TKV524293:TKW524293 TAZ524293:TBA524293 SRD524293:SRE524293 SHH524293:SHI524293 RXL524293:RXM524293 RNP524293:RNQ524293 RDT524293:RDU524293 QTX524293:QTY524293 QKB524293:QKC524293 QAF524293:QAG524293 PQJ524293:PQK524293 PGN524293:PGO524293 OWR524293:OWS524293 OMV524293:OMW524293 OCZ524293:ODA524293 NTD524293:NTE524293 NJH524293:NJI524293 MZL524293:MZM524293 MPP524293:MPQ524293 MFT524293:MFU524293 LVX524293:LVY524293 LMB524293:LMC524293 LCF524293:LCG524293 KSJ524293:KSK524293 KIN524293:KIO524293 JYR524293:JYS524293 JOV524293:JOW524293 JEZ524293:JFA524293 IVD524293:IVE524293 ILH524293:ILI524293 IBL524293:IBM524293 HRP524293:HRQ524293 HHT524293:HHU524293 GXX524293:GXY524293 GOB524293:GOC524293 GEF524293:GEG524293 FUJ524293:FUK524293 FKN524293:FKO524293 FAR524293:FAS524293 EQV524293:EQW524293 EGZ524293:EHA524293 DXD524293:DXE524293 DNH524293:DNI524293 DDL524293:DDM524293 CTP524293:CTQ524293 CJT524293:CJU524293 BZX524293:BZY524293 BQB524293:BQC524293 BGF524293:BGG524293 AWJ524293:AWK524293 AMN524293:AMO524293 ACR524293:ACS524293 SV524293:SW524293 IZ524293:JA524293 D524293:E524293 WVL458757:WVM458757 WLP458757:WLQ458757 WBT458757:WBU458757 VRX458757:VRY458757 VIB458757:VIC458757 UYF458757:UYG458757 UOJ458757:UOK458757 UEN458757:UEO458757 TUR458757:TUS458757 TKV458757:TKW458757 TAZ458757:TBA458757 SRD458757:SRE458757 SHH458757:SHI458757 RXL458757:RXM458757 RNP458757:RNQ458757 RDT458757:RDU458757 QTX458757:QTY458757 QKB458757:QKC458757 QAF458757:QAG458757 PQJ458757:PQK458757 PGN458757:PGO458757 OWR458757:OWS458757 OMV458757:OMW458757 OCZ458757:ODA458757 NTD458757:NTE458757 NJH458757:NJI458757 MZL458757:MZM458757 MPP458757:MPQ458757 MFT458757:MFU458757 LVX458757:LVY458757 LMB458757:LMC458757 LCF458757:LCG458757 KSJ458757:KSK458757 KIN458757:KIO458757 JYR458757:JYS458757 JOV458757:JOW458757 JEZ458757:JFA458757 IVD458757:IVE458757 ILH458757:ILI458757 IBL458757:IBM458757 HRP458757:HRQ458757 HHT458757:HHU458757 GXX458757:GXY458757 GOB458757:GOC458757 GEF458757:GEG458757 FUJ458757:FUK458757 FKN458757:FKO458757 FAR458757:FAS458757 EQV458757:EQW458757 EGZ458757:EHA458757 DXD458757:DXE458757 DNH458757:DNI458757 DDL458757:DDM458757 CTP458757:CTQ458757 CJT458757:CJU458757 BZX458757:BZY458757 BQB458757:BQC458757 BGF458757:BGG458757 AWJ458757:AWK458757 AMN458757:AMO458757 ACR458757:ACS458757 SV458757:SW458757 IZ458757:JA458757 D458757:E458757 WVL393221:WVM393221 WLP393221:WLQ393221 WBT393221:WBU393221 VRX393221:VRY393221 VIB393221:VIC393221 UYF393221:UYG393221 UOJ393221:UOK393221 UEN393221:UEO393221 TUR393221:TUS393221 TKV393221:TKW393221 TAZ393221:TBA393221 SRD393221:SRE393221 SHH393221:SHI393221 RXL393221:RXM393221 RNP393221:RNQ393221 RDT393221:RDU393221 QTX393221:QTY393221 QKB393221:QKC393221 QAF393221:QAG393221 PQJ393221:PQK393221 PGN393221:PGO393221 OWR393221:OWS393221 OMV393221:OMW393221 OCZ393221:ODA393221 NTD393221:NTE393221 NJH393221:NJI393221 MZL393221:MZM393221 MPP393221:MPQ393221 MFT393221:MFU393221 LVX393221:LVY393221 LMB393221:LMC393221 LCF393221:LCG393221 KSJ393221:KSK393221 KIN393221:KIO393221 JYR393221:JYS393221 JOV393221:JOW393221 JEZ393221:JFA393221 IVD393221:IVE393221 ILH393221:ILI393221 IBL393221:IBM393221 HRP393221:HRQ393221 HHT393221:HHU393221 GXX393221:GXY393221 GOB393221:GOC393221 GEF393221:GEG393221 FUJ393221:FUK393221 FKN393221:FKO393221 FAR393221:FAS393221 EQV393221:EQW393221 EGZ393221:EHA393221 DXD393221:DXE393221 DNH393221:DNI393221 DDL393221:DDM393221 CTP393221:CTQ393221 CJT393221:CJU393221 BZX393221:BZY393221 BQB393221:BQC393221 BGF393221:BGG393221 AWJ393221:AWK393221 AMN393221:AMO393221 ACR393221:ACS393221 SV393221:SW393221 IZ393221:JA393221 D393221:E393221 WVL327685:WVM327685 WLP327685:WLQ327685 WBT327685:WBU327685 VRX327685:VRY327685 VIB327685:VIC327685 UYF327685:UYG327685 UOJ327685:UOK327685 UEN327685:UEO327685 TUR327685:TUS327685 TKV327685:TKW327685 TAZ327685:TBA327685 SRD327685:SRE327685 SHH327685:SHI327685 RXL327685:RXM327685 RNP327685:RNQ327685 RDT327685:RDU327685 QTX327685:QTY327685 QKB327685:QKC327685 QAF327685:QAG327685 PQJ327685:PQK327685 PGN327685:PGO327685 OWR327685:OWS327685 OMV327685:OMW327685 OCZ327685:ODA327685 NTD327685:NTE327685 NJH327685:NJI327685 MZL327685:MZM327685 MPP327685:MPQ327685 MFT327685:MFU327685 LVX327685:LVY327685 LMB327685:LMC327685 LCF327685:LCG327685 KSJ327685:KSK327685 KIN327685:KIO327685 JYR327685:JYS327685 JOV327685:JOW327685 JEZ327685:JFA327685 IVD327685:IVE327685 ILH327685:ILI327685 IBL327685:IBM327685 HRP327685:HRQ327685 HHT327685:HHU327685 GXX327685:GXY327685 GOB327685:GOC327685 GEF327685:GEG327685 FUJ327685:FUK327685 FKN327685:FKO327685 FAR327685:FAS327685 EQV327685:EQW327685 EGZ327685:EHA327685 DXD327685:DXE327685 DNH327685:DNI327685 DDL327685:DDM327685 CTP327685:CTQ327685 CJT327685:CJU327685 BZX327685:BZY327685 BQB327685:BQC327685 BGF327685:BGG327685 AWJ327685:AWK327685 AMN327685:AMO327685 ACR327685:ACS327685 SV327685:SW327685 IZ327685:JA327685 D327685:E327685 WVL262149:WVM262149 WLP262149:WLQ262149 WBT262149:WBU262149 VRX262149:VRY262149 VIB262149:VIC262149 UYF262149:UYG262149 UOJ262149:UOK262149 UEN262149:UEO262149 TUR262149:TUS262149 TKV262149:TKW262149 TAZ262149:TBA262149 SRD262149:SRE262149 SHH262149:SHI262149 RXL262149:RXM262149 RNP262149:RNQ262149 RDT262149:RDU262149 QTX262149:QTY262149 QKB262149:QKC262149 QAF262149:QAG262149 PQJ262149:PQK262149 PGN262149:PGO262149 OWR262149:OWS262149 OMV262149:OMW262149 OCZ262149:ODA262149 NTD262149:NTE262149 NJH262149:NJI262149 MZL262149:MZM262149 MPP262149:MPQ262149 MFT262149:MFU262149 LVX262149:LVY262149 LMB262149:LMC262149 LCF262149:LCG262149 KSJ262149:KSK262149 KIN262149:KIO262149 JYR262149:JYS262149 JOV262149:JOW262149 JEZ262149:JFA262149 IVD262149:IVE262149 ILH262149:ILI262149 IBL262149:IBM262149 HRP262149:HRQ262149 HHT262149:HHU262149 GXX262149:GXY262149 GOB262149:GOC262149 GEF262149:GEG262149 FUJ262149:FUK262149 FKN262149:FKO262149 FAR262149:FAS262149 EQV262149:EQW262149 EGZ262149:EHA262149 DXD262149:DXE262149 DNH262149:DNI262149 DDL262149:DDM262149 CTP262149:CTQ262149 CJT262149:CJU262149 BZX262149:BZY262149 BQB262149:BQC262149 BGF262149:BGG262149 AWJ262149:AWK262149 AMN262149:AMO262149 ACR262149:ACS262149 SV262149:SW262149 IZ262149:JA262149 D262149:E262149 WVL196613:WVM196613 WLP196613:WLQ196613 WBT196613:WBU196613 VRX196613:VRY196613 VIB196613:VIC196613 UYF196613:UYG196613 UOJ196613:UOK196613 UEN196613:UEO196613 TUR196613:TUS196613 TKV196613:TKW196613 TAZ196613:TBA196613 SRD196613:SRE196613 SHH196613:SHI196613 RXL196613:RXM196613 RNP196613:RNQ196613 RDT196613:RDU196613 QTX196613:QTY196613 QKB196613:QKC196613 QAF196613:QAG196613 PQJ196613:PQK196613 PGN196613:PGO196613 OWR196613:OWS196613 OMV196613:OMW196613 OCZ196613:ODA196613 NTD196613:NTE196613 NJH196613:NJI196613 MZL196613:MZM196613 MPP196613:MPQ196613 MFT196613:MFU196613 LVX196613:LVY196613 LMB196613:LMC196613 LCF196613:LCG196613 KSJ196613:KSK196613 KIN196613:KIO196613 JYR196613:JYS196613 JOV196613:JOW196613 JEZ196613:JFA196613 IVD196613:IVE196613 ILH196613:ILI196613 IBL196613:IBM196613 HRP196613:HRQ196613 HHT196613:HHU196613 GXX196613:GXY196613 GOB196613:GOC196613 GEF196613:GEG196613 FUJ196613:FUK196613 FKN196613:FKO196613 FAR196613:FAS196613 EQV196613:EQW196613 EGZ196613:EHA196613 DXD196613:DXE196613 DNH196613:DNI196613 DDL196613:DDM196613 CTP196613:CTQ196613 CJT196613:CJU196613 BZX196613:BZY196613 BQB196613:BQC196613 BGF196613:BGG196613 AWJ196613:AWK196613 AMN196613:AMO196613 ACR196613:ACS196613 SV196613:SW196613 IZ196613:JA196613 D196613:E196613 WVL131077:WVM131077 WLP131077:WLQ131077 WBT131077:WBU131077 VRX131077:VRY131077 VIB131077:VIC131077 UYF131077:UYG131077 UOJ131077:UOK131077 UEN131077:UEO131077 TUR131077:TUS131077 TKV131077:TKW131077 TAZ131077:TBA131077 SRD131077:SRE131077 SHH131077:SHI131077 RXL131077:RXM131077 RNP131077:RNQ131077 RDT131077:RDU131077 QTX131077:QTY131077 QKB131077:QKC131077 QAF131077:QAG131077 PQJ131077:PQK131077 PGN131077:PGO131077 OWR131077:OWS131077 OMV131077:OMW131077 OCZ131077:ODA131077 NTD131077:NTE131077 NJH131077:NJI131077 MZL131077:MZM131077 MPP131077:MPQ131077 MFT131077:MFU131077 LVX131077:LVY131077 LMB131077:LMC131077 LCF131077:LCG131077 KSJ131077:KSK131077 KIN131077:KIO131077 JYR131077:JYS131077 JOV131077:JOW131077 JEZ131077:JFA131077 IVD131077:IVE131077 ILH131077:ILI131077 IBL131077:IBM131077 HRP131077:HRQ131077 HHT131077:HHU131077 GXX131077:GXY131077 GOB131077:GOC131077 GEF131077:GEG131077 FUJ131077:FUK131077 FKN131077:FKO131077 FAR131077:FAS131077 EQV131077:EQW131077 EGZ131077:EHA131077 DXD131077:DXE131077 DNH131077:DNI131077 DDL131077:DDM131077 CTP131077:CTQ131077 CJT131077:CJU131077 BZX131077:BZY131077 BQB131077:BQC131077 BGF131077:BGG131077 AWJ131077:AWK131077 AMN131077:AMO131077 ACR131077:ACS131077 SV131077:SW131077 IZ131077:JA131077 D131077:E131077 WVL65541:WVM65541 WLP65541:WLQ65541 WBT65541:WBU65541 VRX65541:VRY65541 VIB65541:VIC65541 UYF65541:UYG65541 UOJ65541:UOK65541 UEN65541:UEO65541 TUR65541:TUS65541 TKV65541:TKW65541 TAZ65541:TBA65541 SRD65541:SRE65541 SHH65541:SHI65541 RXL65541:RXM65541 RNP65541:RNQ65541 RDT65541:RDU65541 QTX65541:QTY65541 QKB65541:QKC65541 QAF65541:QAG65541 PQJ65541:PQK65541 PGN65541:PGO65541 OWR65541:OWS65541 OMV65541:OMW65541 OCZ65541:ODA65541 NTD65541:NTE65541 NJH65541:NJI65541 MZL65541:MZM65541 MPP65541:MPQ65541 MFT65541:MFU65541 LVX65541:LVY65541 LMB65541:LMC65541 LCF65541:LCG65541 KSJ65541:KSK65541 KIN65541:KIO65541 JYR65541:JYS65541 JOV65541:JOW65541 JEZ65541:JFA65541 IVD65541:IVE65541 ILH65541:ILI65541 IBL65541:IBM65541 HRP65541:HRQ65541 HHT65541:HHU65541 GXX65541:GXY65541 GOB65541:GOC65541 GEF65541:GEG65541 FUJ65541:FUK65541 FKN65541:FKO65541 FAR65541:FAS65541 EQV65541:EQW65541 EGZ65541:EHA65541 DXD65541:DXE65541 DNH65541:DNI65541 DDL65541:DDM65541 CTP65541:CTQ65541 CJT65541:CJU65541 BZX65541:BZY65541 BQB65541:BQC65541 BGF65541:BGG65541 AWJ65541:AWK65541 AMN65541:AMO65541 ACR65541:ACS65541 SV65541:SW65541 IZ65541:JA65541 D65541:E65541 WVL5:WVM5 WLP5:WLQ5 WBT5:WBU5 VRX5:VRY5 VIB5:VIC5 UYF5:UYG5 UOJ5:UOK5 UEN5:UEO5 TUR5:TUS5 TKV5:TKW5 TAZ5:TBA5 SRD5:SRE5 SHH5:SHI5 RXL5:RXM5 RNP5:RNQ5 RDT5:RDU5 QTX5:QTY5 QKB5:QKC5 QAF5:QAG5 PQJ5:PQK5 PGN5:PGO5 OWR5:OWS5 OMV5:OMW5 OCZ5:ODA5 NTD5:NTE5 NJH5:NJI5 MZL5:MZM5 MPP5:MPQ5 MFT5:MFU5 LVX5:LVY5 LMB5:LMC5 LCF5:LCG5 KSJ5:KSK5 KIN5:KIO5 JYR5:JYS5 JOV5:JOW5 JEZ5:JFA5 IVD5:IVE5 ILH5:ILI5 IBL5:IBM5 HRP5:HRQ5 HHT5:HHU5 GXX5:GXY5 GOB5:GOC5 GEF5:GEG5 FUJ5:FUK5 FKN5:FKO5 FAR5:FAS5 EQV5:EQW5 EGZ5:EHA5 DXD5:DXE5 DNH5:DNI5 DDL5:DDM5 CTP5:CTQ5 CJT5:CJU5 BZX5:BZY5 BQB5:BQC5 BGF5:BGG5 AWJ5:AWK5 AMN5:AMO5 ACR5:ACS5 SV5:SW5" xr:uid="{00000000-0002-0000-0400-000003000000}">
      <formula1>$D$10:$D$38</formula1>
    </dataValidation>
    <dataValidation type="list" allowBlank="1" showInputMessage="1" showErrorMessage="1" prompt="▼를 누른 후 _x000a_목록에서 해당_x000a_소지 자격을 _x000a_선택해 주세요." sqref="IZ6:JA9 WVL983046:WVM983049 WLP983046:WLQ983049 WBT983046:WBU983049 VRX983046:VRY983049 VIB983046:VIC983049 UYF983046:UYG983049 UOJ983046:UOK983049 UEN983046:UEO983049 TUR983046:TUS983049 TKV983046:TKW983049 TAZ983046:TBA983049 SRD983046:SRE983049 SHH983046:SHI983049 RXL983046:RXM983049 RNP983046:RNQ983049 RDT983046:RDU983049 QTX983046:QTY983049 QKB983046:QKC983049 QAF983046:QAG983049 PQJ983046:PQK983049 PGN983046:PGO983049 OWR983046:OWS983049 OMV983046:OMW983049 OCZ983046:ODA983049 NTD983046:NTE983049 NJH983046:NJI983049 MZL983046:MZM983049 MPP983046:MPQ983049 MFT983046:MFU983049 LVX983046:LVY983049 LMB983046:LMC983049 LCF983046:LCG983049 KSJ983046:KSK983049 KIN983046:KIO983049 JYR983046:JYS983049 JOV983046:JOW983049 JEZ983046:JFA983049 IVD983046:IVE983049 ILH983046:ILI983049 IBL983046:IBM983049 HRP983046:HRQ983049 HHT983046:HHU983049 GXX983046:GXY983049 GOB983046:GOC983049 GEF983046:GEG983049 FUJ983046:FUK983049 FKN983046:FKO983049 FAR983046:FAS983049 EQV983046:EQW983049 EGZ983046:EHA983049 DXD983046:DXE983049 DNH983046:DNI983049 DDL983046:DDM983049 CTP983046:CTQ983049 CJT983046:CJU983049 BZX983046:BZY983049 BQB983046:BQC983049 BGF983046:BGG983049 AWJ983046:AWK983049 AMN983046:AMO983049 ACR983046:ACS983049 SV983046:SW983049 IZ983046:JA983049 D983046:E983049 WVL917510:WVM917513 WLP917510:WLQ917513 WBT917510:WBU917513 VRX917510:VRY917513 VIB917510:VIC917513 UYF917510:UYG917513 UOJ917510:UOK917513 UEN917510:UEO917513 TUR917510:TUS917513 TKV917510:TKW917513 TAZ917510:TBA917513 SRD917510:SRE917513 SHH917510:SHI917513 RXL917510:RXM917513 RNP917510:RNQ917513 RDT917510:RDU917513 QTX917510:QTY917513 QKB917510:QKC917513 QAF917510:QAG917513 PQJ917510:PQK917513 PGN917510:PGO917513 OWR917510:OWS917513 OMV917510:OMW917513 OCZ917510:ODA917513 NTD917510:NTE917513 NJH917510:NJI917513 MZL917510:MZM917513 MPP917510:MPQ917513 MFT917510:MFU917513 LVX917510:LVY917513 LMB917510:LMC917513 LCF917510:LCG917513 KSJ917510:KSK917513 KIN917510:KIO917513 JYR917510:JYS917513 JOV917510:JOW917513 JEZ917510:JFA917513 IVD917510:IVE917513 ILH917510:ILI917513 IBL917510:IBM917513 HRP917510:HRQ917513 HHT917510:HHU917513 GXX917510:GXY917513 GOB917510:GOC917513 GEF917510:GEG917513 FUJ917510:FUK917513 FKN917510:FKO917513 FAR917510:FAS917513 EQV917510:EQW917513 EGZ917510:EHA917513 DXD917510:DXE917513 DNH917510:DNI917513 DDL917510:DDM917513 CTP917510:CTQ917513 CJT917510:CJU917513 BZX917510:BZY917513 BQB917510:BQC917513 BGF917510:BGG917513 AWJ917510:AWK917513 AMN917510:AMO917513 ACR917510:ACS917513 SV917510:SW917513 IZ917510:JA917513 D917510:E917513 WVL851974:WVM851977 WLP851974:WLQ851977 WBT851974:WBU851977 VRX851974:VRY851977 VIB851974:VIC851977 UYF851974:UYG851977 UOJ851974:UOK851977 UEN851974:UEO851977 TUR851974:TUS851977 TKV851974:TKW851977 TAZ851974:TBA851977 SRD851974:SRE851977 SHH851974:SHI851977 RXL851974:RXM851977 RNP851974:RNQ851977 RDT851974:RDU851977 QTX851974:QTY851977 QKB851974:QKC851977 QAF851974:QAG851977 PQJ851974:PQK851977 PGN851974:PGO851977 OWR851974:OWS851977 OMV851974:OMW851977 OCZ851974:ODA851977 NTD851974:NTE851977 NJH851974:NJI851977 MZL851974:MZM851977 MPP851974:MPQ851977 MFT851974:MFU851977 LVX851974:LVY851977 LMB851974:LMC851977 LCF851974:LCG851977 KSJ851974:KSK851977 KIN851974:KIO851977 JYR851974:JYS851977 JOV851974:JOW851977 JEZ851974:JFA851977 IVD851974:IVE851977 ILH851974:ILI851977 IBL851974:IBM851977 HRP851974:HRQ851977 HHT851974:HHU851977 GXX851974:GXY851977 GOB851974:GOC851977 GEF851974:GEG851977 FUJ851974:FUK851977 FKN851974:FKO851977 FAR851974:FAS851977 EQV851974:EQW851977 EGZ851974:EHA851977 DXD851974:DXE851977 DNH851974:DNI851977 DDL851974:DDM851977 CTP851974:CTQ851977 CJT851974:CJU851977 BZX851974:BZY851977 BQB851974:BQC851977 BGF851974:BGG851977 AWJ851974:AWK851977 AMN851974:AMO851977 ACR851974:ACS851977 SV851974:SW851977 IZ851974:JA851977 D851974:E851977 WVL786438:WVM786441 WLP786438:WLQ786441 WBT786438:WBU786441 VRX786438:VRY786441 VIB786438:VIC786441 UYF786438:UYG786441 UOJ786438:UOK786441 UEN786438:UEO786441 TUR786438:TUS786441 TKV786438:TKW786441 TAZ786438:TBA786441 SRD786438:SRE786441 SHH786438:SHI786441 RXL786438:RXM786441 RNP786438:RNQ786441 RDT786438:RDU786441 QTX786438:QTY786441 QKB786438:QKC786441 QAF786438:QAG786441 PQJ786438:PQK786441 PGN786438:PGO786441 OWR786438:OWS786441 OMV786438:OMW786441 OCZ786438:ODA786441 NTD786438:NTE786441 NJH786438:NJI786441 MZL786438:MZM786441 MPP786438:MPQ786441 MFT786438:MFU786441 LVX786438:LVY786441 LMB786438:LMC786441 LCF786438:LCG786441 KSJ786438:KSK786441 KIN786438:KIO786441 JYR786438:JYS786441 JOV786438:JOW786441 JEZ786438:JFA786441 IVD786438:IVE786441 ILH786438:ILI786441 IBL786438:IBM786441 HRP786438:HRQ786441 HHT786438:HHU786441 GXX786438:GXY786441 GOB786438:GOC786441 GEF786438:GEG786441 FUJ786438:FUK786441 FKN786438:FKO786441 FAR786438:FAS786441 EQV786438:EQW786441 EGZ786438:EHA786441 DXD786438:DXE786441 DNH786438:DNI786441 DDL786438:DDM786441 CTP786438:CTQ786441 CJT786438:CJU786441 BZX786438:BZY786441 BQB786438:BQC786441 BGF786438:BGG786441 AWJ786438:AWK786441 AMN786438:AMO786441 ACR786438:ACS786441 SV786438:SW786441 IZ786438:JA786441 D786438:E786441 WVL720902:WVM720905 WLP720902:WLQ720905 WBT720902:WBU720905 VRX720902:VRY720905 VIB720902:VIC720905 UYF720902:UYG720905 UOJ720902:UOK720905 UEN720902:UEO720905 TUR720902:TUS720905 TKV720902:TKW720905 TAZ720902:TBA720905 SRD720902:SRE720905 SHH720902:SHI720905 RXL720902:RXM720905 RNP720902:RNQ720905 RDT720902:RDU720905 QTX720902:QTY720905 QKB720902:QKC720905 QAF720902:QAG720905 PQJ720902:PQK720905 PGN720902:PGO720905 OWR720902:OWS720905 OMV720902:OMW720905 OCZ720902:ODA720905 NTD720902:NTE720905 NJH720902:NJI720905 MZL720902:MZM720905 MPP720902:MPQ720905 MFT720902:MFU720905 LVX720902:LVY720905 LMB720902:LMC720905 LCF720902:LCG720905 KSJ720902:KSK720905 KIN720902:KIO720905 JYR720902:JYS720905 JOV720902:JOW720905 JEZ720902:JFA720905 IVD720902:IVE720905 ILH720902:ILI720905 IBL720902:IBM720905 HRP720902:HRQ720905 HHT720902:HHU720905 GXX720902:GXY720905 GOB720902:GOC720905 GEF720902:GEG720905 FUJ720902:FUK720905 FKN720902:FKO720905 FAR720902:FAS720905 EQV720902:EQW720905 EGZ720902:EHA720905 DXD720902:DXE720905 DNH720902:DNI720905 DDL720902:DDM720905 CTP720902:CTQ720905 CJT720902:CJU720905 BZX720902:BZY720905 BQB720902:BQC720905 BGF720902:BGG720905 AWJ720902:AWK720905 AMN720902:AMO720905 ACR720902:ACS720905 SV720902:SW720905 IZ720902:JA720905 D720902:E720905 WVL655366:WVM655369 WLP655366:WLQ655369 WBT655366:WBU655369 VRX655366:VRY655369 VIB655366:VIC655369 UYF655366:UYG655369 UOJ655366:UOK655369 UEN655366:UEO655369 TUR655366:TUS655369 TKV655366:TKW655369 TAZ655366:TBA655369 SRD655366:SRE655369 SHH655366:SHI655369 RXL655366:RXM655369 RNP655366:RNQ655369 RDT655366:RDU655369 QTX655366:QTY655369 QKB655366:QKC655369 QAF655366:QAG655369 PQJ655366:PQK655369 PGN655366:PGO655369 OWR655366:OWS655369 OMV655366:OMW655369 OCZ655366:ODA655369 NTD655366:NTE655369 NJH655366:NJI655369 MZL655366:MZM655369 MPP655366:MPQ655369 MFT655366:MFU655369 LVX655366:LVY655369 LMB655366:LMC655369 LCF655366:LCG655369 KSJ655366:KSK655369 KIN655366:KIO655369 JYR655366:JYS655369 JOV655366:JOW655369 JEZ655366:JFA655369 IVD655366:IVE655369 ILH655366:ILI655369 IBL655366:IBM655369 HRP655366:HRQ655369 HHT655366:HHU655369 GXX655366:GXY655369 GOB655366:GOC655369 GEF655366:GEG655369 FUJ655366:FUK655369 FKN655366:FKO655369 FAR655366:FAS655369 EQV655366:EQW655369 EGZ655366:EHA655369 DXD655366:DXE655369 DNH655366:DNI655369 DDL655366:DDM655369 CTP655366:CTQ655369 CJT655366:CJU655369 BZX655366:BZY655369 BQB655366:BQC655369 BGF655366:BGG655369 AWJ655366:AWK655369 AMN655366:AMO655369 ACR655366:ACS655369 SV655366:SW655369 IZ655366:JA655369 D655366:E655369 WVL589830:WVM589833 WLP589830:WLQ589833 WBT589830:WBU589833 VRX589830:VRY589833 VIB589830:VIC589833 UYF589830:UYG589833 UOJ589830:UOK589833 UEN589830:UEO589833 TUR589830:TUS589833 TKV589830:TKW589833 TAZ589830:TBA589833 SRD589830:SRE589833 SHH589830:SHI589833 RXL589830:RXM589833 RNP589830:RNQ589833 RDT589830:RDU589833 QTX589830:QTY589833 QKB589830:QKC589833 QAF589830:QAG589833 PQJ589830:PQK589833 PGN589830:PGO589833 OWR589830:OWS589833 OMV589830:OMW589833 OCZ589830:ODA589833 NTD589830:NTE589833 NJH589830:NJI589833 MZL589830:MZM589833 MPP589830:MPQ589833 MFT589830:MFU589833 LVX589830:LVY589833 LMB589830:LMC589833 LCF589830:LCG589833 KSJ589830:KSK589833 KIN589830:KIO589833 JYR589830:JYS589833 JOV589830:JOW589833 JEZ589830:JFA589833 IVD589830:IVE589833 ILH589830:ILI589833 IBL589830:IBM589833 HRP589830:HRQ589833 HHT589830:HHU589833 GXX589830:GXY589833 GOB589830:GOC589833 GEF589830:GEG589833 FUJ589830:FUK589833 FKN589830:FKO589833 FAR589830:FAS589833 EQV589830:EQW589833 EGZ589830:EHA589833 DXD589830:DXE589833 DNH589830:DNI589833 DDL589830:DDM589833 CTP589830:CTQ589833 CJT589830:CJU589833 BZX589830:BZY589833 BQB589830:BQC589833 BGF589830:BGG589833 AWJ589830:AWK589833 AMN589830:AMO589833 ACR589830:ACS589833 SV589830:SW589833 IZ589830:JA589833 D589830:E589833 WVL524294:WVM524297 WLP524294:WLQ524297 WBT524294:WBU524297 VRX524294:VRY524297 VIB524294:VIC524297 UYF524294:UYG524297 UOJ524294:UOK524297 UEN524294:UEO524297 TUR524294:TUS524297 TKV524294:TKW524297 TAZ524294:TBA524297 SRD524294:SRE524297 SHH524294:SHI524297 RXL524294:RXM524297 RNP524294:RNQ524297 RDT524294:RDU524297 QTX524294:QTY524297 QKB524294:QKC524297 QAF524294:QAG524297 PQJ524294:PQK524297 PGN524294:PGO524297 OWR524294:OWS524297 OMV524294:OMW524297 OCZ524294:ODA524297 NTD524294:NTE524297 NJH524294:NJI524297 MZL524294:MZM524297 MPP524294:MPQ524297 MFT524294:MFU524297 LVX524294:LVY524297 LMB524294:LMC524297 LCF524294:LCG524297 KSJ524294:KSK524297 KIN524294:KIO524297 JYR524294:JYS524297 JOV524294:JOW524297 JEZ524294:JFA524297 IVD524294:IVE524297 ILH524294:ILI524297 IBL524294:IBM524297 HRP524294:HRQ524297 HHT524294:HHU524297 GXX524294:GXY524297 GOB524294:GOC524297 GEF524294:GEG524297 FUJ524294:FUK524297 FKN524294:FKO524297 FAR524294:FAS524297 EQV524294:EQW524297 EGZ524294:EHA524297 DXD524294:DXE524297 DNH524294:DNI524297 DDL524294:DDM524297 CTP524294:CTQ524297 CJT524294:CJU524297 BZX524294:BZY524297 BQB524294:BQC524297 BGF524294:BGG524297 AWJ524294:AWK524297 AMN524294:AMO524297 ACR524294:ACS524297 SV524294:SW524297 IZ524294:JA524297 D524294:E524297 WVL458758:WVM458761 WLP458758:WLQ458761 WBT458758:WBU458761 VRX458758:VRY458761 VIB458758:VIC458761 UYF458758:UYG458761 UOJ458758:UOK458761 UEN458758:UEO458761 TUR458758:TUS458761 TKV458758:TKW458761 TAZ458758:TBA458761 SRD458758:SRE458761 SHH458758:SHI458761 RXL458758:RXM458761 RNP458758:RNQ458761 RDT458758:RDU458761 QTX458758:QTY458761 QKB458758:QKC458761 QAF458758:QAG458761 PQJ458758:PQK458761 PGN458758:PGO458761 OWR458758:OWS458761 OMV458758:OMW458761 OCZ458758:ODA458761 NTD458758:NTE458761 NJH458758:NJI458761 MZL458758:MZM458761 MPP458758:MPQ458761 MFT458758:MFU458761 LVX458758:LVY458761 LMB458758:LMC458761 LCF458758:LCG458761 KSJ458758:KSK458761 KIN458758:KIO458761 JYR458758:JYS458761 JOV458758:JOW458761 JEZ458758:JFA458761 IVD458758:IVE458761 ILH458758:ILI458761 IBL458758:IBM458761 HRP458758:HRQ458761 HHT458758:HHU458761 GXX458758:GXY458761 GOB458758:GOC458761 GEF458758:GEG458761 FUJ458758:FUK458761 FKN458758:FKO458761 FAR458758:FAS458761 EQV458758:EQW458761 EGZ458758:EHA458761 DXD458758:DXE458761 DNH458758:DNI458761 DDL458758:DDM458761 CTP458758:CTQ458761 CJT458758:CJU458761 BZX458758:BZY458761 BQB458758:BQC458761 BGF458758:BGG458761 AWJ458758:AWK458761 AMN458758:AMO458761 ACR458758:ACS458761 SV458758:SW458761 IZ458758:JA458761 D458758:E458761 WVL393222:WVM393225 WLP393222:WLQ393225 WBT393222:WBU393225 VRX393222:VRY393225 VIB393222:VIC393225 UYF393222:UYG393225 UOJ393222:UOK393225 UEN393222:UEO393225 TUR393222:TUS393225 TKV393222:TKW393225 TAZ393222:TBA393225 SRD393222:SRE393225 SHH393222:SHI393225 RXL393222:RXM393225 RNP393222:RNQ393225 RDT393222:RDU393225 QTX393222:QTY393225 QKB393222:QKC393225 QAF393222:QAG393225 PQJ393222:PQK393225 PGN393222:PGO393225 OWR393222:OWS393225 OMV393222:OMW393225 OCZ393222:ODA393225 NTD393222:NTE393225 NJH393222:NJI393225 MZL393222:MZM393225 MPP393222:MPQ393225 MFT393222:MFU393225 LVX393222:LVY393225 LMB393222:LMC393225 LCF393222:LCG393225 KSJ393222:KSK393225 KIN393222:KIO393225 JYR393222:JYS393225 JOV393222:JOW393225 JEZ393222:JFA393225 IVD393222:IVE393225 ILH393222:ILI393225 IBL393222:IBM393225 HRP393222:HRQ393225 HHT393222:HHU393225 GXX393222:GXY393225 GOB393222:GOC393225 GEF393222:GEG393225 FUJ393222:FUK393225 FKN393222:FKO393225 FAR393222:FAS393225 EQV393222:EQW393225 EGZ393222:EHA393225 DXD393222:DXE393225 DNH393222:DNI393225 DDL393222:DDM393225 CTP393222:CTQ393225 CJT393222:CJU393225 BZX393222:BZY393225 BQB393222:BQC393225 BGF393222:BGG393225 AWJ393222:AWK393225 AMN393222:AMO393225 ACR393222:ACS393225 SV393222:SW393225 IZ393222:JA393225 D393222:E393225 WVL327686:WVM327689 WLP327686:WLQ327689 WBT327686:WBU327689 VRX327686:VRY327689 VIB327686:VIC327689 UYF327686:UYG327689 UOJ327686:UOK327689 UEN327686:UEO327689 TUR327686:TUS327689 TKV327686:TKW327689 TAZ327686:TBA327689 SRD327686:SRE327689 SHH327686:SHI327689 RXL327686:RXM327689 RNP327686:RNQ327689 RDT327686:RDU327689 QTX327686:QTY327689 QKB327686:QKC327689 QAF327686:QAG327689 PQJ327686:PQK327689 PGN327686:PGO327689 OWR327686:OWS327689 OMV327686:OMW327689 OCZ327686:ODA327689 NTD327686:NTE327689 NJH327686:NJI327689 MZL327686:MZM327689 MPP327686:MPQ327689 MFT327686:MFU327689 LVX327686:LVY327689 LMB327686:LMC327689 LCF327686:LCG327689 KSJ327686:KSK327689 KIN327686:KIO327689 JYR327686:JYS327689 JOV327686:JOW327689 JEZ327686:JFA327689 IVD327686:IVE327689 ILH327686:ILI327689 IBL327686:IBM327689 HRP327686:HRQ327689 HHT327686:HHU327689 GXX327686:GXY327689 GOB327686:GOC327689 GEF327686:GEG327689 FUJ327686:FUK327689 FKN327686:FKO327689 FAR327686:FAS327689 EQV327686:EQW327689 EGZ327686:EHA327689 DXD327686:DXE327689 DNH327686:DNI327689 DDL327686:DDM327689 CTP327686:CTQ327689 CJT327686:CJU327689 BZX327686:BZY327689 BQB327686:BQC327689 BGF327686:BGG327689 AWJ327686:AWK327689 AMN327686:AMO327689 ACR327686:ACS327689 SV327686:SW327689 IZ327686:JA327689 D327686:E327689 WVL262150:WVM262153 WLP262150:WLQ262153 WBT262150:WBU262153 VRX262150:VRY262153 VIB262150:VIC262153 UYF262150:UYG262153 UOJ262150:UOK262153 UEN262150:UEO262153 TUR262150:TUS262153 TKV262150:TKW262153 TAZ262150:TBA262153 SRD262150:SRE262153 SHH262150:SHI262153 RXL262150:RXM262153 RNP262150:RNQ262153 RDT262150:RDU262153 QTX262150:QTY262153 QKB262150:QKC262153 QAF262150:QAG262153 PQJ262150:PQK262153 PGN262150:PGO262153 OWR262150:OWS262153 OMV262150:OMW262153 OCZ262150:ODA262153 NTD262150:NTE262153 NJH262150:NJI262153 MZL262150:MZM262153 MPP262150:MPQ262153 MFT262150:MFU262153 LVX262150:LVY262153 LMB262150:LMC262153 LCF262150:LCG262153 KSJ262150:KSK262153 KIN262150:KIO262153 JYR262150:JYS262153 JOV262150:JOW262153 JEZ262150:JFA262153 IVD262150:IVE262153 ILH262150:ILI262153 IBL262150:IBM262153 HRP262150:HRQ262153 HHT262150:HHU262153 GXX262150:GXY262153 GOB262150:GOC262153 GEF262150:GEG262153 FUJ262150:FUK262153 FKN262150:FKO262153 FAR262150:FAS262153 EQV262150:EQW262153 EGZ262150:EHA262153 DXD262150:DXE262153 DNH262150:DNI262153 DDL262150:DDM262153 CTP262150:CTQ262153 CJT262150:CJU262153 BZX262150:BZY262153 BQB262150:BQC262153 BGF262150:BGG262153 AWJ262150:AWK262153 AMN262150:AMO262153 ACR262150:ACS262153 SV262150:SW262153 IZ262150:JA262153 D262150:E262153 WVL196614:WVM196617 WLP196614:WLQ196617 WBT196614:WBU196617 VRX196614:VRY196617 VIB196614:VIC196617 UYF196614:UYG196617 UOJ196614:UOK196617 UEN196614:UEO196617 TUR196614:TUS196617 TKV196614:TKW196617 TAZ196614:TBA196617 SRD196614:SRE196617 SHH196614:SHI196617 RXL196614:RXM196617 RNP196614:RNQ196617 RDT196614:RDU196617 QTX196614:QTY196617 QKB196614:QKC196617 QAF196614:QAG196617 PQJ196614:PQK196617 PGN196614:PGO196617 OWR196614:OWS196617 OMV196614:OMW196617 OCZ196614:ODA196617 NTD196614:NTE196617 NJH196614:NJI196617 MZL196614:MZM196617 MPP196614:MPQ196617 MFT196614:MFU196617 LVX196614:LVY196617 LMB196614:LMC196617 LCF196614:LCG196617 KSJ196614:KSK196617 KIN196614:KIO196617 JYR196614:JYS196617 JOV196614:JOW196617 JEZ196614:JFA196617 IVD196614:IVE196617 ILH196614:ILI196617 IBL196614:IBM196617 HRP196614:HRQ196617 HHT196614:HHU196617 GXX196614:GXY196617 GOB196614:GOC196617 GEF196614:GEG196617 FUJ196614:FUK196617 FKN196614:FKO196617 FAR196614:FAS196617 EQV196614:EQW196617 EGZ196614:EHA196617 DXD196614:DXE196617 DNH196614:DNI196617 DDL196614:DDM196617 CTP196614:CTQ196617 CJT196614:CJU196617 BZX196614:BZY196617 BQB196614:BQC196617 BGF196614:BGG196617 AWJ196614:AWK196617 AMN196614:AMO196617 ACR196614:ACS196617 SV196614:SW196617 IZ196614:JA196617 D196614:E196617 WVL131078:WVM131081 WLP131078:WLQ131081 WBT131078:WBU131081 VRX131078:VRY131081 VIB131078:VIC131081 UYF131078:UYG131081 UOJ131078:UOK131081 UEN131078:UEO131081 TUR131078:TUS131081 TKV131078:TKW131081 TAZ131078:TBA131081 SRD131078:SRE131081 SHH131078:SHI131081 RXL131078:RXM131081 RNP131078:RNQ131081 RDT131078:RDU131081 QTX131078:QTY131081 QKB131078:QKC131081 QAF131078:QAG131081 PQJ131078:PQK131081 PGN131078:PGO131081 OWR131078:OWS131081 OMV131078:OMW131081 OCZ131078:ODA131081 NTD131078:NTE131081 NJH131078:NJI131081 MZL131078:MZM131081 MPP131078:MPQ131081 MFT131078:MFU131081 LVX131078:LVY131081 LMB131078:LMC131081 LCF131078:LCG131081 KSJ131078:KSK131081 KIN131078:KIO131081 JYR131078:JYS131081 JOV131078:JOW131081 JEZ131078:JFA131081 IVD131078:IVE131081 ILH131078:ILI131081 IBL131078:IBM131081 HRP131078:HRQ131081 HHT131078:HHU131081 GXX131078:GXY131081 GOB131078:GOC131081 GEF131078:GEG131081 FUJ131078:FUK131081 FKN131078:FKO131081 FAR131078:FAS131081 EQV131078:EQW131081 EGZ131078:EHA131081 DXD131078:DXE131081 DNH131078:DNI131081 DDL131078:DDM131081 CTP131078:CTQ131081 CJT131078:CJU131081 BZX131078:BZY131081 BQB131078:BQC131081 BGF131078:BGG131081 AWJ131078:AWK131081 AMN131078:AMO131081 ACR131078:ACS131081 SV131078:SW131081 IZ131078:JA131081 D131078:E131081 WVL65542:WVM65545 WLP65542:WLQ65545 WBT65542:WBU65545 VRX65542:VRY65545 VIB65542:VIC65545 UYF65542:UYG65545 UOJ65542:UOK65545 UEN65542:UEO65545 TUR65542:TUS65545 TKV65542:TKW65545 TAZ65542:TBA65545 SRD65542:SRE65545 SHH65542:SHI65545 RXL65542:RXM65545 RNP65542:RNQ65545 RDT65542:RDU65545 QTX65542:QTY65545 QKB65542:QKC65545 QAF65542:QAG65545 PQJ65542:PQK65545 PGN65542:PGO65545 OWR65542:OWS65545 OMV65542:OMW65545 OCZ65542:ODA65545 NTD65542:NTE65545 NJH65542:NJI65545 MZL65542:MZM65545 MPP65542:MPQ65545 MFT65542:MFU65545 LVX65542:LVY65545 LMB65542:LMC65545 LCF65542:LCG65545 KSJ65542:KSK65545 KIN65542:KIO65545 JYR65542:JYS65545 JOV65542:JOW65545 JEZ65542:JFA65545 IVD65542:IVE65545 ILH65542:ILI65545 IBL65542:IBM65545 HRP65542:HRQ65545 HHT65542:HHU65545 GXX65542:GXY65545 GOB65542:GOC65545 GEF65542:GEG65545 FUJ65542:FUK65545 FKN65542:FKO65545 FAR65542:FAS65545 EQV65542:EQW65545 EGZ65542:EHA65545 DXD65542:DXE65545 DNH65542:DNI65545 DDL65542:DDM65545 CTP65542:CTQ65545 CJT65542:CJU65545 BZX65542:BZY65545 BQB65542:BQC65545 BGF65542:BGG65545 AWJ65542:AWK65545 AMN65542:AMO65545 ACR65542:ACS65545 SV65542:SW65545 IZ65542:JA65545 D65542:E65545 WVL6:WVM9 WLP6:WLQ9 WBT6:WBU9 VRX6:VRY9 VIB6:VIC9 UYF6:UYG9 UOJ6:UOK9 UEN6:UEO9 TUR6:TUS9 TKV6:TKW9 TAZ6:TBA9 SRD6:SRE9 SHH6:SHI9 RXL6:RXM9 RNP6:RNQ9 RDT6:RDU9 QTX6:QTY9 QKB6:QKC9 QAF6:QAG9 PQJ6:PQK9 PGN6:PGO9 OWR6:OWS9 OMV6:OMW9 OCZ6:ODA9 NTD6:NTE9 NJH6:NJI9 MZL6:MZM9 MPP6:MPQ9 MFT6:MFU9 LVX6:LVY9 LMB6:LMC9 LCF6:LCG9 KSJ6:KSK9 KIN6:KIO9 JYR6:JYS9 JOV6:JOW9 JEZ6:JFA9 IVD6:IVE9 ILH6:ILI9 IBL6:IBM9 HRP6:HRQ9 HHT6:HHU9 GXX6:GXY9 GOB6:GOC9 GEF6:GEG9 FUJ6:FUK9 FKN6:FKO9 FAR6:FAS9 EQV6:EQW9 EGZ6:EHA9 DXD6:DXE9 DNH6:DNI9 DDL6:DDM9 CTP6:CTQ9 CJT6:CJU9 BZX6:BZY9 BQB6:BQC9 BGF6:BGG9 AWJ6:AWK9 AMN6:AMO9 ACR6:ACS9 SV6:SW9" xr:uid="{00000000-0002-0000-0400-000004000000}">
      <formula1>$K$10:$K$33</formula1>
    </dataValidation>
    <dataValidation type="list" allowBlank="1" showInputMessage="1" showErrorMessage="1" prompt="▼를 누른 후 _x000a_목록에서 해당_x000a_직위를 _x000a_선택해 주세요." sqref="JI5:JK5 WVU983045:WVW983045 WLY983045:WMA983045 WCC983045:WCE983045 VSG983045:VSI983045 VIK983045:VIM983045 UYO983045:UYQ983045 UOS983045:UOU983045 UEW983045:UEY983045 TVA983045:TVC983045 TLE983045:TLG983045 TBI983045:TBK983045 SRM983045:SRO983045 SHQ983045:SHS983045 RXU983045:RXW983045 RNY983045:ROA983045 REC983045:REE983045 QUG983045:QUI983045 QKK983045:QKM983045 QAO983045:QAQ983045 PQS983045:PQU983045 PGW983045:PGY983045 OXA983045:OXC983045 ONE983045:ONG983045 ODI983045:ODK983045 NTM983045:NTO983045 NJQ983045:NJS983045 MZU983045:MZW983045 MPY983045:MQA983045 MGC983045:MGE983045 LWG983045:LWI983045 LMK983045:LMM983045 LCO983045:LCQ983045 KSS983045:KSU983045 KIW983045:KIY983045 JZA983045:JZC983045 JPE983045:JPG983045 JFI983045:JFK983045 IVM983045:IVO983045 ILQ983045:ILS983045 IBU983045:IBW983045 HRY983045:HSA983045 HIC983045:HIE983045 GYG983045:GYI983045 GOK983045:GOM983045 GEO983045:GEQ983045 FUS983045:FUU983045 FKW983045:FKY983045 FBA983045:FBC983045 ERE983045:ERG983045 EHI983045:EHK983045 DXM983045:DXO983045 DNQ983045:DNS983045 DDU983045:DDW983045 CTY983045:CUA983045 CKC983045:CKE983045 CAG983045:CAI983045 BQK983045:BQM983045 BGO983045:BGQ983045 AWS983045:AWU983045 AMW983045:AMY983045 ADA983045:ADC983045 TE983045:TG983045 JI983045:JK983045 M983045:O983045 WVU917509:WVW917509 WLY917509:WMA917509 WCC917509:WCE917509 VSG917509:VSI917509 VIK917509:VIM917509 UYO917509:UYQ917509 UOS917509:UOU917509 UEW917509:UEY917509 TVA917509:TVC917509 TLE917509:TLG917509 TBI917509:TBK917509 SRM917509:SRO917509 SHQ917509:SHS917509 RXU917509:RXW917509 RNY917509:ROA917509 REC917509:REE917509 QUG917509:QUI917509 QKK917509:QKM917509 QAO917509:QAQ917509 PQS917509:PQU917509 PGW917509:PGY917509 OXA917509:OXC917509 ONE917509:ONG917509 ODI917509:ODK917509 NTM917509:NTO917509 NJQ917509:NJS917509 MZU917509:MZW917509 MPY917509:MQA917509 MGC917509:MGE917509 LWG917509:LWI917509 LMK917509:LMM917509 LCO917509:LCQ917509 KSS917509:KSU917509 KIW917509:KIY917509 JZA917509:JZC917509 JPE917509:JPG917509 JFI917509:JFK917509 IVM917509:IVO917509 ILQ917509:ILS917509 IBU917509:IBW917509 HRY917509:HSA917509 HIC917509:HIE917509 GYG917509:GYI917509 GOK917509:GOM917509 GEO917509:GEQ917509 FUS917509:FUU917509 FKW917509:FKY917509 FBA917509:FBC917509 ERE917509:ERG917509 EHI917509:EHK917509 DXM917509:DXO917509 DNQ917509:DNS917509 DDU917509:DDW917509 CTY917509:CUA917509 CKC917509:CKE917509 CAG917509:CAI917509 BQK917509:BQM917509 BGO917509:BGQ917509 AWS917509:AWU917509 AMW917509:AMY917509 ADA917509:ADC917509 TE917509:TG917509 JI917509:JK917509 M917509:O917509 WVU851973:WVW851973 WLY851973:WMA851973 WCC851973:WCE851973 VSG851973:VSI851973 VIK851973:VIM851973 UYO851973:UYQ851973 UOS851973:UOU851973 UEW851973:UEY851973 TVA851973:TVC851973 TLE851973:TLG851973 TBI851973:TBK851973 SRM851973:SRO851973 SHQ851973:SHS851973 RXU851973:RXW851973 RNY851973:ROA851973 REC851973:REE851973 QUG851973:QUI851973 QKK851973:QKM851973 QAO851973:QAQ851973 PQS851973:PQU851973 PGW851973:PGY851973 OXA851973:OXC851973 ONE851973:ONG851973 ODI851973:ODK851973 NTM851973:NTO851973 NJQ851973:NJS851973 MZU851973:MZW851973 MPY851973:MQA851973 MGC851973:MGE851973 LWG851973:LWI851973 LMK851973:LMM851973 LCO851973:LCQ851973 KSS851973:KSU851973 KIW851973:KIY851973 JZA851973:JZC851973 JPE851973:JPG851973 JFI851973:JFK851973 IVM851973:IVO851973 ILQ851973:ILS851973 IBU851973:IBW851973 HRY851973:HSA851973 HIC851973:HIE851973 GYG851973:GYI851973 GOK851973:GOM851973 GEO851973:GEQ851973 FUS851973:FUU851973 FKW851973:FKY851973 FBA851973:FBC851973 ERE851973:ERG851973 EHI851973:EHK851973 DXM851973:DXO851973 DNQ851973:DNS851973 DDU851973:DDW851973 CTY851973:CUA851973 CKC851973:CKE851973 CAG851973:CAI851973 BQK851973:BQM851973 BGO851973:BGQ851973 AWS851973:AWU851973 AMW851973:AMY851973 ADA851973:ADC851973 TE851973:TG851973 JI851973:JK851973 M851973:O851973 WVU786437:WVW786437 WLY786437:WMA786437 WCC786437:WCE786437 VSG786437:VSI786437 VIK786437:VIM786437 UYO786437:UYQ786437 UOS786437:UOU786437 UEW786437:UEY786437 TVA786437:TVC786437 TLE786437:TLG786437 TBI786437:TBK786437 SRM786437:SRO786437 SHQ786437:SHS786437 RXU786437:RXW786437 RNY786437:ROA786437 REC786437:REE786437 QUG786437:QUI786437 QKK786437:QKM786437 QAO786437:QAQ786437 PQS786437:PQU786437 PGW786437:PGY786437 OXA786437:OXC786437 ONE786437:ONG786437 ODI786437:ODK786437 NTM786437:NTO786437 NJQ786437:NJS786437 MZU786437:MZW786437 MPY786437:MQA786437 MGC786437:MGE786437 LWG786437:LWI786437 LMK786437:LMM786437 LCO786437:LCQ786437 KSS786437:KSU786437 KIW786437:KIY786437 JZA786437:JZC786437 JPE786437:JPG786437 JFI786437:JFK786437 IVM786437:IVO786437 ILQ786437:ILS786437 IBU786437:IBW786437 HRY786437:HSA786437 HIC786437:HIE786437 GYG786437:GYI786437 GOK786437:GOM786437 GEO786437:GEQ786437 FUS786437:FUU786437 FKW786437:FKY786437 FBA786437:FBC786437 ERE786437:ERG786437 EHI786437:EHK786437 DXM786437:DXO786437 DNQ786437:DNS786437 DDU786437:DDW786437 CTY786437:CUA786437 CKC786437:CKE786437 CAG786437:CAI786437 BQK786437:BQM786437 BGO786437:BGQ786437 AWS786437:AWU786437 AMW786437:AMY786437 ADA786437:ADC786437 TE786437:TG786437 JI786437:JK786437 M786437:O786437 WVU720901:WVW720901 WLY720901:WMA720901 WCC720901:WCE720901 VSG720901:VSI720901 VIK720901:VIM720901 UYO720901:UYQ720901 UOS720901:UOU720901 UEW720901:UEY720901 TVA720901:TVC720901 TLE720901:TLG720901 TBI720901:TBK720901 SRM720901:SRO720901 SHQ720901:SHS720901 RXU720901:RXW720901 RNY720901:ROA720901 REC720901:REE720901 QUG720901:QUI720901 QKK720901:QKM720901 QAO720901:QAQ720901 PQS720901:PQU720901 PGW720901:PGY720901 OXA720901:OXC720901 ONE720901:ONG720901 ODI720901:ODK720901 NTM720901:NTO720901 NJQ720901:NJS720901 MZU720901:MZW720901 MPY720901:MQA720901 MGC720901:MGE720901 LWG720901:LWI720901 LMK720901:LMM720901 LCO720901:LCQ720901 KSS720901:KSU720901 KIW720901:KIY720901 JZA720901:JZC720901 JPE720901:JPG720901 JFI720901:JFK720901 IVM720901:IVO720901 ILQ720901:ILS720901 IBU720901:IBW720901 HRY720901:HSA720901 HIC720901:HIE720901 GYG720901:GYI720901 GOK720901:GOM720901 GEO720901:GEQ720901 FUS720901:FUU720901 FKW720901:FKY720901 FBA720901:FBC720901 ERE720901:ERG720901 EHI720901:EHK720901 DXM720901:DXO720901 DNQ720901:DNS720901 DDU720901:DDW720901 CTY720901:CUA720901 CKC720901:CKE720901 CAG720901:CAI720901 BQK720901:BQM720901 BGO720901:BGQ720901 AWS720901:AWU720901 AMW720901:AMY720901 ADA720901:ADC720901 TE720901:TG720901 JI720901:JK720901 M720901:O720901 WVU655365:WVW655365 WLY655365:WMA655365 WCC655365:WCE655365 VSG655365:VSI655365 VIK655365:VIM655365 UYO655365:UYQ655365 UOS655365:UOU655365 UEW655365:UEY655365 TVA655365:TVC655365 TLE655365:TLG655365 TBI655365:TBK655365 SRM655365:SRO655365 SHQ655365:SHS655365 RXU655365:RXW655365 RNY655365:ROA655365 REC655365:REE655365 QUG655365:QUI655365 QKK655365:QKM655365 QAO655365:QAQ655365 PQS655365:PQU655365 PGW655365:PGY655365 OXA655365:OXC655365 ONE655365:ONG655365 ODI655365:ODK655365 NTM655365:NTO655365 NJQ655365:NJS655365 MZU655365:MZW655365 MPY655365:MQA655365 MGC655365:MGE655365 LWG655365:LWI655365 LMK655365:LMM655365 LCO655365:LCQ655365 KSS655365:KSU655365 KIW655365:KIY655365 JZA655365:JZC655365 JPE655365:JPG655365 JFI655365:JFK655365 IVM655365:IVO655365 ILQ655365:ILS655365 IBU655365:IBW655365 HRY655365:HSA655365 HIC655365:HIE655365 GYG655365:GYI655365 GOK655365:GOM655365 GEO655365:GEQ655365 FUS655365:FUU655365 FKW655365:FKY655365 FBA655365:FBC655365 ERE655365:ERG655365 EHI655365:EHK655365 DXM655365:DXO655365 DNQ655365:DNS655365 DDU655365:DDW655365 CTY655365:CUA655365 CKC655365:CKE655365 CAG655365:CAI655365 BQK655365:BQM655365 BGO655365:BGQ655365 AWS655365:AWU655365 AMW655365:AMY655365 ADA655365:ADC655365 TE655365:TG655365 JI655365:JK655365 M655365:O655365 WVU589829:WVW589829 WLY589829:WMA589829 WCC589829:WCE589829 VSG589829:VSI589829 VIK589829:VIM589829 UYO589829:UYQ589829 UOS589829:UOU589829 UEW589829:UEY589829 TVA589829:TVC589829 TLE589829:TLG589829 TBI589829:TBK589829 SRM589829:SRO589829 SHQ589829:SHS589829 RXU589829:RXW589829 RNY589829:ROA589829 REC589829:REE589829 QUG589829:QUI589829 QKK589829:QKM589829 QAO589829:QAQ589829 PQS589829:PQU589829 PGW589829:PGY589829 OXA589829:OXC589829 ONE589829:ONG589829 ODI589829:ODK589829 NTM589829:NTO589829 NJQ589829:NJS589829 MZU589829:MZW589829 MPY589829:MQA589829 MGC589829:MGE589829 LWG589829:LWI589829 LMK589829:LMM589829 LCO589829:LCQ589829 KSS589829:KSU589829 KIW589829:KIY589829 JZA589829:JZC589829 JPE589829:JPG589829 JFI589829:JFK589829 IVM589829:IVO589829 ILQ589829:ILS589829 IBU589829:IBW589829 HRY589829:HSA589829 HIC589829:HIE589829 GYG589829:GYI589829 GOK589829:GOM589829 GEO589829:GEQ589829 FUS589829:FUU589829 FKW589829:FKY589829 FBA589829:FBC589829 ERE589829:ERG589829 EHI589829:EHK589829 DXM589829:DXO589829 DNQ589829:DNS589829 DDU589829:DDW589829 CTY589829:CUA589829 CKC589829:CKE589829 CAG589829:CAI589829 BQK589829:BQM589829 BGO589829:BGQ589829 AWS589829:AWU589829 AMW589829:AMY589829 ADA589829:ADC589829 TE589829:TG589829 JI589829:JK589829 M589829:O589829 WVU524293:WVW524293 WLY524293:WMA524293 WCC524293:WCE524293 VSG524293:VSI524293 VIK524293:VIM524293 UYO524293:UYQ524293 UOS524293:UOU524293 UEW524293:UEY524293 TVA524293:TVC524293 TLE524293:TLG524293 TBI524293:TBK524293 SRM524293:SRO524293 SHQ524293:SHS524293 RXU524293:RXW524293 RNY524293:ROA524293 REC524293:REE524293 QUG524293:QUI524293 QKK524293:QKM524293 QAO524293:QAQ524293 PQS524293:PQU524293 PGW524293:PGY524293 OXA524293:OXC524293 ONE524293:ONG524293 ODI524293:ODK524293 NTM524293:NTO524293 NJQ524293:NJS524293 MZU524293:MZW524293 MPY524293:MQA524293 MGC524293:MGE524293 LWG524293:LWI524293 LMK524293:LMM524293 LCO524293:LCQ524293 KSS524293:KSU524293 KIW524293:KIY524293 JZA524293:JZC524293 JPE524293:JPG524293 JFI524293:JFK524293 IVM524293:IVO524293 ILQ524293:ILS524293 IBU524293:IBW524293 HRY524293:HSA524293 HIC524293:HIE524293 GYG524293:GYI524293 GOK524293:GOM524293 GEO524293:GEQ524293 FUS524293:FUU524293 FKW524293:FKY524293 FBA524293:FBC524293 ERE524293:ERG524293 EHI524293:EHK524293 DXM524293:DXO524293 DNQ524293:DNS524293 DDU524293:DDW524293 CTY524293:CUA524293 CKC524293:CKE524293 CAG524293:CAI524293 BQK524293:BQM524293 BGO524293:BGQ524293 AWS524293:AWU524293 AMW524293:AMY524293 ADA524293:ADC524293 TE524293:TG524293 JI524293:JK524293 M524293:O524293 WVU458757:WVW458757 WLY458757:WMA458757 WCC458757:WCE458757 VSG458757:VSI458757 VIK458757:VIM458757 UYO458757:UYQ458757 UOS458757:UOU458757 UEW458757:UEY458757 TVA458757:TVC458757 TLE458757:TLG458757 TBI458757:TBK458757 SRM458757:SRO458757 SHQ458757:SHS458757 RXU458757:RXW458757 RNY458757:ROA458757 REC458757:REE458757 QUG458757:QUI458757 QKK458757:QKM458757 QAO458757:QAQ458757 PQS458757:PQU458757 PGW458757:PGY458757 OXA458757:OXC458757 ONE458757:ONG458757 ODI458757:ODK458757 NTM458757:NTO458757 NJQ458757:NJS458757 MZU458757:MZW458757 MPY458757:MQA458757 MGC458757:MGE458757 LWG458757:LWI458757 LMK458757:LMM458757 LCO458757:LCQ458757 KSS458757:KSU458757 KIW458757:KIY458757 JZA458757:JZC458757 JPE458757:JPG458757 JFI458757:JFK458757 IVM458757:IVO458757 ILQ458757:ILS458757 IBU458757:IBW458757 HRY458757:HSA458757 HIC458757:HIE458757 GYG458757:GYI458757 GOK458757:GOM458757 GEO458757:GEQ458757 FUS458757:FUU458757 FKW458757:FKY458757 FBA458757:FBC458757 ERE458757:ERG458757 EHI458757:EHK458757 DXM458757:DXO458757 DNQ458757:DNS458757 DDU458757:DDW458757 CTY458757:CUA458757 CKC458757:CKE458757 CAG458757:CAI458757 BQK458757:BQM458757 BGO458757:BGQ458757 AWS458757:AWU458757 AMW458757:AMY458757 ADA458757:ADC458757 TE458757:TG458757 JI458757:JK458757 M458757:O458757 WVU393221:WVW393221 WLY393221:WMA393221 WCC393221:WCE393221 VSG393221:VSI393221 VIK393221:VIM393221 UYO393221:UYQ393221 UOS393221:UOU393221 UEW393221:UEY393221 TVA393221:TVC393221 TLE393221:TLG393221 TBI393221:TBK393221 SRM393221:SRO393221 SHQ393221:SHS393221 RXU393221:RXW393221 RNY393221:ROA393221 REC393221:REE393221 QUG393221:QUI393221 QKK393221:QKM393221 QAO393221:QAQ393221 PQS393221:PQU393221 PGW393221:PGY393221 OXA393221:OXC393221 ONE393221:ONG393221 ODI393221:ODK393221 NTM393221:NTO393221 NJQ393221:NJS393221 MZU393221:MZW393221 MPY393221:MQA393221 MGC393221:MGE393221 LWG393221:LWI393221 LMK393221:LMM393221 LCO393221:LCQ393221 KSS393221:KSU393221 KIW393221:KIY393221 JZA393221:JZC393221 JPE393221:JPG393221 JFI393221:JFK393221 IVM393221:IVO393221 ILQ393221:ILS393221 IBU393221:IBW393221 HRY393221:HSA393221 HIC393221:HIE393221 GYG393221:GYI393221 GOK393221:GOM393221 GEO393221:GEQ393221 FUS393221:FUU393221 FKW393221:FKY393221 FBA393221:FBC393221 ERE393221:ERG393221 EHI393221:EHK393221 DXM393221:DXO393221 DNQ393221:DNS393221 DDU393221:DDW393221 CTY393221:CUA393221 CKC393221:CKE393221 CAG393221:CAI393221 BQK393221:BQM393221 BGO393221:BGQ393221 AWS393221:AWU393221 AMW393221:AMY393221 ADA393221:ADC393221 TE393221:TG393221 JI393221:JK393221 M393221:O393221 WVU327685:WVW327685 WLY327685:WMA327685 WCC327685:WCE327685 VSG327685:VSI327685 VIK327685:VIM327685 UYO327685:UYQ327685 UOS327685:UOU327685 UEW327685:UEY327685 TVA327685:TVC327685 TLE327685:TLG327685 TBI327685:TBK327685 SRM327685:SRO327685 SHQ327685:SHS327685 RXU327685:RXW327685 RNY327685:ROA327685 REC327685:REE327685 QUG327685:QUI327685 QKK327685:QKM327685 QAO327685:QAQ327685 PQS327685:PQU327685 PGW327685:PGY327685 OXA327685:OXC327685 ONE327685:ONG327685 ODI327685:ODK327685 NTM327685:NTO327685 NJQ327685:NJS327685 MZU327685:MZW327685 MPY327685:MQA327685 MGC327685:MGE327685 LWG327685:LWI327685 LMK327685:LMM327685 LCO327685:LCQ327685 KSS327685:KSU327685 KIW327685:KIY327685 JZA327685:JZC327685 JPE327685:JPG327685 JFI327685:JFK327685 IVM327685:IVO327685 ILQ327685:ILS327685 IBU327685:IBW327685 HRY327685:HSA327685 HIC327685:HIE327685 GYG327685:GYI327685 GOK327685:GOM327685 GEO327685:GEQ327685 FUS327685:FUU327685 FKW327685:FKY327685 FBA327685:FBC327685 ERE327685:ERG327685 EHI327685:EHK327685 DXM327685:DXO327685 DNQ327685:DNS327685 DDU327685:DDW327685 CTY327685:CUA327685 CKC327685:CKE327685 CAG327685:CAI327685 BQK327685:BQM327685 BGO327685:BGQ327685 AWS327685:AWU327685 AMW327685:AMY327685 ADA327685:ADC327685 TE327685:TG327685 JI327685:JK327685 M327685:O327685 WVU262149:WVW262149 WLY262149:WMA262149 WCC262149:WCE262149 VSG262149:VSI262149 VIK262149:VIM262149 UYO262149:UYQ262149 UOS262149:UOU262149 UEW262149:UEY262149 TVA262149:TVC262149 TLE262149:TLG262149 TBI262149:TBK262149 SRM262149:SRO262149 SHQ262149:SHS262149 RXU262149:RXW262149 RNY262149:ROA262149 REC262149:REE262149 QUG262149:QUI262149 QKK262149:QKM262149 QAO262149:QAQ262149 PQS262149:PQU262149 PGW262149:PGY262149 OXA262149:OXC262149 ONE262149:ONG262149 ODI262149:ODK262149 NTM262149:NTO262149 NJQ262149:NJS262149 MZU262149:MZW262149 MPY262149:MQA262149 MGC262149:MGE262149 LWG262149:LWI262149 LMK262149:LMM262149 LCO262149:LCQ262149 KSS262149:KSU262149 KIW262149:KIY262149 JZA262149:JZC262149 JPE262149:JPG262149 JFI262149:JFK262149 IVM262149:IVO262149 ILQ262149:ILS262149 IBU262149:IBW262149 HRY262149:HSA262149 HIC262149:HIE262149 GYG262149:GYI262149 GOK262149:GOM262149 GEO262149:GEQ262149 FUS262149:FUU262149 FKW262149:FKY262149 FBA262149:FBC262149 ERE262149:ERG262149 EHI262149:EHK262149 DXM262149:DXO262149 DNQ262149:DNS262149 DDU262149:DDW262149 CTY262149:CUA262149 CKC262149:CKE262149 CAG262149:CAI262149 BQK262149:BQM262149 BGO262149:BGQ262149 AWS262149:AWU262149 AMW262149:AMY262149 ADA262149:ADC262149 TE262149:TG262149 JI262149:JK262149 M262149:O262149 WVU196613:WVW196613 WLY196613:WMA196613 WCC196613:WCE196613 VSG196613:VSI196613 VIK196613:VIM196613 UYO196613:UYQ196613 UOS196613:UOU196613 UEW196613:UEY196613 TVA196613:TVC196613 TLE196613:TLG196613 TBI196613:TBK196613 SRM196613:SRO196613 SHQ196613:SHS196613 RXU196613:RXW196613 RNY196613:ROA196613 REC196613:REE196613 QUG196613:QUI196613 QKK196613:QKM196613 QAO196613:QAQ196613 PQS196613:PQU196613 PGW196613:PGY196613 OXA196613:OXC196613 ONE196613:ONG196613 ODI196613:ODK196613 NTM196613:NTO196613 NJQ196613:NJS196613 MZU196613:MZW196613 MPY196613:MQA196613 MGC196613:MGE196613 LWG196613:LWI196613 LMK196613:LMM196613 LCO196613:LCQ196613 KSS196613:KSU196613 KIW196613:KIY196613 JZA196613:JZC196613 JPE196613:JPG196613 JFI196613:JFK196613 IVM196613:IVO196613 ILQ196613:ILS196613 IBU196613:IBW196613 HRY196613:HSA196613 HIC196613:HIE196613 GYG196613:GYI196613 GOK196613:GOM196613 GEO196613:GEQ196613 FUS196613:FUU196613 FKW196613:FKY196613 FBA196613:FBC196613 ERE196613:ERG196613 EHI196613:EHK196613 DXM196613:DXO196613 DNQ196613:DNS196613 DDU196613:DDW196613 CTY196613:CUA196613 CKC196613:CKE196613 CAG196613:CAI196613 BQK196613:BQM196613 BGO196613:BGQ196613 AWS196613:AWU196613 AMW196613:AMY196613 ADA196613:ADC196613 TE196613:TG196613 JI196613:JK196613 M196613:O196613 WVU131077:WVW131077 WLY131077:WMA131077 WCC131077:WCE131077 VSG131077:VSI131077 VIK131077:VIM131077 UYO131077:UYQ131077 UOS131077:UOU131077 UEW131077:UEY131077 TVA131077:TVC131077 TLE131077:TLG131077 TBI131077:TBK131077 SRM131077:SRO131077 SHQ131077:SHS131077 RXU131077:RXW131077 RNY131077:ROA131077 REC131077:REE131077 QUG131077:QUI131077 QKK131077:QKM131077 QAO131077:QAQ131077 PQS131077:PQU131077 PGW131077:PGY131077 OXA131077:OXC131077 ONE131077:ONG131077 ODI131077:ODK131077 NTM131077:NTO131077 NJQ131077:NJS131077 MZU131077:MZW131077 MPY131077:MQA131077 MGC131077:MGE131077 LWG131077:LWI131077 LMK131077:LMM131077 LCO131077:LCQ131077 KSS131077:KSU131077 KIW131077:KIY131077 JZA131077:JZC131077 JPE131077:JPG131077 JFI131077:JFK131077 IVM131077:IVO131077 ILQ131077:ILS131077 IBU131077:IBW131077 HRY131077:HSA131077 HIC131077:HIE131077 GYG131077:GYI131077 GOK131077:GOM131077 GEO131077:GEQ131077 FUS131077:FUU131077 FKW131077:FKY131077 FBA131077:FBC131077 ERE131077:ERG131077 EHI131077:EHK131077 DXM131077:DXO131077 DNQ131077:DNS131077 DDU131077:DDW131077 CTY131077:CUA131077 CKC131077:CKE131077 CAG131077:CAI131077 BQK131077:BQM131077 BGO131077:BGQ131077 AWS131077:AWU131077 AMW131077:AMY131077 ADA131077:ADC131077 TE131077:TG131077 JI131077:JK131077 M131077:O131077 WVU65541:WVW65541 WLY65541:WMA65541 WCC65541:WCE65541 VSG65541:VSI65541 VIK65541:VIM65541 UYO65541:UYQ65541 UOS65541:UOU65541 UEW65541:UEY65541 TVA65541:TVC65541 TLE65541:TLG65541 TBI65541:TBK65541 SRM65541:SRO65541 SHQ65541:SHS65541 RXU65541:RXW65541 RNY65541:ROA65541 REC65541:REE65541 QUG65541:QUI65541 QKK65541:QKM65541 QAO65541:QAQ65541 PQS65541:PQU65541 PGW65541:PGY65541 OXA65541:OXC65541 ONE65541:ONG65541 ODI65541:ODK65541 NTM65541:NTO65541 NJQ65541:NJS65541 MZU65541:MZW65541 MPY65541:MQA65541 MGC65541:MGE65541 LWG65541:LWI65541 LMK65541:LMM65541 LCO65541:LCQ65541 KSS65541:KSU65541 KIW65541:KIY65541 JZA65541:JZC65541 JPE65541:JPG65541 JFI65541:JFK65541 IVM65541:IVO65541 ILQ65541:ILS65541 IBU65541:IBW65541 HRY65541:HSA65541 HIC65541:HIE65541 GYG65541:GYI65541 GOK65541:GOM65541 GEO65541:GEQ65541 FUS65541:FUU65541 FKW65541:FKY65541 FBA65541:FBC65541 ERE65541:ERG65541 EHI65541:EHK65541 DXM65541:DXO65541 DNQ65541:DNS65541 DDU65541:DDW65541 CTY65541:CUA65541 CKC65541:CKE65541 CAG65541:CAI65541 BQK65541:BQM65541 BGO65541:BGQ65541 AWS65541:AWU65541 AMW65541:AMY65541 ADA65541:ADC65541 TE65541:TG65541 JI65541:JK65541 M65541:O65541 WVU5:WVW5 WLY5:WMA5 WCC5:WCE5 VSG5:VSI5 VIK5:VIM5 UYO5:UYQ5 UOS5:UOU5 UEW5:UEY5 TVA5:TVC5 TLE5:TLG5 TBI5:TBK5 SRM5:SRO5 SHQ5:SHS5 RXU5:RXW5 RNY5:ROA5 REC5:REE5 QUG5:QUI5 QKK5:QKM5 QAO5:QAQ5 PQS5:PQU5 PGW5:PGY5 OXA5:OXC5 ONE5:ONG5 ODI5:ODK5 NTM5:NTO5 NJQ5:NJS5 MZU5:MZW5 MPY5:MQA5 MGC5:MGE5 LWG5:LWI5 LMK5:LMM5 LCO5:LCQ5 KSS5:KSU5 KIW5:KIY5 JZA5:JZC5 JPE5:JPG5 JFI5:JFK5 IVM5:IVO5 ILQ5:ILS5 IBU5:IBW5 HRY5:HSA5 HIC5:HIE5 GYG5:GYI5 GOK5:GOM5 GEO5:GEQ5 FUS5:FUU5 FKW5:FKY5 FBA5:FBC5 ERE5:ERG5 EHI5:EHK5 DXM5:DXO5 DNQ5:DNS5 DDU5:DDW5 CTY5:CUA5 CKC5:CKE5 CAG5:CAI5 BQK5:BQM5 BGO5:BGQ5 AWS5:AWU5 AMW5:AMY5 ADA5:ADC5 TE5:TG5" xr:uid="{00000000-0002-0000-0400-000005000000}">
      <formula1>$N$10:$N$23</formula1>
    </dataValidation>
  </dataValidations>
  <printOptions horizontalCentered="1"/>
  <pageMargins left="0.78694444894790649" right="0.59041666984558105" top="0.78694444894790649" bottom="0.74750000238418579" header="0.51138889789581299" footer="0.51138889789581299"/>
  <pageSetup paperSize="9" scale="75" orientation="portrait" blackAndWhite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B247"/>
  <sheetViews>
    <sheetView showGridLines="0" zoomScale="85" zoomScaleNormal="85" zoomScaleSheetLayoutView="75" workbookViewId="0">
      <selection activeCell="J5" sqref="J5"/>
    </sheetView>
  </sheetViews>
  <sheetFormatPr defaultColWidth="8.88671875" defaultRowHeight="13.5" x14ac:dyDescent="0.15"/>
  <cols>
    <col min="1" max="1" width="13.44140625" style="19" customWidth="1"/>
    <col min="2" max="2" width="12.21875" style="19" customWidth="1"/>
    <col min="3" max="3" width="6.44140625" style="19" customWidth="1"/>
    <col min="4" max="4" width="7.21875" style="19" customWidth="1"/>
    <col min="5" max="5" width="8" style="19" bestFit="1" customWidth="1"/>
    <col min="6" max="6" width="13.33203125" style="19" customWidth="1"/>
    <col min="7" max="7" width="6.109375" style="19" customWidth="1"/>
    <col min="8" max="8" width="11.88671875" style="19" customWidth="1"/>
    <col min="9" max="9" width="5.88671875" style="19" customWidth="1"/>
    <col min="10" max="10" width="6.33203125" style="19" customWidth="1"/>
    <col min="11" max="11" width="5.88671875" style="19" customWidth="1"/>
    <col min="12" max="12" width="4.77734375" style="19" customWidth="1"/>
    <col min="13" max="13" width="7.5546875" style="19" customWidth="1"/>
    <col min="14" max="15" width="5.77734375" style="19" customWidth="1"/>
    <col min="16" max="16" width="9.44140625" style="19" customWidth="1"/>
    <col min="17" max="17" width="5" style="19" customWidth="1"/>
    <col min="18" max="18" width="4.88671875" style="19" customWidth="1"/>
    <col min="19" max="19" width="1.6640625" style="65" customWidth="1"/>
    <col min="20" max="20" width="17.21875" style="19" customWidth="1"/>
    <col min="21" max="21" width="10.44140625" style="19" customWidth="1"/>
    <col min="22" max="22" width="17.5546875" style="19" customWidth="1"/>
    <col min="23" max="23" width="19.21875" style="19" customWidth="1"/>
    <col min="24" max="24" width="8.5546875" style="19" customWidth="1"/>
    <col min="25" max="27" width="8.88671875" style="19" customWidth="1"/>
    <col min="28" max="16384" width="8.88671875" style="19"/>
  </cols>
  <sheetData>
    <row r="1" spans="1:26" x14ac:dyDescent="0.15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</row>
    <row r="2" spans="1:26" ht="16.5" customHeight="1" x14ac:dyDescent="0.15">
      <c r="A2" s="810" t="s">
        <v>133</v>
      </c>
      <c r="B2" s="810" t="s">
        <v>518</v>
      </c>
      <c r="C2" s="810" t="s">
        <v>150</v>
      </c>
      <c r="D2" s="810" t="s">
        <v>397</v>
      </c>
      <c r="E2" s="810" t="s">
        <v>404</v>
      </c>
      <c r="F2" s="810" t="s">
        <v>492</v>
      </c>
      <c r="G2" s="810" t="s">
        <v>151</v>
      </c>
      <c r="H2" s="819" t="s">
        <v>456</v>
      </c>
      <c r="I2" s="818" t="s">
        <v>44</v>
      </c>
      <c r="J2" s="818"/>
      <c r="K2" s="818"/>
      <c r="L2" s="818"/>
      <c r="M2" s="818" t="s">
        <v>462</v>
      </c>
      <c r="N2" s="818"/>
      <c r="O2" s="818"/>
      <c r="P2" s="818"/>
      <c r="Q2" s="818"/>
      <c r="R2" s="818"/>
      <c r="T2" s="817" t="s">
        <v>127</v>
      </c>
      <c r="U2" s="817" t="s">
        <v>123</v>
      </c>
      <c r="V2" s="817"/>
      <c r="W2" s="817" t="s">
        <v>124</v>
      </c>
    </row>
    <row r="3" spans="1:26" ht="63.75" customHeight="1" x14ac:dyDescent="0.15">
      <c r="A3" s="811"/>
      <c r="B3" s="811"/>
      <c r="C3" s="811"/>
      <c r="D3" s="811"/>
      <c r="E3" s="811"/>
      <c r="F3" s="811"/>
      <c r="G3" s="811"/>
      <c r="H3" s="820"/>
      <c r="I3" s="150" t="s">
        <v>352</v>
      </c>
      <c r="J3" s="150" t="s">
        <v>259</v>
      </c>
      <c r="K3" s="150" t="s">
        <v>260</v>
      </c>
      <c r="L3" s="150" t="s">
        <v>299</v>
      </c>
      <c r="M3" s="150" t="s">
        <v>40</v>
      </c>
      <c r="N3" s="150" t="s">
        <v>389</v>
      </c>
      <c r="O3" s="150" t="s">
        <v>459</v>
      </c>
      <c r="P3" s="150" t="s">
        <v>41</v>
      </c>
      <c r="Q3" s="150" t="s">
        <v>389</v>
      </c>
      <c r="R3" s="150" t="s">
        <v>459</v>
      </c>
      <c r="T3" s="817"/>
      <c r="U3" s="102" t="s">
        <v>40</v>
      </c>
      <c r="V3" s="102" t="s">
        <v>41</v>
      </c>
      <c r="W3" s="817"/>
    </row>
    <row r="4" spans="1:26" ht="13.5" customHeight="1" x14ac:dyDescent="0.15">
      <c r="A4" s="103"/>
      <c r="B4" s="103"/>
      <c r="C4" s="103"/>
      <c r="D4" s="103"/>
      <c r="E4" s="103"/>
      <c r="F4" s="103"/>
      <c r="G4" s="103"/>
      <c r="H4" s="103"/>
      <c r="I4" s="102"/>
      <c r="J4" s="102"/>
      <c r="K4" s="102"/>
      <c r="L4" s="166"/>
      <c r="M4" s="25">
        <v>0</v>
      </c>
      <c r="N4" s="25">
        <v>0</v>
      </c>
      <c r="O4" s="25"/>
      <c r="P4" s="166">
        <v>0</v>
      </c>
      <c r="Q4" s="166"/>
      <c r="R4" s="166">
        <v>0</v>
      </c>
      <c r="T4" s="102"/>
      <c r="U4" s="102"/>
      <c r="V4" s="102"/>
      <c r="W4" s="102"/>
    </row>
    <row r="5" spans="1:26" ht="14.25" x14ac:dyDescent="0.15">
      <c r="A5" s="20" t="s">
        <v>125</v>
      </c>
      <c r="B5" s="20" t="s">
        <v>125</v>
      </c>
      <c r="C5" s="24" t="s">
        <v>126</v>
      </c>
      <c r="D5" s="24" t="s">
        <v>149</v>
      </c>
      <c r="E5" s="20" t="s">
        <v>149</v>
      </c>
      <c r="F5" s="20" t="s">
        <v>392</v>
      </c>
      <c r="G5" s="22"/>
      <c r="H5" s="172">
        <f>IF(개요!$C$4=2017,43160,42795)</f>
        <v>42795</v>
      </c>
      <c r="I5" s="272">
        <v>0.1</v>
      </c>
      <c r="J5" s="274">
        <v>0.1</v>
      </c>
      <c r="K5" s="23">
        <v>0.1</v>
      </c>
      <c r="L5" s="23">
        <v>0.1</v>
      </c>
      <c r="M5" s="22" t="s">
        <v>43</v>
      </c>
      <c r="N5" s="22">
        <v>0.5</v>
      </c>
      <c r="O5" s="49">
        <v>3</v>
      </c>
      <c r="P5" s="22" t="s">
        <v>66</v>
      </c>
      <c r="Q5" s="22">
        <v>1</v>
      </c>
      <c r="R5" s="22">
        <v>3</v>
      </c>
      <c r="T5" s="22" t="s">
        <v>80</v>
      </c>
      <c r="U5" s="22"/>
      <c r="V5" s="22" t="s">
        <v>6</v>
      </c>
      <c r="W5" s="22" t="s">
        <v>7</v>
      </c>
    </row>
    <row r="6" spans="1:26" ht="14.25" x14ac:dyDescent="0.15">
      <c r="A6" s="20" t="s">
        <v>179</v>
      </c>
      <c r="B6" s="20" t="s">
        <v>179</v>
      </c>
      <c r="C6" s="24" t="s">
        <v>181</v>
      </c>
      <c r="D6" s="24" t="s">
        <v>149</v>
      </c>
      <c r="E6" s="20" t="s">
        <v>149</v>
      </c>
      <c r="F6" s="20" t="s">
        <v>501</v>
      </c>
      <c r="G6" s="22"/>
      <c r="H6" s="172">
        <f>IF(개요!$C$4=2017,43160,42795)</f>
        <v>42795</v>
      </c>
      <c r="I6" s="272">
        <v>0.1</v>
      </c>
      <c r="J6" s="274">
        <v>0.1</v>
      </c>
      <c r="K6" s="23">
        <v>0.1</v>
      </c>
      <c r="L6" s="23">
        <v>0.1</v>
      </c>
      <c r="M6" s="22" t="s">
        <v>43</v>
      </c>
      <c r="N6" s="22">
        <v>0.5</v>
      </c>
      <c r="O6" s="49">
        <v>3</v>
      </c>
      <c r="P6" s="22" t="s">
        <v>66</v>
      </c>
      <c r="Q6" s="22">
        <v>1</v>
      </c>
      <c r="R6" s="22">
        <v>3</v>
      </c>
      <c r="T6" s="22" t="s">
        <v>73</v>
      </c>
      <c r="U6" s="22" t="s">
        <v>6</v>
      </c>
      <c r="V6" s="22" t="s">
        <v>6</v>
      </c>
      <c r="W6" s="22" t="s">
        <v>7</v>
      </c>
      <c r="X6" s="163"/>
      <c r="Y6" s="20" t="s">
        <v>125</v>
      </c>
      <c r="Z6" s="20" t="s">
        <v>149</v>
      </c>
    </row>
    <row r="7" spans="1:26" ht="14.25" x14ac:dyDescent="0.15">
      <c r="A7" s="20" t="s">
        <v>177</v>
      </c>
      <c r="B7" s="20" t="s">
        <v>177</v>
      </c>
      <c r="C7" s="24" t="s">
        <v>181</v>
      </c>
      <c r="D7" s="24" t="s">
        <v>149</v>
      </c>
      <c r="E7" s="20" t="s">
        <v>149</v>
      </c>
      <c r="F7" s="20" t="s">
        <v>445</v>
      </c>
      <c r="G7" s="22"/>
      <c r="H7" s="172">
        <f>IF(개요!$C$4=2017,43160,42795)</f>
        <v>42795</v>
      </c>
      <c r="I7" s="272">
        <v>0.1</v>
      </c>
      <c r="J7" s="274">
        <v>0.1</v>
      </c>
      <c r="K7" s="23">
        <v>0.1</v>
      </c>
      <c r="L7" s="23">
        <v>0.1</v>
      </c>
      <c r="M7" s="22" t="s">
        <v>43</v>
      </c>
      <c r="N7" s="22">
        <v>0.5</v>
      </c>
      <c r="O7" s="49">
        <v>3</v>
      </c>
      <c r="P7" s="22" t="s">
        <v>66</v>
      </c>
      <c r="Q7" s="22">
        <v>1</v>
      </c>
      <c r="R7" s="22">
        <v>3</v>
      </c>
      <c r="T7" s="22" t="s">
        <v>68</v>
      </c>
      <c r="U7" s="22"/>
      <c r="V7" s="22" t="s">
        <v>6</v>
      </c>
      <c r="W7" s="22" t="s">
        <v>7</v>
      </c>
      <c r="X7" s="163"/>
      <c r="Y7" s="20" t="s">
        <v>179</v>
      </c>
      <c r="Z7" s="20" t="s">
        <v>149</v>
      </c>
    </row>
    <row r="8" spans="1:26" ht="14.25" x14ac:dyDescent="0.15">
      <c r="A8" s="20" t="s">
        <v>102</v>
      </c>
      <c r="B8" s="20" t="s">
        <v>102</v>
      </c>
      <c r="C8" s="24" t="s">
        <v>181</v>
      </c>
      <c r="D8" s="24" t="s">
        <v>149</v>
      </c>
      <c r="E8" s="20" t="s">
        <v>149</v>
      </c>
      <c r="F8" s="20" t="s">
        <v>474</v>
      </c>
      <c r="G8" s="22" t="s">
        <v>151</v>
      </c>
      <c r="H8" s="172">
        <f>IF(개요!$C$4=2017,43160,42795)</f>
        <v>42795</v>
      </c>
      <c r="I8" s="49"/>
      <c r="J8" s="49"/>
      <c r="K8" s="22"/>
      <c r="L8" s="167"/>
      <c r="M8" s="22" t="s">
        <v>69</v>
      </c>
      <c r="N8" s="22">
        <v>0</v>
      </c>
      <c r="O8" s="22">
        <v>0</v>
      </c>
      <c r="P8" s="22" t="s">
        <v>69</v>
      </c>
      <c r="Q8" s="22">
        <v>0</v>
      </c>
      <c r="R8" s="22">
        <v>0</v>
      </c>
      <c r="T8" s="22" t="s">
        <v>70</v>
      </c>
      <c r="U8" s="22"/>
      <c r="V8" s="22" t="s">
        <v>6</v>
      </c>
      <c r="W8" s="22" t="s">
        <v>7</v>
      </c>
      <c r="X8" s="163"/>
      <c r="Y8" s="20" t="s">
        <v>177</v>
      </c>
      <c r="Z8" s="20" t="s">
        <v>149</v>
      </c>
    </row>
    <row r="9" spans="1:26" ht="14.25" x14ac:dyDescent="0.15">
      <c r="A9" s="20" t="s">
        <v>183</v>
      </c>
      <c r="B9" s="20" t="s">
        <v>183</v>
      </c>
      <c r="C9" s="24" t="s">
        <v>158</v>
      </c>
      <c r="D9" s="24" t="s">
        <v>149</v>
      </c>
      <c r="E9" s="20" t="s">
        <v>149</v>
      </c>
      <c r="F9" s="20" t="s">
        <v>423</v>
      </c>
      <c r="G9" s="22" t="s">
        <v>151</v>
      </c>
      <c r="H9" s="172">
        <f>IF(개요!$C$4=2017,43160,42795)</f>
        <v>42795</v>
      </c>
      <c r="I9" s="49"/>
      <c r="J9" s="49"/>
      <c r="K9" s="22"/>
      <c r="L9" s="167"/>
      <c r="M9" s="22" t="s">
        <v>69</v>
      </c>
      <c r="N9" s="22">
        <v>0</v>
      </c>
      <c r="O9" s="22">
        <v>0</v>
      </c>
      <c r="P9" s="22" t="s">
        <v>69</v>
      </c>
      <c r="Q9" s="22">
        <v>0</v>
      </c>
      <c r="R9" s="22">
        <v>0</v>
      </c>
      <c r="T9" s="22" t="s">
        <v>86</v>
      </c>
      <c r="U9" s="22"/>
      <c r="V9" s="22" t="s">
        <v>6</v>
      </c>
      <c r="W9" s="22" t="s">
        <v>7</v>
      </c>
      <c r="X9" s="163"/>
      <c r="Y9" s="20" t="s">
        <v>102</v>
      </c>
      <c r="Z9" s="20" t="s">
        <v>149</v>
      </c>
    </row>
    <row r="10" spans="1:26" ht="14.25" x14ac:dyDescent="0.15">
      <c r="A10" s="20" t="s">
        <v>167</v>
      </c>
      <c r="B10" s="20" t="s">
        <v>167</v>
      </c>
      <c r="C10" s="24" t="s">
        <v>158</v>
      </c>
      <c r="D10" s="24" t="s">
        <v>155</v>
      </c>
      <c r="E10" s="20" t="s">
        <v>155</v>
      </c>
      <c r="F10" s="20" t="s">
        <v>479</v>
      </c>
      <c r="G10" s="22" t="s">
        <v>151</v>
      </c>
      <c r="H10" s="172">
        <f>IF(개요!$C$4=2017,43160,42795)</f>
        <v>42795</v>
      </c>
      <c r="I10" s="49"/>
      <c r="J10" s="49"/>
      <c r="K10" s="23">
        <v>0.1</v>
      </c>
      <c r="L10" s="23">
        <v>0.1</v>
      </c>
      <c r="M10" s="22" t="s">
        <v>69</v>
      </c>
      <c r="N10" s="22">
        <v>0</v>
      </c>
      <c r="O10" s="22">
        <v>0</v>
      </c>
      <c r="P10" s="22" t="s">
        <v>69</v>
      </c>
      <c r="Q10" s="22">
        <v>0</v>
      </c>
      <c r="R10" s="22">
        <v>0</v>
      </c>
      <c r="T10" s="22" t="s">
        <v>10</v>
      </c>
      <c r="U10" s="22"/>
      <c r="V10" s="22" t="s">
        <v>6</v>
      </c>
      <c r="W10" s="22" t="s">
        <v>7</v>
      </c>
      <c r="X10" s="163"/>
      <c r="Y10" s="20" t="s">
        <v>183</v>
      </c>
      <c r="Z10" s="20" t="s">
        <v>149</v>
      </c>
    </row>
    <row r="11" spans="1:26" ht="14.25" x14ac:dyDescent="0.15">
      <c r="A11" s="20" t="s">
        <v>170</v>
      </c>
      <c r="B11" s="20" t="s">
        <v>170</v>
      </c>
      <c r="C11" s="24" t="s">
        <v>165</v>
      </c>
      <c r="D11" s="24" t="s">
        <v>155</v>
      </c>
      <c r="E11" s="20" t="s">
        <v>155</v>
      </c>
      <c r="F11" s="20" t="s">
        <v>427</v>
      </c>
      <c r="G11" s="22" t="s">
        <v>182</v>
      </c>
      <c r="H11" s="172">
        <f>IF(개요!$C$4=2017,43160,42795)</f>
        <v>42795</v>
      </c>
      <c r="I11" s="49"/>
      <c r="J11" s="49"/>
      <c r="K11" s="23">
        <v>0.3</v>
      </c>
      <c r="L11" s="23">
        <v>0.3</v>
      </c>
      <c r="M11" s="22" t="s">
        <v>69</v>
      </c>
      <c r="N11" s="22">
        <v>0</v>
      </c>
      <c r="O11" s="22">
        <v>0</v>
      </c>
      <c r="P11" s="22" t="s">
        <v>69</v>
      </c>
      <c r="Q11" s="22">
        <v>0</v>
      </c>
      <c r="R11" s="22">
        <v>0</v>
      </c>
      <c r="T11" s="22" t="s">
        <v>87</v>
      </c>
      <c r="U11" s="22" t="s">
        <v>221</v>
      </c>
      <c r="V11" s="22" t="s">
        <v>554</v>
      </c>
      <c r="W11" s="22"/>
      <c r="X11" s="163"/>
      <c r="Y11" s="20" t="s">
        <v>154</v>
      </c>
      <c r="Z11" s="20" t="s">
        <v>149</v>
      </c>
    </row>
    <row r="12" spans="1:26" ht="14.25" x14ac:dyDescent="0.15">
      <c r="A12" s="20" t="s">
        <v>21</v>
      </c>
      <c r="B12" s="20" t="s">
        <v>21</v>
      </c>
      <c r="C12" s="24" t="s">
        <v>165</v>
      </c>
      <c r="D12" s="24" t="s">
        <v>173</v>
      </c>
      <c r="E12" s="20" t="s">
        <v>173</v>
      </c>
      <c r="F12" s="20" t="s">
        <v>576</v>
      </c>
      <c r="G12" s="22" t="s">
        <v>169</v>
      </c>
      <c r="H12" s="172">
        <f>IF(개요!$C$4=2017,43160,42795)</f>
        <v>42795</v>
      </c>
      <c r="I12" s="49"/>
      <c r="J12" s="49"/>
      <c r="K12" s="23">
        <v>0.6</v>
      </c>
      <c r="L12" s="23">
        <v>0.6</v>
      </c>
      <c r="M12" s="22" t="s">
        <v>69</v>
      </c>
      <c r="N12" s="22">
        <v>0</v>
      </c>
      <c r="O12" s="22">
        <v>0</v>
      </c>
      <c r="P12" s="22" t="s">
        <v>69</v>
      </c>
      <c r="Q12" s="22">
        <v>0</v>
      </c>
      <c r="R12" s="22">
        <v>0</v>
      </c>
      <c r="T12" s="22" t="s">
        <v>446</v>
      </c>
      <c r="U12" s="22"/>
      <c r="V12" s="22" t="s">
        <v>221</v>
      </c>
      <c r="W12" s="22" t="s">
        <v>7</v>
      </c>
      <c r="X12" s="164"/>
      <c r="Y12" s="21" t="s">
        <v>184</v>
      </c>
      <c r="Z12" s="21" t="s">
        <v>149</v>
      </c>
    </row>
    <row r="13" spans="1:26" ht="14.25" x14ac:dyDescent="0.15">
      <c r="A13" s="20" t="s">
        <v>178</v>
      </c>
      <c r="B13" s="20" t="s">
        <v>178</v>
      </c>
      <c r="C13" s="24" t="s">
        <v>165</v>
      </c>
      <c r="D13" s="24" t="s">
        <v>155</v>
      </c>
      <c r="E13" s="20" t="s">
        <v>155</v>
      </c>
      <c r="F13" s="20" t="s">
        <v>426</v>
      </c>
      <c r="G13" s="22" t="s">
        <v>182</v>
      </c>
      <c r="H13" s="172">
        <f>IF(개요!$C$4=2017,43160,42795)</f>
        <v>42795</v>
      </c>
      <c r="I13" s="49"/>
      <c r="J13" s="49"/>
      <c r="K13" s="23">
        <v>0.3</v>
      </c>
      <c r="L13" s="23">
        <v>0.3</v>
      </c>
      <c r="M13" s="22" t="s">
        <v>69</v>
      </c>
      <c r="N13" s="22">
        <v>0</v>
      </c>
      <c r="O13" s="22">
        <v>0</v>
      </c>
      <c r="P13" s="22" t="s">
        <v>69</v>
      </c>
      <c r="Q13" s="22">
        <v>0</v>
      </c>
      <c r="R13" s="22">
        <v>0</v>
      </c>
      <c r="T13" s="22"/>
      <c r="U13" s="22"/>
      <c r="V13" s="22"/>
      <c r="W13" s="22"/>
      <c r="X13" s="163"/>
      <c r="Y13" s="20" t="s">
        <v>162</v>
      </c>
      <c r="Z13" s="20" t="s">
        <v>149</v>
      </c>
    </row>
    <row r="14" spans="1:26" ht="14.25" x14ac:dyDescent="0.15">
      <c r="A14" s="20" t="s">
        <v>180</v>
      </c>
      <c r="B14" s="21" t="s">
        <v>180</v>
      </c>
      <c r="C14" s="24" t="s">
        <v>165</v>
      </c>
      <c r="D14" s="24" t="s">
        <v>155</v>
      </c>
      <c r="E14" s="20" t="s">
        <v>155</v>
      </c>
      <c r="F14" s="20" t="s">
        <v>413</v>
      </c>
      <c r="G14" s="22" t="s">
        <v>182</v>
      </c>
      <c r="H14" s="172">
        <f>IF(개요!$C$4=2017,43160,42795)</f>
        <v>42795</v>
      </c>
      <c r="I14" s="49"/>
      <c r="J14" s="49"/>
      <c r="K14" s="23">
        <v>0.3</v>
      </c>
      <c r="L14" s="23">
        <v>0.3</v>
      </c>
      <c r="M14" s="22" t="s">
        <v>69</v>
      </c>
      <c r="N14" s="22">
        <v>0</v>
      </c>
      <c r="O14" s="22">
        <v>0</v>
      </c>
      <c r="P14" s="22" t="s">
        <v>69</v>
      </c>
      <c r="Q14" s="22">
        <v>0</v>
      </c>
      <c r="R14" s="22">
        <v>0</v>
      </c>
      <c r="T14" s="22"/>
      <c r="U14" s="22"/>
      <c r="V14" s="22"/>
      <c r="W14" s="22"/>
      <c r="X14" s="163"/>
      <c r="Y14" s="20" t="s">
        <v>153</v>
      </c>
      <c r="Z14" s="20" t="s">
        <v>149</v>
      </c>
    </row>
    <row r="15" spans="1:26" ht="14.25" x14ac:dyDescent="0.15">
      <c r="A15" s="20" t="s">
        <v>154</v>
      </c>
      <c r="B15" s="20" t="s">
        <v>154</v>
      </c>
      <c r="C15" s="24" t="s">
        <v>181</v>
      </c>
      <c r="D15" s="256" t="s">
        <v>149</v>
      </c>
      <c r="E15" s="20" t="s">
        <v>149</v>
      </c>
      <c r="F15" s="20" t="s">
        <v>472</v>
      </c>
      <c r="G15" s="22"/>
      <c r="H15" s="172">
        <f>IF(개요!$C$4=2017,43160,42795)</f>
        <v>42795</v>
      </c>
      <c r="I15" s="272">
        <v>0.1</v>
      </c>
      <c r="J15" s="274">
        <v>0.1</v>
      </c>
      <c r="K15" s="23">
        <v>0.1</v>
      </c>
      <c r="L15" s="23">
        <v>0.1</v>
      </c>
      <c r="M15" s="22" t="s">
        <v>43</v>
      </c>
      <c r="N15" s="22">
        <v>0.5</v>
      </c>
      <c r="O15" s="49">
        <v>3</v>
      </c>
      <c r="P15" s="22" t="s">
        <v>66</v>
      </c>
      <c r="Q15" s="22">
        <v>1</v>
      </c>
      <c r="R15" s="22">
        <v>3</v>
      </c>
      <c r="X15" s="163"/>
      <c r="Y15" s="20" t="s">
        <v>174</v>
      </c>
      <c r="Z15" s="20" t="s">
        <v>149</v>
      </c>
    </row>
    <row r="16" spans="1:26" ht="14.25" x14ac:dyDescent="0.15">
      <c r="A16" s="20" t="s">
        <v>175</v>
      </c>
      <c r="B16" s="20" t="s">
        <v>175</v>
      </c>
      <c r="C16" s="24" t="s">
        <v>158</v>
      </c>
      <c r="D16" s="24" t="s">
        <v>155</v>
      </c>
      <c r="E16" s="20" t="s">
        <v>155</v>
      </c>
      <c r="F16" s="20" t="s">
        <v>417</v>
      </c>
      <c r="G16" s="22" t="s">
        <v>151</v>
      </c>
      <c r="H16" s="172">
        <f>IF(개요!$C$4=2017,43160,42795)</f>
        <v>42795</v>
      </c>
      <c r="I16" s="49"/>
      <c r="J16" s="49"/>
      <c r="K16" s="23">
        <v>0.1</v>
      </c>
      <c r="L16" s="23">
        <v>0.1</v>
      </c>
      <c r="M16" s="22" t="s">
        <v>69</v>
      </c>
      <c r="N16" s="22">
        <v>0</v>
      </c>
      <c r="O16" s="22">
        <v>0</v>
      </c>
      <c r="P16" s="22" t="s">
        <v>69</v>
      </c>
      <c r="Q16" s="22">
        <v>0</v>
      </c>
      <c r="R16" s="22">
        <v>0</v>
      </c>
      <c r="X16" s="163"/>
      <c r="Y16" s="20" t="s">
        <v>172</v>
      </c>
      <c r="Z16" s="20" t="s">
        <v>149</v>
      </c>
    </row>
    <row r="17" spans="1:26" ht="14.25" x14ac:dyDescent="0.15">
      <c r="A17" s="21" t="s">
        <v>184</v>
      </c>
      <c r="B17" s="20" t="s">
        <v>184</v>
      </c>
      <c r="C17" s="24" t="s">
        <v>126</v>
      </c>
      <c r="D17" s="24" t="s">
        <v>149</v>
      </c>
      <c r="E17" s="21" t="s">
        <v>149</v>
      </c>
      <c r="F17" s="20" t="s">
        <v>493</v>
      </c>
      <c r="G17" s="22"/>
      <c r="H17" s="172">
        <f>IF(개요!$C$4=2017,43160,42795)</f>
        <v>42795</v>
      </c>
      <c r="I17" s="272">
        <v>0.1</v>
      </c>
      <c r="J17" s="274">
        <v>0.1</v>
      </c>
      <c r="K17" s="23">
        <v>0.1</v>
      </c>
      <c r="L17" s="23">
        <v>0.1</v>
      </c>
      <c r="M17" s="22" t="s">
        <v>43</v>
      </c>
      <c r="N17" s="22">
        <v>0.5</v>
      </c>
      <c r="O17" s="49">
        <v>3</v>
      </c>
      <c r="P17" s="22" t="s">
        <v>66</v>
      </c>
      <c r="Q17" s="22">
        <v>1</v>
      </c>
      <c r="R17" s="22">
        <v>3</v>
      </c>
      <c r="T17" s="102" t="s">
        <v>127</v>
      </c>
      <c r="U17" s="102" t="s">
        <v>75</v>
      </c>
      <c r="V17" s="102" t="s">
        <v>40</v>
      </c>
      <c r="W17" s="102" t="s">
        <v>41</v>
      </c>
      <c r="X17" s="163"/>
      <c r="Y17" s="20" t="s">
        <v>156</v>
      </c>
      <c r="Z17" s="20" t="s">
        <v>149</v>
      </c>
    </row>
    <row r="18" spans="1:26" ht="14.25" x14ac:dyDescent="0.15">
      <c r="A18" s="20" t="s">
        <v>162</v>
      </c>
      <c r="B18" s="20" t="s">
        <v>162</v>
      </c>
      <c r="C18" s="24" t="s">
        <v>126</v>
      </c>
      <c r="D18" s="263" t="s">
        <v>155</v>
      </c>
      <c r="E18" s="20" t="s">
        <v>155</v>
      </c>
      <c r="F18" s="20" t="s">
        <v>480</v>
      </c>
      <c r="G18" s="22"/>
      <c r="H18" s="172">
        <f>IF(개요!$C$4=2017,43160,42795)</f>
        <v>42795</v>
      </c>
      <c r="I18" s="272">
        <v>0.1</v>
      </c>
      <c r="J18" s="275">
        <v>0.2</v>
      </c>
      <c r="K18" s="23">
        <v>0.1</v>
      </c>
      <c r="L18" s="23">
        <v>0.2</v>
      </c>
      <c r="M18" s="22" t="s">
        <v>43</v>
      </c>
      <c r="N18" s="22">
        <v>0.5</v>
      </c>
      <c r="O18" s="49">
        <v>3</v>
      </c>
      <c r="P18" s="22" t="s">
        <v>66</v>
      </c>
      <c r="Q18" s="22">
        <v>1</v>
      </c>
      <c r="R18" s="22">
        <v>3</v>
      </c>
      <c r="T18" s="821" t="s">
        <v>71</v>
      </c>
      <c r="U18" s="22" t="s">
        <v>9</v>
      </c>
      <c r="V18" s="22" t="s">
        <v>247</v>
      </c>
      <c r="W18" s="22" t="s">
        <v>337</v>
      </c>
      <c r="X18" s="163"/>
      <c r="Y18" s="20" t="s">
        <v>176</v>
      </c>
      <c r="Z18" s="20" t="s">
        <v>149</v>
      </c>
    </row>
    <row r="19" spans="1:26" ht="14.25" x14ac:dyDescent="0.15">
      <c r="A19" s="20" t="s">
        <v>153</v>
      </c>
      <c r="B19" s="20" t="s">
        <v>153</v>
      </c>
      <c r="C19" s="24" t="s">
        <v>165</v>
      </c>
      <c r="D19" s="24" t="s">
        <v>149</v>
      </c>
      <c r="E19" s="20" t="s">
        <v>149</v>
      </c>
      <c r="F19" s="20" t="s">
        <v>485</v>
      </c>
      <c r="G19" s="22" t="s">
        <v>151</v>
      </c>
      <c r="H19" s="172">
        <f>IF(개요!$C$4=2017,43160,42795)</f>
        <v>42795</v>
      </c>
      <c r="I19" s="49"/>
      <c r="J19" s="49"/>
      <c r="K19" s="22"/>
      <c r="L19" s="167"/>
      <c r="M19" s="22" t="s">
        <v>69</v>
      </c>
      <c r="N19" s="22">
        <v>0</v>
      </c>
      <c r="O19" s="22">
        <v>0</v>
      </c>
      <c r="P19" s="22" t="s">
        <v>69</v>
      </c>
      <c r="Q19" s="22">
        <v>0</v>
      </c>
      <c r="R19" s="22">
        <v>0</v>
      </c>
      <c r="T19" s="821"/>
      <c r="U19" s="821" t="s">
        <v>11</v>
      </c>
      <c r="V19" s="22" t="s">
        <v>243</v>
      </c>
      <c r="W19" s="22" t="s">
        <v>217</v>
      </c>
      <c r="X19" s="163"/>
      <c r="Y19" s="20" t="s">
        <v>171</v>
      </c>
      <c r="Z19" s="20" t="s">
        <v>149</v>
      </c>
    </row>
    <row r="20" spans="1:26" ht="14.25" x14ac:dyDescent="0.15">
      <c r="A20" s="20" t="s">
        <v>174</v>
      </c>
      <c r="B20" s="20" t="s">
        <v>174</v>
      </c>
      <c r="C20" s="24" t="s">
        <v>126</v>
      </c>
      <c r="D20" s="24" t="s">
        <v>149</v>
      </c>
      <c r="E20" s="20" t="s">
        <v>149</v>
      </c>
      <c r="F20" s="20" t="s">
        <v>483</v>
      </c>
      <c r="G20" s="22"/>
      <c r="H20" s="172">
        <f>IF(개요!$C$4=2017,43160,42795)</f>
        <v>42795</v>
      </c>
      <c r="I20" s="272">
        <v>0.1</v>
      </c>
      <c r="J20" s="274">
        <v>0.1</v>
      </c>
      <c r="K20" s="23">
        <v>0.1</v>
      </c>
      <c r="L20" s="23">
        <v>0.1</v>
      </c>
      <c r="M20" s="22" t="s">
        <v>43</v>
      </c>
      <c r="N20" s="22">
        <v>0.5</v>
      </c>
      <c r="O20" s="49">
        <v>3</v>
      </c>
      <c r="P20" s="22" t="s">
        <v>66</v>
      </c>
      <c r="Q20" s="22">
        <v>1</v>
      </c>
      <c r="R20" s="22">
        <v>3</v>
      </c>
      <c r="T20" s="821"/>
      <c r="U20" s="821"/>
      <c r="V20" s="69" t="s">
        <v>531</v>
      </c>
      <c r="W20" s="69" t="s">
        <v>526</v>
      </c>
      <c r="X20" s="163"/>
      <c r="Y20" s="20" t="s">
        <v>160</v>
      </c>
      <c r="Z20" s="20" t="s">
        <v>149</v>
      </c>
    </row>
    <row r="21" spans="1:26" ht="14.25" x14ac:dyDescent="0.15">
      <c r="A21" s="20" t="s">
        <v>172</v>
      </c>
      <c r="B21" s="20" t="s">
        <v>172</v>
      </c>
      <c r="C21" s="24" t="s">
        <v>126</v>
      </c>
      <c r="D21" s="24" t="s">
        <v>149</v>
      </c>
      <c r="E21" s="20" t="s">
        <v>149</v>
      </c>
      <c r="F21" s="20" t="s">
        <v>488</v>
      </c>
      <c r="G21" s="22"/>
      <c r="H21" s="172">
        <f>IF(개요!$C$4=2017,43160,42795)</f>
        <v>42795</v>
      </c>
      <c r="I21" s="272">
        <v>0.1</v>
      </c>
      <c r="J21" s="274">
        <v>0.1</v>
      </c>
      <c r="K21" s="23">
        <v>0.1</v>
      </c>
      <c r="L21" s="23">
        <v>0.1</v>
      </c>
      <c r="M21" s="22" t="s">
        <v>43</v>
      </c>
      <c r="N21" s="22">
        <v>0.5</v>
      </c>
      <c r="O21" s="49">
        <v>3</v>
      </c>
      <c r="P21" s="22" t="s">
        <v>66</v>
      </c>
      <c r="Q21" s="22">
        <v>1</v>
      </c>
      <c r="R21" s="22">
        <v>3</v>
      </c>
      <c r="X21" s="163"/>
      <c r="Y21" s="20" t="s">
        <v>161</v>
      </c>
      <c r="Z21" s="20" t="s">
        <v>149</v>
      </c>
    </row>
    <row r="22" spans="1:26" ht="14.25" x14ac:dyDescent="0.15">
      <c r="A22" s="20" t="s">
        <v>156</v>
      </c>
      <c r="B22" s="20" t="s">
        <v>156</v>
      </c>
      <c r="C22" s="24" t="s">
        <v>181</v>
      </c>
      <c r="D22" s="24" t="s">
        <v>149</v>
      </c>
      <c r="E22" s="20" t="s">
        <v>149</v>
      </c>
      <c r="F22" s="20" t="s">
        <v>500</v>
      </c>
      <c r="G22" s="22"/>
      <c r="H22" s="172">
        <f>IF(개요!$C$4=2017,43160,42795)</f>
        <v>42795</v>
      </c>
      <c r="I22" s="272">
        <v>0.1</v>
      </c>
      <c r="J22" s="274">
        <v>0.1</v>
      </c>
      <c r="K22" s="23">
        <v>0.1</v>
      </c>
      <c r="L22" s="23">
        <v>0.1</v>
      </c>
      <c r="M22" s="22" t="s">
        <v>43</v>
      </c>
      <c r="N22" s="22">
        <v>0.5</v>
      </c>
      <c r="O22" s="49">
        <v>3</v>
      </c>
      <c r="P22" s="22" t="s">
        <v>66</v>
      </c>
      <c r="Q22" s="22">
        <v>1</v>
      </c>
      <c r="R22" s="22">
        <v>3</v>
      </c>
      <c r="T22" s="102" t="s">
        <v>127</v>
      </c>
      <c r="U22" s="102" t="s">
        <v>157</v>
      </c>
      <c r="V22" s="102" t="s">
        <v>40</v>
      </c>
      <c r="W22" s="102" t="s">
        <v>41</v>
      </c>
      <c r="X22" s="163"/>
      <c r="Y22" s="20" t="s">
        <v>163</v>
      </c>
      <c r="Z22" s="20" t="s">
        <v>149</v>
      </c>
    </row>
    <row r="23" spans="1:26" ht="14.25" x14ac:dyDescent="0.15">
      <c r="A23" s="20" t="s">
        <v>176</v>
      </c>
      <c r="B23" s="20" t="s">
        <v>176</v>
      </c>
      <c r="C23" s="24" t="s">
        <v>126</v>
      </c>
      <c r="D23" s="24" t="s">
        <v>149</v>
      </c>
      <c r="E23" s="20" t="s">
        <v>149</v>
      </c>
      <c r="F23" s="20" t="s">
        <v>465</v>
      </c>
      <c r="G23" s="22"/>
      <c r="H23" s="172">
        <f>IF(개요!$C$4=2017,43160,42795)</f>
        <v>42795</v>
      </c>
      <c r="I23" s="272">
        <v>0.1</v>
      </c>
      <c r="J23" s="274">
        <v>0.1</v>
      </c>
      <c r="K23" s="23">
        <v>0.1</v>
      </c>
      <c r="L23" s="23">
        <v>0.1</v>
      </c>
      <c r="M23" s="22" t="s">
        <v>43</v>
      </c>
      <c r="N23" s="22">
        <v>0.5</v>
      </c>
      <c r="O23" s="49">
        <v>3</v>
      </c>
      <c r="P23" s="22" t="s">
        <v>66</v>
      </c>
      <c r="Q23" s="22">
        <v>1</v>
      </c>
      <c r="R23" s="22">
        <v>3</v>
      </c>
      <c r="T23" s="822" t="s">
        <v>12</v>
      </c>
      <c r="U23" s="822" t="s">
        <v>88</v>
      </c>
      <c r="V23" s="101" t="s">
        <v>74</v>
      </c>
      <c r="W23" s="101" t="s">
        <v>79</v>
      </c>
      <c r="X23" s="163"/>
      <c r="Y23" s="20" t="s">
        <v>164</v>
      </c>
      <c r="Z23" s="20" t="s">
        <v>149</v>
      </c>
    </row>
    <row r="24" spans="1:26" ht="14.25" x14ac:dyDescent="0.15">
      <c r="A24" s="20" t="s">
        <v>168</v>
      </c>
      <c r="B24" s="20" t="s">
        <v>168</v>
      </c>
      <c r="C24" s="24" t="s">
        <v>126</v>
      </c>
      <c r="D24" s="263" t="s">
        <v>149</v>
      </c>
      <c r="E24" s="20" t="s">
        <v>149</v>
      </c>
      <c r="F24" s="20" t="s">
        <v>477</v>
      </c>
      <c r="G24" s="22"/>
      <c r="H24" s="172">
        <f>IF(개요!$C$4=2017,43160,42795)</f>
        <v>42795</v>
      </c>
      <c r="I24" s="273">
        <v>0.2</v>
      </c>
      <c r="J24" s="274">
        <v>0.1</v>
      </c>
      <c r="K24" s="23">
        <v>0.2</v>
      </c>
      <c r="L24" s="23">
        <v>0.1</v>
      </c>
      <c r="M24" s="22" t="s">
        <v>43</v>
      </c>
      <c r="N24" s="22">
        <v>0.5</v>
      </c>
      <c r="O24" s="49">
        <v>3</v>
      </c>
      <c r="P24" s="22" t="s">
        <v>66</v>
      </c>
      <c r="Q24" s="22">
        <v>1</v>
      </c>
      <c r="R24" s="22">
        <v>3</v>
      </c>
      <c r="T24" s="822"/>
      <c r="U24" s="822"/>
      <c r="V24" s="85" t="s">
        <v>531</v>
      </c>
      <c r="W24" s="85" t="s">
        <v>526</v>
      </c>
      <c r="X24" s="163"/>
      <c r="Y24" s="20" t="s">
        <v>166</v>
      </c>
      <c r="Z24" s="20" t="s">
        <v>149</v>
      </c>
    </row>
    <row r="25" spans="1:26" ht="14.25" x14ac:dyDescent="0.15">
      <c r="A25" s="20" t="s">
        <v>171</v>
      </c>
      <c r="B25" s="20" t="s">
        <v>171</v>
      </c>
      <c r="C25" s="24" t="s">
        <v>158</v>
      </c>
      <c r="D25" s="24" t="s">
        <v>149</v>
      </c>
      <c r="E25" s="20" t="s">
        <v>149</v>
      </c>
      <c r="F25" s="20" t="s">
        <v>461</v>
      </c>
      <c r="G25" s="22" t="s">
        <v>151</v>
      </c>
      <c r="H25" s="172">
        <f>IF(개요!$C$4=2017,43160,42795)</f>
        <v>42795</v>
      </c>
      <c r="I25" s="49"/>
      <c r="J25" s="49"/>
      <c r="K25" s="22"/>
      <c r="L25" s="167"/>
      <c r="M25" s="22" t="s">
        <v>69</v>
      </c>
      <c r="N25" s="22">
        <v>0</v>
      </c>
      <c r="O25" s="22">
        <v>0</v>
      </c>
      <c r="P25" s="22" t="s">
        <v>69</v>
      </c>
      <c r="Q25" s="22">
        <v>0</v>
      </c>
      <c r="R25" s="22">
        <v>0</v>
      </c>
      <c r="X25" s="163"/>
      <c r="Y25" s="20" t="s">
        <v>67</v>
      </c>
      <c r="Z25" s="20" t="s">
        <v>149</v>
      </c>
    </row>
    <row r="26" spans="1:26" ht="14.25" x14ac:dyDescent="0.15">
      <c r="A26" s="20" t="s">
        <v>159</v>
      </c>
      <c r="B26" s="20" t="s">
        <v>159</v>
      </c>
      <c r="C26" s="24" t="s">
        <v>158</v>
      </c>
      <c r="D26" s="24" t="s">
        <v>155</v>
      </c>
      <c r="E26" s="20" t="s">
        <v>155</v>
      </c>
      <c r="F26" s="20" t="s">
        <v>473</v>
      </c>
      <c r="G26" s="22" t="s">
        <v>151</v>
      </c>
      <c r="H26" s="172">
        <f>IF(개요!$C$4=2017,43160,42795)</f>
        <v>42795</v>
      </c>
      <c r="I26" s="49"/>
      <c r="J26" s="49"/>
      <c r="K26" s="23">
        <v>0.1</v>
      </c>
      <c r="L26" s="23">
        <v>0.1</v>
      </c>
      <c r="M26" s="22" t="s">
        <v>69</v>
      </c>
      <c r="N26" s="22">
        <v>0</v>
      </c>
      <c r="O26" s="22">
        <v>0</v>
      </c>
      <c r="P26" s="22" t="s">
        <v>69</v>
      </c>
      <c r="Q26" s="22">
        <v>0</v>
      </c>
      <c r="R26" s="22">
        <v>0</v>
      </c>
      <c r="T26" s="814" t="s">
        <v>97</v>
      </c>
      <c r="U26" s="814"/>
      <c r="V26" s="814"/>
      <c r="W26" s="814"/>
      <c r="X26" s="163"/>
      <c r="Y26" s="20" t="s">
        <v>81</v>
      </c>
      <c r="Z26" s="20" t="s">
        <v>149</v>
      </c>
    </row>
    <row r="27" spans="1:26" ht="14.25" x14ac:dyDescent="0.15">
      <c r="A27" s="20" t="s">
        <v>160</v>
      </c>
      <c r="B27" s="20" t="s">
        <v>160</v>
      </c>
      <c r="C27" s="24" t="s">
        <v>165</v>
      </c>
      <c r="D27" s="24" t="s">
        <v>149</v>
      </c>
      <c r="E27" s="20" t="s">
        <v>149</v>
      </c>
      <c r="F27" s="20" t="s">
        <v>378</v>
      </c>
      <c r="G27" s="22"/>
      <c r="H27" s="172">
        <f>IF(개요!$C$4=2017,43160,42795)</f>
        <v>42795</v>
      </c>
      <c r="I27" s="272">
        <v>0.1</v>
      </c>
      <c r="J27" s="274">
        <v>0.1</v>
      </c>
      <c r="K27" s="23">
        <v>0.1</v>
      </c>
      <c r="L27" s="23">
        <v>0.1</v>
      </c>
      <c r="M27" s="22" t="s">
        <v>43</v>
      </c>
      <c r="N27" s="22">
        <v>0.5</v>
      </c>
      <c r="O27" s="49">
        <v>3</v>
      </c>
      <c r="P27" s="22" t="s">
        <v>66</v>
      </c>
      <c r="Q27" s="22">
        <v>1</v>
      </c>
      <c r="R27" s="22">
        <v>3</v>
      </c>
      <c r="T27" s="814" t="s">
        <v>18</v>
      </c>
      <c r="U27" s="814"/>
      <c r="V27" s="814"/>
      <c r="W27" s="814"/>
      <c r="X27" s="163"/>
      <c r="Y27" s="20" t="s">
        <v>90</v>
      </c>
      <c r="Z27" s="20" t="s">
        <v>149</v>
      </c>
    </row>
    <row r="28" spans="1:26" ht="14.25" x14ac:dyDescent="0.15">
      <c r="A28" s="20" t="s">
        <v>161</v>
      </c>
      <c r="B28" s="20" t="s">
        <v>161</v>
      </c>
      <c r="C28" s="24" t="s">
        <v>181</v>
      </c>
      <c r="D28" s="24" t="s">
        <v>149</v>
      </c>
      <c r="E28" s="20" t="s">
        <v>149</v>
      </c>
      <c r="F28" s="20" t="s">
        <v>494</v>
      </c>
      <c r="G28" s="22"/>
      <c r="H28" s="172">
        <f>IF(개요!$C$4=2017,43160,42795)</f>
        <v>42795</v>
      </c>
      <c r="I28" s="272">
        <v>0.1</v>
      </c>
      <c r="J28" s="274">
        <v>0.1</v>
      </c>
      <c r="K28" s="23">
        <v>0.1</v>
      </c>
      <c r="L28" s="23">
        <v>0.1</v>
      </c>
      <c r="M28" s="22" t="s">
        <v>43</v>
      </c>
      <c r="N28" s="22">
        <v>0.5</v>
      </c>
      <c r="O28" s="49">
        <v>3</v>
      </c>
      <c r="P28" s="22" t="s">
        <v>66</v>
      </c>
      <c r="Q28" s="22">
        <v>1</v>
      </c>
      <c r="R28" s="22">
        <v>3</v>
      </c>
      <c r="X28" s="163"/>
      <c r="Y28" s="20" t="s">
        <v>91</v>
      </c>
      <c r="Z28" s="20" t="s">
        <v>149</v>
      </c>
    </row>
    <row r="29" spans="1:26" ht="14.25" x14ac:dyDescent="0.15">
      <c r="A29" s="20" t="s">
        <v>163</v>
      </c>
      <c r="B29" s="20" t="s">
        <v>163</v>
      </c>
      <c r="C29" s="24" t="s">
        <v>165</v>
      </c>
      <c r="D29" s="24" t="s">
        <v>149</v>
      </c>
      <c r="E29" s="20" t="s">
        <v>149</v>
      </c>
      <c r="F29" s="20" t="s">
        <v>393</v>
      </c>
      <c r="G29" s="22" t="s">
        <v>151</v>
      </c>
      <c r="H29" s="172">
        <f>IF(개요!$C$4=2017,43160,42795)</f>
        <v>42795</v>
      </c>
      <c r="I29" s="49"/>
      <c r="J29" s="49"/>
      <c r="K29" s="22"/>
      <c r="L29" s="167"/>
      <c r="M29" s="22" t="s">
        <v>69</v>
      </c>
      <c r="N29" s="22">
        <v>0</v>
      </c>
      <c r="O29" s="22">
        <v>0</v>
      </c>
      <c r="P29" s="22" t="s">
        <v>69</v>
      </c>
      <c r="Q29" s="22">
        <v>0</v>
      </c>
      <c r="R29" s="22">
        <v>0</v>
      </c>
      <c r="T29" s="815" t="s">
        <v>491</v>
      </c>
      <c r="U29" s="816" t="s">
        <v>532</v>
      </c>
      <c r="V29" s="816"/>
      <c r="W29" s="66"/>
      <c r="X29" s="163"/>
      <c r="Y29" s="20" t="s">
        <v>82</v>
      </c>
      <c r="Z29" s="20" t="s">
        <v>149</v>
      </c>
    </row>
    <row r="30" spans="1:26" ht="14.25" x14ac:dyDescent="0.15">
      <c r="A30" s="20" t="s">
        <v>164</v>
      </c>
      <c r="B30" s="20" t="s">
        <v>164</v>
      </c>
      <c r="C30" s="24" t="s">
        <v>165</v>
      </c>
      <c r="D30" s="24" t="s">
        <v>149</v>
      </c>
      <c r="E30" s="20" t="s">
        <v>149</v>
      </c>
      <c r="F30" s="20" t="s">
        <v>437</v>
      </c>
      <c r="G30" s="22" t="s">
        <v>151</v>
      </c>
      <c r="H30" s="172">
        <f>IF(개요!$C$4=2017,43160,42795)</f>
        <v>42795</v>
      </c>
      <c r="I30" s="49"/>
      <c r="J30" s="49"/>
      <c r="K30" s="22"/>
      <c r="L30" s="167"/>
      <c r="M30" s="22" t="s">
        <v>69</v>
      </c>
      <c r="N30" s="22">
        <v>0</v>
      </c>
      <c r="O30" s="22">
        <v>0</v>
      </c>
      <c r="P30" s="22" t="s">
        <v>69</v>
      </c>
      <c r="Q30" s="22">
        <v>0</v>
      </c>
      <c r="R30" s="22">
        <v>0</v>
      </c>
      <c r="T30" s="815"/>
      <c r="U30" s="100" t="s">
        <v>528</v>
      </c>
      <c r="V30" s="100"/>
      <c r="W30" s="66"/>
      <c r="X30" s="163"/>
      <c r="Y30" s="20" t="s">
        <v>83</v>
      </c>
      <c r="Z30" s="20" t="s">
        <v>149</v>
      </c>
    </row>
    <row r="31" spans="1:26" ht="14.25" x14ac:dyDescent="0.15">
      <c r="A31" s="20" t="s">
        <v>166</v>
      </c>
      <c r="B31" s="20" t="s">
        <v>166</v>
      </c>
      <c r="C31" s="24" t="s">
        <v>126</v>
      </c>
      <c r="D31" s="24" t="s">
        <v>149</v>
      </c>
      <c r="E31" s="20" t="s">
        <v>149</v>
      </c>
      <c r="F31" s="20" t="s">
        <v>470</v>
      </c>
      <c r="G31" s="22"/>
      <c r="H31" s="172">
        <f>IF(개요!$C$4=2017,43160,42795)</f>
        <v>42795</v>
      </c>
      <c r="I31" s="272">
        <v>0.1</v>
      </c>
      <c r="J31" s="274">
        <v>0.1</v>
      </c>
      <c r="K31" s="23">
        <v>0.1</v>
      </c>
      <c r="L31" s="23">
        <v>0.1</v>
      </c>
      <c r="M31" s="22" t="s">
        <v>43</v>
      </c>
      <c r="N31" s="22">
        <v>0.5</v>
      </c>
      <c r="O31" s="49">
        <v>3</v>
      </c>
      <c r="P31" s="22" t="s">
        <v>66</v>
      </c>
      <c r="Q31" s="22">
        <v>1</v>
      </c>
      <c r="R31" s="22">
        <v>3</v>
      </c>
      <c r="T31" s="815"/>
      <c r="U31" s="100" t="s">
        <v>537</v>
      </c>
      <c r="V31" s="100"/>
      <c r="W31" s="50"/>
      <c r="X31" s="163"/>
      <c r="Y31" s="20" t="s">
        <v>84</v>
      </c>
      <c r="Z31" s="20" t="s">
        <v>149</v>
      </c>
    </row>
    <row r="32" spans="1:26" ht="14.25" x14ac:dyDescent="0.15">
      <c r="A32" s="20" t="s">
        <v>188</v>
      </c>
      <c r="B32" s="20" t="s">
        <v>188</v>
      </c>
      <c r="C32" s="24" t="s">
        <v>181</v>
      </c>
      <c r="D32" s="24" t="s">
        <v>155</v>
      </c>
      <c r="E32" s="20" t="s">
        <v>155</v>
      </c>
      <c r="F32" s="20" t="s">
        <v>367</v>
      </c>
      <c r="G32" s="22"/>
      <c r="H32" s="172">
        <f>IF(개요!$C$4=2017,43160,42795)</f>
        <v>42795</v>
      </c>
      <c r="I32" s="273">
        <v>0.2</v>
      </c>
      <c r="J32" s="275">
        <v>0.2</v>
      </c>
      <c r="K32" s="23">
        <v>0.2</v>
      </c>
      <c r="L32" s="23">
        <v>0.2</v>
      </c>
      <c r="M32" s="22" t="s">
        <v>43</v>
      </c>
      <c r="N32" s="22">
        <v>0.5</v>
      </c>
      <c r="O32" s="49">
        <v>3</v>
      </c>
      <c r="P32" s="22" t="s">
        <v>66</v>
      </c>
      <c r="Q32" s="22">
        <v>1</v>
      </c>
      <c r="R32" s="22">
        <v>3</v>
      </c>
      <c r="T32" s="815"/>
      <c r="U32" s="100" t="s">
        <v>616</v>
      </c>
      <c r="V32" s="100"/>
      <c r="W32" s="50"/>
      <c r="X32" s="163"/>
      <c r="Y32" s="20" t="s">
        <v>85</v>
      </c>
      <c r="Z32" s="20" t="s">
        <v>149</v>
      </c>
    </row>
    <row r="33" spans="1:28" ht="14.25" x14ac:dyDescent="0.15">
      <c r="A33" s="20" t="s">
        <v>196</v>
      </c>
      <c r="B33" s="20" t="s">
        <v>196</v>
      </c>
      <c r="C33" s="24" t="s">
        <v>158</v>
      </c>
      <c r="D33" s="263" t="s">
        <v>149</v>
      </c>
      <c r="E33" s="20" t="s">
        <v>149</v>
      </c>
      <c r="F33" s="20" t="s">
        <v>454</v>
      </c>
      <c r="G33" s="22" t="s">
        <v>151</v>
      </c>
      <c r="H33" s="172">
        <f>IF(개요!$C$4=2017,43160,42795)</f>
        <v>42795</v>
      </c>
      <c r="I33" s="49"/>
      <c r="J33" s="49"/>
      <c r="K33" s="23">
        <v>0.1</v>
      </c>
      <c r="L33" s="23"/>
      <c r="M33" s="22" t="s">
        <v>69</v>
      </c>
      <c r="N33" s="22">
        <v>0</v>
      </c>
      <c r="O33" s="22">
        <v>0</v>
      </c>
      <c r="P33" s="22" t="s">
        <v>69</v>
      </c>
      <c r="Q33" s="22">
        <v>0</v>
      </c>
      <c r="R33" s="22">
        <v>0</v>
      </c>
      <c r="T33" s="173"/>
      <c r="U33" s="244"/>
      <c r="V33" s="173"/>
      <c r="W33" s="173"/>
      <c r="X33" s="165"/>
      <c r="Y33" s="20" t="s">
        <v>187</v>
      </c>
      <c r="Z33" s="20" t="s">
        <v>149</v>
      </c>
      <c r="AA33" s="65"/>
      <c r="AB33" s="65"/>
    </row>
    <row r="34" spans="1:28" ht="14.25" x14ac:dyDescent="0.15">
      <c r="A34" s="20" t="s">
        <v>76</v>
      </c>
      <c r="B34" s="20" t="s">
        <v>76</v>
      </c>
      <c r="C34" s="24" t="s">
        <v>181</v>
      </c>
      <c r="D34" s="24" t="s">
        <v>155</v>
      </c>
      <c r="E34" s="20" t="s">
        <v>155</v>
      </c>
      <c r="F34" s="20" t="s">
        <v>230</v>
      </c>
      <c r="G34" s="22"/>
      <c r="H34" s="172">
        <f>IF(개요!$C$4=2017,43160,42795)</f>
        <v>42795</v>
      </c>
      <c r="I34" s="273">
        <v>0.2</v>
      </c>
      <c r="J34" s="275">
        <v>0.2</v>
      </c>
      <c r="K34" s="23">
        <v>0.2</v>
      </c>
      <c r="L34" s="23">
        <v>0.2</v>
      </c>
      <c r="M34" s="22" t="s">
        <v>43</v>
      </c>
      <c r="N34" s="22">
        <v>0.5</v>
      </c>
      <c r="O34" s="49">
        <v>3</v>
      </c>
      <c r="P34" s="22" t="s">
        <v>66</v>
      </c>
      <c r="Q34" s="22">
        <v>1</v>
      </c>
      <c r="R34" s="22">
        <v>3</v>
      </c>
      <c r="T34" s="173"/>
      <c r="U34" s="245"/>
      <c r="V34" s="173"/>
      <c r="W34" s="173"/>
      <c r="X34" s="165"/>
      <c r="Y34" s="20" t="s">
        <v>189</v>
      </c>
      <c r="Z34" s="20" t="s">
        <v>149</v>
      </c>
      <c r="AA34" s="65"/>
      <c r="AB34" s="65"/>
    </row>
    <row r="35" spans="1:28" ht="14.25" x14ac:dyDescent="0.15">
      <c r="A35" s="20" t="s">
        <v>77</v>
      </c>
      <c r="B35" s="20" t="s">
        <v>77</v>
      </c>
      <c r="C35" s="24" t="s">
        <v>158</v>
      </c>
      <c r="D35" s="263" t="s">
        <v>149</v>
      </c>
      <c r="E35" s="20" t="s">
        <v>149</v>
      </c>
      <c r="F35" s="20" t="s">
        <v>249</v>
      </c>
      <c r="G35" s="22" t="s">
        <v>151</v>
      </c>
      <c r="H35" s="172">
        <f>IF(개요!$C$4=2017,43160,42795)</f>
        <v>42795</v>
      </c>
      <c r="I35" s="49"/>
      <c r="J35" s="49"/>
      <c r="K35" s="23">
        <v>0.1</v>
      </c>
      <c r="L35" s="23"/>
      <c r="M35" s="22" t="s">
        <v>69</v>
      </c>
      <c r="N35" s="22">
        <v>0</v>
      </c>
      <c r="O35" s="22">
        <v>0</v>
      </c>
      <c r="P35" s="22" t="s">
        <v>69</v>
      </c>
      <c r="Q35" s="22">
        <v>0</v>
      </c>
      <c r="R35" s="22">
        <v>0</v>
      </c>
      <c r="T35" s="173"/>
      <c r="U35" s="245"/>
      <c r="V35" s="173"/>
      <c r="W35" s="173"/>
      <c r="X35" s="165"/>
      <c r="Y35" s="20" t="s">
        <v>194</v>
      </c>
      <c r="Z35" s="20" t="s">
        <v>149</v>
      </c>
      <c r="AA35" s="65"/>
      <c r="AB35" s="65"/>
    </row>
    <row r="36" spans="1:28" ht="14.25" x14ac:dyDescent="0.15">
      <c r="A36" s="20" t="s">
        <v>72</v>
      </c>
      <c r="B36" s="20" t="s">
        <v>72</v>
      </c>
      <c r="C36" s="24" t="s">
        <v>181</v>
      </c>
      <c r="D36" s="24" t="s">
        <v>155</v>
      </c>
      <c r="E36" s="20" t="s">
        <v>155</v>
      </c>
      <c r="F36" s="20" t="s">
        <v>216</v>
      </c>
      <c r="G36" s="22"/>
      <c r="H36" s="172">
        <f>IF(개요!$C$4=2017,43160,42795)</f>
        <v>42795</v>
      </c>
      <c r="I36" s="273">
        <v>0.2</v>
      </c>
      <c r="J36" s="275">
        <v>0.2</v>
      </c>
      <c r="K36" s="23">
        <v>0.2</v>
      </c>
      <c r="L36" s="23">
        <v>0.2</v>
      </c>
      <c r="M36" s="22" t="s">
        <v>43</v>
      </c>
      <c r="N36" s="22">
        <v>0.5</v>
      </c>
      <c r="O36" s="49">
        <v>3</v>
      </c>
      <c r="P36" s="22" t="s">
        <v>66</v>
      </c>
      <c r="Q36" s="22">
        <v>1</v>
      </c>
      <c r="R36" s="22">
        <v>3</v>
      </c>
      <c r="T36" s="173"/>
      <c r="U36" s="245"/>
      <c r="V36" s="173"/>
      <c r="W36" s="173"/>
      <c r="X36" s="165"/>
      <c r="Y36" s="20" t="s">
        <v>191</v>
      </c>
      <c r="Z36" s="20" t="s">
        <v>149</v>
      </c>
      <c r="AA36" s="65"/>
      <c r="AB36" s="65"/>
    </row>
    <row r="37" spans="1:28" ht="14.25" x14ac:dyDescent="0.15">
      <c r="A37" s="20" t="s">
        <v>78</v>
      </c>
      <c r="B37" s="20" t="s">
        <v>78</v>
      </c>
      <c r="C37" s="24" t="s">
        <v>158</v>
      </c>
      <c r="D37" s="263" t="s">
        <v>149</v>
      </c>
      <c r="E37" s="20" t="s">
        <v>149</v>
      </c>
      <c r="F37" s="20" t="s">
        <v>302</v>
      </c>
      <c r="G37" s="22" t="s">
        <v>151</v>
      </c>
      <c r="H37" s="172">
        <f>IF(개요!$C$4=2017,43160,42795)</f>
        <v>42795</v>
      </c>
      <c r="I37" s="49"/>
      <c r="J37" s="49"/>
      <c r="K37" s="23">
        <v>0.1</v>
      </c>
      <c r="L37" s="23">
        <v>0.1</v>
      </c>
      <c r="M37" s="22" t="s">
        <v>69</v>
      </c>
      <c r="N37" s="22">
        <v>0</v>
      </c>
      <c r="O37" s="22">
        <v>0</v>
      </c>
      <c r="P37" s="22" t="s">
        <v>69</v>
      </c>
      <c r="Q37" s="22">
        <v>0</v>
      </c>
      <c r="R37" s="22">
        <v>0</v>
      </c>
      <c r="T37" s="173"/>
      <c r="U37" s="245"/>
      <c r="V37" s="173"/>
      <c r="W37" s="173"/>
      <c r="X37" s="165"/>
      <c r="Y37" s="20" t="s">
        <v>190</v>
      </c>
      <c r="Z37" s="20" t="s">
        <v>149</v>
      </c>
      <c r="AA37" s="65"/>
      <c r="AB37" s="65"/>
    </row>
    <row r="38" spans="1:28" ht="14.25" x14ac:dyDescent="0.15">
      <c r="A38" s="20" t="s">
        <v>89</v>
      </c>
      <c r="B38" s="20" t="s">
        <v>89</v>
      </c>
      <c r="C38" s="24" t="s">
        <v>158</v>
      </c>
      <c r="D38" s="24" t="s">
        <v>155</v>
      </c>
      <c r="E38" s="20" t="s">
        <v>155</v>
      </c>
      <c r="F38" s="20" t="s">
        <v>332</v>
      </c>
      <c r="G38" s="22" t="s">
        <v>151</v>
      </c>
      <c r="H38" s="172">
        <f>IF(개요!$C$4=2017,43160,42795)</f>
        <v>42795</v>
      </c>
      <c r="I38" s="49"/>
      <c r="J38" s="49"/>
      <c r="K38" s="23">
        <v>0.1</v>
      </c>
      <c r="L38" s="23">
        <v>0.1</v>
      </c>
      <c r="M38" s="22" t="s">
        <v>69</v>
      </c>
      <c r="N38" s="22">
        <v>0</v>
      </c>
      <c r="O38" s="22">
        <v>0</v>
      </c>
      <c r="P38" s="22" t="s">
        <v>69</v>
      </c>
      <c r="Q38" s="22">
        <v>0</v>
      </c>
      <c r="R38" s="22">
        <v>0</v>
      </c>
      <c r="T38" s="173"/>
      <c r="U38" s="245"/>
      <c r="V38" s="173"/>
      <c r="W38" s="173"/>
      <c r="X38" s="173"/>
      <c r="Y38" s="20" t="s">
        <v>192</v>
      </c>
      <c r="Z38" s="20" t="s">
        <v>149</v>
      </c>
      <c r="AA38" s="65"/>
      <c r="AB38" s="65"/>
    </row>
    <row r="39" spans="1:28" ht="14.25" x14ac:dyDescent="0.15">
      <c r="A39" s="20" t="s">
        <v>67</v>
      </c>
      <c r="B39" s="20" t="s">
        <v>67</v>
      </c>
      <c r="C39" s="24" t="s">
        <v>165</v>
      </c>
      <c r="D39" s="24" t="s">
        <v>149</v>
      </c>
      <c r="E39" s="20" t="s">
        <v>149</v>
      </c>
      <c r="F39" s="20" t="s">
        <v>276</v>
      </c>
      <c r="G39" s="22" t="s">
        <v>151</v>
      </c>
      <c r="H39" s="172">
        <f>IF(개요!$C$4=2017,43160,42795)</f>
        <v>42795</v>
      </c>
      <c r="I39" s="49"/>
      <c r="J39" s="49"/>
      <c r="K39" s="22"/>
      <c r="L39" s="167"/>
      <c r="M39" s="22" t="s">
        <v>69</v>
      </c>
      <c r="N39" s="22">
        <v>0</v>
      </c>
      <c r="O39" s="22">
        <v>0</v>
      </c>
      <c r="P39" s="22" t="s">
        <v>69</v>
      </c>
      <c r="Q39" s="22">
        <v>0</v>
      </c>
      <c r="R39" s="22">
        <v>0</v>
      </c>
      <c r="T39" s="173"/>
      <c r="U39" s="245"/>
      <c r="V39" s="173"/>
      <c r="W39" s="173"/>
      <c r="X39" s="173"/>
      <c r="Y39" s="65"/>
      <c r="Z39" s="65"/>
      <c r="AA39" s="65"/>
      <c r="AB39" s="65"/>
    </row>
    <row r="40" spans="1:28" ht="14.25" x14ac:dyDescent="0.15">
      <c r="A40" s="20" t="s">
        <v>81</v>
      </c>
      <c r="B40" s="20" t="s">
        <v>81</v>
      </c>
      <c r="C40" s="24" t="s">
        <v>158</v>
      </c>
      <c r="D40" s="24" t="s">
        <v>155</v>
      </c>
      <c r="E40" s="20" t="s">
        <v>155</v>
      </c>
      <c r="F40" s="20" t="s">
        <v>330</v>
      </c>
      <c r="G40" s="22" t="s">
        <v>151</v>
      </c>
      <c r="H40" s="172">
        <v>41334</v>
      </c>
      <c r="I40" s="49"/>
      <c r="J40" s="49"/>
      <c r="K40" s="23"/>
      <c r="L40" s="23">
        <v>0.1</v>
      </c>
      <c r="M40" s="22" t="s">
        <v>69</v>
      </c>
      <c r="N40" s="22">
        <v>0</v>
      </c>
      <c r="O40" s="22">
        <v>0</v>
      </c>
      <c r="P40" s="22" t="s">
        <v>69</v>
      </c>
      <c r="Q40" s="22">
        <v>0</v>
      </c>
      <c r="R40" s="22">
        <v>0</v>
      </c>
      <c r="T40" s="173"/>
      <c r="U40" s="245"/>
      <c r="V40" s="173"/>
      <c r="W40" s="173"/>
      <c r="X40" s="173"/>
      <c r="Y40" s="20" t="s">
        <v>355</v>
      </c>
      <c r="Z40" s="20" t="s">
        <v>149</v>
      </c>
      <c r="AA40" s="65"/>
      <c r="AB40" s="65"/>
    </row>
    <row r="41" spans="1:28" ht="14.25" x14ac:dyDescent="0.15">
      <c r="A41" s="20" t="s">
        <v>90</v>
      </c>
      <c r="B41" s="20" t="s">
        <v>90</v>
      </c>
      <c r="C41" s="24" t="s">
        <v>181</v>
      </c>
      <c r="D41" s="24" t="s">
        <v>149</v>
      </c>
      <c r="E41" s="20" t="s">
        <v>149</v>
      </c>
      <c r="F41" s="20" t="s">
        <v>226</v>
      </c>
      <c r="G41" s="22"/>
      <c r="H41" s="172">
        <f>IF(개요!$C$4=2017,43160,42795)</f>
        <v>42795</v>
      </c>
      <c r="I41" s="272">
        <v>0.1</v>
      </c>
      <c r="J41" s="274">
        <v>0.1</v>
      </c>
      <c r="K41" s="23">
        <v>0.1</v>
      </c>
      <c r="L41" s="23">
        <v>0.1</v>
      </c>
      <c r="M41" s="22" t="s">
        <v>43</v>
      </c>
      <c r="N41" s="22">
        <v>0.5</v>
      </c>
      <c r="O41" s="49">
        <v>3</v>
      </c>
      <c r="P41" s="22" t="s">
        <v>66</v>
      </c>
      <c r="Q41" s="22">
        <v>1</v>
      </c>
      <c r="R41" s="22">
        <v>3</v>
      </c>
      <c r="T41" s="173"/>
      <c r="U41" s="245"/>
      <c r="V41" s="173"/>
      <c r="W41" s="173"/>
      <c r="X41" s="173"/>
      <c r="Y41" s="20" t="s">
        <v>322</v>
      </c>
      <c r="Z41" s="20" t="s">
        <v>149</v>
      </c>
      <c r="AA41" s="65"/>
      <c r="AB41" s="65"/>
    </row>
    <row r="42" spans="1:28" ht="14.25" x14ac:dyDescent="0.15">
      <c r="A42" s="20" t="s">
        <v>91</v>
      </c>
      <c r="B42" s="20" t="s">
        <v>91</v>
      </c>
      <c r="C42" s="24" t="s">
        <v>165</v>
      </c>
      <c r="D42" s="24" t="s">
        <v>149</v>
      </c>
      <c r="E42" s="20" t="s">
        <v>149</v>
      </c>
      <c r="F42" s="20" t="s">
        <v>220</v>
      </c>
      <c r="G42" s="22" t="s">
        <v>151</v>
      </c>
      <c r="H42" s="172">
        <f>IF(개요!$C$4=2017,43160,42795)</f>
        <v>42795</v>
      </c>
      <c r="I42" s="49"/>
      <c r="J42" s="49"/>
      <c r="K42" s="22"/>
      <c r="L42" s="167"/>
      <c r="M42" s="22" t="s">
        <v>69</v>
      </c>
      <c r="N42" s="22">
        <v>0</v>
      </c>
      <c r="O42" s="22">
        <v>0</v>
      </c>
      <c r="P42" s="22" t="s">
        <v>69</v>
      </c>
      <c r="Q42" s="22">
        <v>0</v>
      </c>
      <c r="R42" s="22">
        <v>0</v>
      </c>
      <c r="T42" s="173"/>
      <c r="U42" s="245"/>
      <c r="V42" s="173"/>
      <c r="W42" s="173"/>
      <c r="X42" s="173"/>
      <c r="Y42" s="20" t="s">
        <v>245</v>
      </c>
      <c r="Z42" s="20" t="s">
        <v>149</v>
      </c>
      <c r="AA42" s="65"/>
      <c r="AB42" s="65"/>
    </row>
    <row r="43" spans="1:28" ht="14.25" x14ac:dyDescent="0.15">
      <c r="A43" s="20" t="s">
        <v>82</v>
      </c>
      <c r="B43" s="20" t="s">
        <v>82</v>
      </c>
      <c r="C43" s="24" t="s">
        <v>126</v>
      </c>
      <c r="D43" s="263" t="s">
        <v>155</v>
      </c>
      <c r="E43" s="20" t="s">
        <v>155</v>
      </c>
      <c r="F43" s="20" t="s">
        <v>277</v>
      </c>
      <c r="G43" s="22"/>
      <c r="H43" s="172">
        <f>IF(개요!$C$4=2017,43160,42795)</f>
        <v>42795</v>
      </c>
      <c r="I43" s="272">
        <v>0.1</v>
      </c>
      <c r="J43" s="275">
        <v>0.2</v>
      </c>
      <c r="K43" s="23">
        <v>0.1</v>
      </c>
      <c r="L43" s="23">
        <v>0.2</v>
      </c>
      <c r="M43" s="22" t="s">
        <v>43</v>
      </c>
      <c r="N43" s="22">
        <v>0.5</v>
      </c>
      <c r="O43" s="49">
        <v>3</v>
      </c>
      <c r="P43" s="22" t="s">
        <v>66</v>
      </c>
      <c r="Q43" s="22">
        <v>1</v>
      </c>
      <c r="R43" s="22">
        <v>3</v>
      </c>
      <c r="T43" s="173"/>
      <c r="U43" s="245"/>
      <c r="V43" s="173"/>
      <c r="W43" s="173"/>
      <c r="X43" s="173"/>
      <c r="Y43" s="20" t="s">
        <v>326</v>
      </c>
      <c r="Z43" s="20" t="s">
        <v>149</v>
      </c>
      <c r="AA43" s="65"/>
      <c r="AB43" s="65"/>
    </row>
    <row r="44" spans="1:28" ht="14.25" x14ac:dyDescent="0.15">
      <c r="A44" s="20" t="s">
        <v>83</v>
      </c>
      <c r="B44" s="20" t="s">
        <v>83</v>
      </c>
      <c r="C44" s="24" t="s">
        <v>165</v>
      </c>
      <c r="D44" s="24" t="s">
        <v>149</v>
      </c>
      <c r="E44" s="20" t="s">
        <v>149</v>
      </c>
      <c r="F44" s="20" t="s">
        <v>273</v>
      </c>
      <c r="G44" s="22" t="s">
        <v>151</v>
      </c>
      <c r="H44" s="172">
        <f>IF(개요!$C$4=2017,43160,42795)</f>
        <v>42795</v>
      </c>
      <c r="I44" s="49"/>
      <c r="J44" s="49"/>
      <c r="K44" s="22"/>
      <c r="L44" s="167"/>
      <c r="M44" s="22" t="s">
        <v>69</v>
      </c>
      <c r="N44" s="22">
        <v>0</v>
      </c>
      <c r="O44" s="22">
        <v>0</v>
      </c>
      <c r="P44" s="22" t="s">
        <v>69</v>
      </c>
      <c r="Q44" s="22">
        <v>0</v>
      </c>
      <c r="R44" s="22">
        <v>0</v>
      </c>
      <c r="T44" s="173"/>
      <c r="U44" s="246" t="s">
        <v>104</v>
      </c>
      <c r="V44" s="173"/>
      <c r="W44" s="173"/>
      <c r="X44" s="173"/>
      <c r="Y44" s="20" t="s">
        <v>254</v>
      </c>
      <c r="Z44" s="20" t="s">
        <v>149</v>
      </c>
      <c r="AA44" s="65"/>
      <c r="AB44" s="65"/>
    </row>
    <row r="45" spans="1:28" ht="14.25" x14ac:dyDescent="0.15">
      <c r="A45" s="20" t="s">
        <v>195</v>
      </c>
      <c r="B45" s="20" t="s">
        <v>195</v>
      </c>
      <c r="C45" s="24" t="s">
        <v>181</v>
      </c>
      <c r="D45" s="24" t="s">
        <v>155</v>
      </c>
      <c r="E45" s="20" t="s">
        <v>155</v>
      </c>
      <c r="F45" s="20" t="s">
        <v>405</v>
      </c>
      <c r="G45" s="22"/>
      <c r="H45" s="172">
        <f>IF(개요!$C$4=2017,43160,42795)</f>
        <v>42795</v>
      </c>
      <c r="I45" s="273">
        <v>0.2</v>
      </c>
      <c r="J45" s="275">
        <v>0.2</v>
      </c>
      <c r="K45" s="23">
        <v>0.2</v>
      </c>
      <c r="L45" s="23">
        <v>0.2</v>
      </c>
      <c r="M45" s="22" t="s">
        <v>43</v>
      </c>
      <c r="N45" s="22">
        <v>0.5</v>
      </c>
      <c r="O45" s="49">
        <v>3</v>
      </c>
      <c r="P45" s="22" t="s">
        <v>66</v>
      </c>
      <c r="Q45" s="22">
        <v>1</v>
      </c>
      <c r="R45" s="22">
        <v>3</v>
      </c>
      <c r="T45" s="247" t="s">
        <v>600</v>
      </c>
      <c r="U45" s="245" t="s">
        <v>610</v>
      </c>
      <c r="V45" s="173"/>
      <c r="W45" s="173"/>
      <c r="X45" s="173"/>
      <c r="Y45" s="20" t="s">
        <v>229</v>
      </c>
      <c r="Z45" s="21" t="s">
        <v>149</v>
      </c>
      <c r="AA45" s="65"/>
      <c r="AB45" s="65"/>
    </row>
    <row r="46" spans="1:28" ht="14.25" x14ac:dyDescent="0.15">
      <c r="A46" s="20" t="s">
        <v>84</v>
      </c>
      <c r="B46" s="20" t="s">
        <v>84</v>
      </c>
      <c r="C46" s="24" t="s">
        <v>165</v>
      </c>
      <c r="D46" s="24" t="s">
        <v>149</v>
      </c>
      <c r="E46" s="20" t="s">
        <v>149</v>
      </c>
      <c r="F46" s="20" t="s">
        <v>348</v>
      </c>
      <c r="G46" s="22" t="s">
        <v>151</v>
      </c>
      <c r="H46" s="172">
        <f>IF(개요!$C$4=2017,43160,42795)</f>
        <v>42795</v>
      </c>
      <c r="I46" s="49"/>
      <c r="J46" s="49"/>
      <c r="K46" s="22"/>
      <c r="L46" s="167"/>
      <c r="M46" s="22" t="s">
        <v>69</v>
      </c>
      <c r="N46" s="22">
        <v>0</v>
      </c>
      <c r="O46" s="22">
        <v>0</v>
      </c>
      <c r="P46" s="22" t="s">
        <v>69</v>
      </c>
      <c r="Q46" s="22">
        <v>0</v>
      </c>
      <c r="R46" s="22">
        <v>0</v>
      </c>
      <c r="T46" s="247" t="s">
        <v>611</v>
      </c>
      <c r="U46" s="245" t="s">
        <v>557</v>
      </c>
      <c r="V46" s="173"/>
      <c r="W46" s="173"/>
      <c r="X46" s="173"/>
      <c r="Y46" s="20" t="s">
        <v>314</v>
      </c>
      <c r="Z46" s="20" t="s">
        <v>149</v>
      </c>
      <c r="AA46" s="65"/>
      <c r="AB46" s="65"/>
    </row>
    <row r="47" spans="1:28" ht="14.25" x14ac:dyDescent="0.15">
      <c r="A47" s="20" t="s">
        <v>85</v>
      </c>
      <c r="B47" s="20" t="s">
        <v>85</v>
      </c>
      <c r="C47" s="24" t="s">
        <v>165</v>
      </c>
      <c r="D47" s="24" t="s">
        <v>149</v>
      </c>
      <c r="E47" s="20" t="s">
        <v>149</v>
      </c>
      <c r="F47" s="20" t="s">
        <v>334</v>
      </c>
      <c r="G47" s="22" t="s">
        <v>151</v>
      </c>
      <c r="H47" s="172">
        <f>IF(개요!$C$4=2017,43160,42795)</f>
        <v>42795</v>
      </c>
      <c r="I47" s="49"/>
      <c r="J47" s="49"/>
      <c r="K47" s="22"/>
      <c r="L47" s="167"/>
      <c r="M47" s="22" t="s">
        <v>69</v>
      </c>
      <c r="N47" s="22">
        <v>0</v>
      </c>
      <c r="O47" s="22">
        <v>0</v>
      </c>
      <c r="P47" s="22" t="s">
        <v>69</v>
      </c>
      <c r="Q47" s="22">
        <v>0</v>
      </c>
      <c r="R47" s="22">
        <v>0</v>
      </c>
      <c r="T47" s="247" t="s">
        <v>612</v>
      </c>
      <c r="U47" s="245" t="s">
        <v>201</v>
      </c>
      <c r="V47" s="173"/>
      <c r="W47" s="173"/>
      <c r="X47" s="173"/>
      <c r="Y47" s="21" t="s">
        <v>328</v>
      </c>
      <c r="Z47" s="20" t="s">
        <v>149</v>
      </c>
      <c r="AA47" s="65"/>
      <c r="AB47" s="65"/>
    </row>
    <row r="48" spans="1:28" ht="14.25" x14ac:dyDescent="0.15">
      <c r="A48" s="20" t="s">
        <v>92</v>
      </c>
      <c r="B48" s="20" t="s">
        <v>92</v>
      </c>
      <c r="C48" s="24" t="s">
        <v>158</v>
      </c>
      <c r="D48" s="24" t="s">
        <v>155</v>
      </c>
      <c r="E48" s="20" t="s">
        <v>155</v>
      </c>
      <c r="F48" s="20" t="s">
        <v>327</v>
      </c>
      <c r="G48" s="22"/>
      <c r="H48" s="172">
        <f>IF(개요!$C$4=2017,43160,42795)</f>
        <v>42795</v>
      </c>
      <c r="I48" s="273">
        <v>0.2</v>
      </c>
      <c r="J48" s="275">
        <v>0.2</v>
      </c>
      <c r="K48" s="23">
        <v>0.2</v>
      </c>
      <c r="L48" s="23">
        <v>0.2</v>
      </c>
      <c r="M48" s="22" t="s">
        <v>43</v>
      </c>
      <c r="N48" s="22">
        <v>0.5</v>
      </c>
      <c r="O48" s="49">
        <v>3</v>
      </c>
      <c r="P48" s="22" t="s">
        <v>66</v>
      </c>
      <c r="Q48" s="22">
        <v>1</v>
      </c>
      <c r="R48" s="22">
        <v>3</v>
      </c>
      <c r="T48" s="247" t="s">
        <v>527</v>
      </c>
      <c r="U48" s="245" t="s">
        <v>597</v>
      </c>
      <c r="V48" s="173"/>
      <c r="W48" s="173"/>
      <c r="X48" s="173"/>
      <c r="Y48" s="20" t="s">
        <v>305</v>
      </c>
      <c r="Z48" s="20" t="s">
        <v>149</v>
      </c>
      <c r="AA48" s="65"/>
      <c r="AB48" s="65"/>
    </row>
    <row r="49" spans="1:28" ht="14.25" x14ac:dyDescent="0.15">
      <c r="A49" s="20" t="s">
        <v>197</v>
      </c>
      <c r="B49" s="20" t="s">
        <v>197</v>
      </c>
      <c r="C49" s="24" t="s">
        <v>158</v>
      </c>
      <c r="D49" s="24" t="s">
        <v>155</v>
      </c>
      <c r="E49" s="20" t="s">
        <v>155</v>
      </c>
      <c r="F49" s="20" t="s">
        <v>429</v>
      </c>
      <c r="G49" s="22"/>
      <c r="H49" s="172">
        <f>IF(개요!$C$4=2017,43160,42795)</f>
        <v>42795</v>
      </c>
      <c r="I49" s="273">
        <v>0.2</v>
      </c>
      <c r="J49" s="275">
        <v>0.2</v>
      </c>
      <c r="K49" s="23">
        <v>0.2</v>
      </c>
      <c r="L49" s="23">
        <v>0.2</v>
      </c>
      <c r="M49" s="22" t="s">
        <v>43</v>
      </c>
      <c r="N49" s="22">
        <v>0.5</v>
      </c>
      <c r="O49" s="49">
        <v>3</v>
      </c>
      <c r="P49" s="22" t="s">
        <v>66</v>
      </c>
      <c r="Q49" s="22">
        <v>1</v>
      </c>
      <c r="R49" s="22">
        <v>3</v>
      </c>
      <c r="T49" s="247" t="s">
        <v>538</v>
      </c>
      <c r="U49" s="245" t="s">
        <v>551</v>
      </c>
      <c r="V49" s="173"/>
      <c r="W49" s="173"/>
      <c r="X49" s="173"/>
      <c r="Y49" s="20" t="s">
        <v>317</v>
      </c>
      <c r="Z49" s="20" t="s">
        <v>149</v>
      </c>
      <c r="AA49" s="65"/>
      <c r="AB49" s="65"/>
    </row>
    <row r="50" spans="1:28" ht="14.25" x14ac:dyDescent="0.15">
      <c r="A50" s="20" t="s">
        <v>198</v>
      </c>
      <c r="B50" s="20" t="s">
        <v>198</v>
      </c>
      <c r="C50" s="24" t="s">
        <v>158</v>
      </c>
      <c r="D50" s="263" t="s">
        <v>149</v>
      </c>
      <c r="E50" s="20" t="s">
        <v>149</v>
      </c>
      <c r="F50" s="20" t="s">
        <v>374</v>
      </c>
      <c r="G50" s="22" t="s">
        <v>151</v>
      </c>
      <c r="H50" s="172">
        <f>IF(개요!$C$4=2017,43160,42795)</f>
        <v>42795</v>
      </c>
      <c r="I50" s="49"/>
      <c r="J50" s="49"/>
      <c r="K50" s="23">
        <v>0.1</v>
      </c>
      <c r="L50" s="23"/>
      <c r="M50" s="22" t="s">
        <v>69</v>
      </c>
      <c r="N50" s="22">
        <v>0</v>
      </c>
      <c r="O50" s="22">
        <v>0</v>
      </c>
      <c r="P50" s="22" t="s">
        <v>69</v>
      </c>
      <c r="Q50" s="22">
        <v>0</v>
      </c>
      <c r="R50" s="22">
        <v>0</v>
      </c>
      <c r="T50" s="247" t="s">
        <v>618</v>
      </c>
      <c r="U50" s="245" t="s">
        <v>525</v>
      </c>
      <c r="V50" s="173"/>
      <c r="W50" s="173"/>
      <c r="X50" s="173"/>
      <c r="Y50" s="20" t="s">
        <v>343</v>
      </c>
      <c r="Z50" s="20" t="s">
        <v>149</v>
      </c>
      <c r="AA50" s="65"/>
      <c r="AB50" s="65"/>
    </row>
    <row r="51" spans="1:28" ht="14.25" x14ac:dyDescent="0.15">
      <c r="A51" s="20" t="s">
        <v>193</v>
      </c>
      <c r="B51" s="20" t="s">
        <v>193</v>
      </c>
      <c r="C51" s="24" t="s">
        <v>126</v>
      </c>
      <c r="D51" s="24" t="s">
        <v>155</v>
      </c>
      <c r="E51" s="20" t="s">
        <v>155</v>
      </c>
      <c r="F51" s="20" t="s">
        <v>376</v>
      </c>
      <c r="G51" s="22"/>
      <c r="H51" s="172">
        <f>IF(개요!$C$4=2017,43160,42795)</f>
        <v>42795</v>
      </c>
      <c r="I51" s="273">
        <v>0.2</v>
      </c>
      <c r="J51" s="275">
        <v>0.2</v>
      </c>
      <c r="K51" s="23">
        <v>0.2</v>
      </c>
      <c r="L51" s="23">
        <v>0.2</v>
      </c>
      <c r="M51" s="22" t="s">
        <v>43</v>
      </c>
      <c r="N51" s="22">
        <v>0.5</v>
      </c>
      <c r="O51" s="49">
        <v>3</v>
      </c>
      <c r="P51" s="22" t="s">
        <v>66</v>
      </c>
      <c r="Q51" s="22">
        <v>1</v>
      </c>
      <c r="R51" s="22">
        <v>3</v>
      </c>
      <c r="T51" s="247" t="s">
        <v>617</v>
      </c>
      <c r="U51" s="19" t="s">
        <v>609</v>
      </c>
      <c r="V51" s="173"/>
      <c r="W51" s="173"/>
      <c r="X51" s="173"/>
      <c r="Y51" s="20" t="s">
        <v>353</v>
      </c>
      <c r="Z51" s="20" t="s">
        <v>149</v>
      </c>
      <c r="AA51" s="65"/>
      <c r="AB51" s="65"/>
    </row>
    <row r="52" spans="1:28" ht="14.25" x14ac:dyDescent="0.15">
      <c r="A52" s="20" t="s">
        <v>185</v>
      </c>
      <c r="B52" s="20" t="s">
        <v>185</v>
      </c>
      <c r="C52" s="24" t="s">
        <v>181</v>
      </c>
      <c r="D52" s="24" t="s">
        <v>155</v>
      </c>
      <c r="E52" s="20" t="s">
        <v>155</v>
      </c>
      <c r="F52" s="20" t="s">
        <v>412</v>
      </c>
      <c r="G52" s="22"/>
      <c r="H52" s="172">
        <f>IF(개요!$C$4=2017,43160,42795)</f>
        <v>42795</v>
      </c>
      <c r="I52" s="273">
        <v>0.2</v>
      </c>
      <c r="J52" s="275">
        <v>0.2</v>
      </c>
      <c r="K52" s="23">
        <v>0.2</v>
      </c>
      <c r="L52" s="23">
        <v>0.2</v>
      </c>
      <c r="M52" s="22" t="s">
        <v>43</v>
      </c>
      <c r="N52" s="22">
        <v>0.5</v>
      </c>
      <c r="O52" s="49">
        <v>3</v>
      </c>
      <c r="P52" s="22" t="s">
        <v>66</v>
      </c>
      <c r="Q52" s="22">
        <v>1</v>
      </c>
      <c r="R52" s="22">
        <v>3</v>
      </c>
      <c r="T52" s="247" t="s">
        <v>601</v>
      </c>
      <c r="U52" s="245" t="s">
        <v>539</v>
      </c>
      <c r="V52" s="65"/>
      <c r="W52" s="173"/>
      <c r="X52" s="173"/>
      <c r="Y52" s="20" t="s">
        <v>400</v>
      </c>
      <c r="Z52" s="20" t="s">
        <v>149</v>
      </c>
      <c r="AA52" s="65"/>
      <c r="AB52" s="65"/>
    </row>
    <row r="53" spans="1:28" ht="14.25" x14ac:dyDescent="0.15">
      <c r="A53" s="20" t="s">
        <v>186</v>
      </c>
      <c r="B53" s="20" t="s">
        <v>186</v>
      </c>
      <c r="C53" s="24" t="s">
        <v>158</v>
      </c>
      <c r="D53" s="263" t="s">
        <v>149</v>
      </c>
      <c r="E53" s="20" t="s">
        <v>149</v>
      </c>
      <c r="F53" s="20" t="s">
        <v>368</v>
      </c>
      <c r="G53" s="22" t="s">
        <v>151</v>
      </c>
      <c r="H53" s="172">
        <f>IF(개요!$C$4=2017,43160,42795)</f>
        <v>42795</v>
      </c>
      <c r="I53" s="49"/>
      <c r="J53" s="49"/>
      <c r="K53" s="23">
        <v>0.1</v>
      </c>
      <c r="L53" s="23"/>
      <c r="M53" s="22" t="s">
        <v>69</v>
      </c>
      <c r="N53" s="22">
        <v>0</v>
      </c>
      <c r="O53" s="22">
        <v>0</v>
      </c>
      <c r="P53" s="22" t="s">
        <v>69</v>
      </c>
      <c r="Q53" s="22">
        <v>0</v>
      </c>
      <c r="R53" s="22">
        <v>0</v>
      </c>
      <c r="V53" s="65"/>
      <c r="W53" s="173"/>
      <c r="X53" s="173"/>
      <c r="Y53" s="20" t="s">
        <v>248</v>
      </c>
      <c r="Z53" s="20" t="s">
        <v>149</v>
      </c>
      <c r="AA53" s="65"/>
      <c r="AB53" s="65"/>
    </row>
    <row r="54" spans="1:28" ht="14.25" x14ac:dyDescent="0.15">
      <c r="A54" s="20" t="s">
        <v>187</v>
      </c>
      <c r="B54" s="20" t="s">
        <v>187</v>
      </c>
      <c r="C54" s="24" t="s">
        <v>126</v>
      </c>
      <c r="D54" s="24" t="s">
        <v>149</v>
      </c>
      <c r="E54" s="20" t="s">
        <v>149</v>
      </c>
      <c r="F54" s="20" t="s">
        <v>436</v>
      </c>
      <c r="G54" s="22"/>
      <c r="H54" s="172">
        <f>IF(개요!$C$4=2017,43160,42795)</f>
        <v>42795</v>
      </c>
      <c r="I54" s="272">
        <v>0.1</v>
      </c>
      <c r="J54" s="274">
        <v>0.1</v>
      </c>
      <c r="K54" s="23">
        <v>0.1</v>
      </c>
      <c r="L54" s="23">
        <v>0.1</v>
      </c>
      <c r="M54" s="22" t="s">
        <v>43</v>
      </c>
      <c r="N54" s="22">
        <v>0.5</v>
      </c>
      <c r="O54" s="49">
        <v>3</v>
      </c>
      <c r="P54" s="22" t="s">
        <v>66</v>
      </c>
      <c r="Q54" s="22">
        <v>1</v>
      </c>
      <c r="R54" s="22">
        <v>3</v>
      </c>
      <c r="T54" s="173"/>
      <c r="U54" s="173"/>
      <c r="V54" s="173"/>
      <c r="W54" s="173"/>
      <c r="X54" s="173"/>
      <c r="Y54" s="20" t="s">
        <v>297</v>
      </c>
      <c r="Z54" s="20" t="s">
        <v>149</v>
      </c>
      <c r="AA54" s="65"/>
      <c r="AB54" s="65"/>
    </row>
    <row r="55" spans="1:28" ht="14.25" x14ac:dyDescent="0.15">
      <c r="A55" s="20" t="s">
        <v>189</v>
      </c>
      <c r="B55" s="20" t="s">
        <v>189</v>
      </c>
      <c r="C55" s="24" t="s">
        <v>165</v>
      </c>
      <c r="D55" s="24" t="s">
        <v>149</v>
      </c>
      <c r="E55" s="20" t="s">
        <v>149</v>
      </c>
      <c r="F55" s="20" t="s">
        <v>424</v>
      </c>
      <c r="G55" s="22" t="s">
        <v>151</v>
      </c>
      <c r="H55" s="172">
        <f>IF(개요!$C$4=2017,43160,42795)</f>
        <v>42795</v>
      </c>
      <c r="I55" s="49"/>
      <c r="J55" s="49"/>
      <c r="K55" s="22"/>
      <c r="L55" s="167"/>
      <c r="M55" s="22" t="s">
        <v>69</v>
      </c>
      <c r="N55" s="22">
        <v>0</v>
      </c>
      <c r="O55" s="22">
        <v>0</v>
      </c>
      <c r="P55" s="22" t="s">
        <v>69</v>
      </c>
      <c r="Q55" s="22">
        <v>0</v>
      </c>
      <c r="R55" s="22">
        <v>0</v>
      </c>
      <c r="T55" s="184"/>
      <c r="U55" s="184"/>
      <c r="V55" s="184"/>
      <c r="W55" s="184"/>
      <c r="X55" s="184"/>
      <c r="Y55" s="20" t="s">
        <v>252</v>
      </c>
      <c r="Z55" s="20" t="s">
        <v>149</v>
      </c>
      <c r="AA55" s="65"/>
      <c r="AB55" s="65"/>
    </row>
    <row r="56" spans="1:28" ht="14.25" x14ac:dyDescent="0.15">
      <c r="A56" s="20" t="s">
        <v>194</v>
      </c>
      <c r="B56" s="20" t="s">
        <v>194</v>
      </c>
      <c r="C56" s="24" t="s">
        <v>126</v>
      </c>
      <c r="D56" s="263" t="s">
        <v>155</v>
      </c>
      <c r="E56" s="20" t="s">
        <v>155</v>
      </c>
      <c r="F56" s="20" t="s">
        <v>382</v>
      </c>
      <c r="G56" s="22"/>
      <c r="H56" s="172">
        <f>IF(개요!$C$4=2017,43160,42795)</f>
        <v>42795</v>
      </c>
      <c r="I56" s="272">
        <v>0.1</v>
      </c>
      <c r="J56" s="275">
        <v>0.2</v>
      </c>
      <c r="K56" s="23">
        <v>0.1</v>
      </c>
      <c r="L56" s="23">
        <v>0.2</v>
      </c>
      <c r="M56" s="22" t="s">
        <v>43</v>
      </c>
      <c r="N56" s="22">
        <v>0.5</v>
      </c>
      <c r="O56" s="49">
        <v>3</v>
      </c>
      <c r="P56" s="22" t="s">
        <v>66</v>
      </c>
      <c r="Q56" s="22">
        <v>1</v>
      </c>
      <c r="R56" s="22">
        <v>3</v>
      </c>
      <c r="T56" s="184" t="s">
        <v>112</v>
      </c>
      <c r="U56" s="184" t="s">
        <v>112</v>
      </c>
      <c r="V56" s="184"/>
      <c r="W56" s="184"/>
      <c r="X56" s="184"/>
      <c r="Y56" s="20" t="s">
        <v>356</v>
      </c>
      <c r="Z56" s="20" t="s">
        <v>149</v>
      </c>
      <c r="AA56" s="65"/>
      <c r="AB56" s="65"/>
    </row>
    <row r="57" spans="1:28" ht="14.25" x14ac:dyDescent="0.15">
      <c r="A57" s="20" t="s">
        <v>191</v>
      </c>
      <c r="B57" s="22" t="s">
        <v>191</v>
      </c>
      <c r="C57" s="24" t="s">
        <v>165</v>
      </c>
      <c r="D57" s="24" t="s">
        <v>149</v>
      </c>
      <c r="E57" s="20" t="s">
        <v>149</v>
      </c>
      <c r="F57" s="20" t="s">
        <v>388</v>
      </c>
      <c r="G57" s="22"/>
      <c r="H57" s="172">
        <f>IF(개요!$C$4=2017,43160,42795)</f>
        <v>42795</v>
      </c>
      <c r="I57" s="272">
        <v>0.1</v>
      </c>
      <c r="J57" s="274">
        <v>0.1</v>
      </c>
      <c r="K57" s="23">
        <v>0.1</v>
      </c>
      <c r="L57" s="23">
        <v>0.1</v>
      </c>
      <c r="M57" s="22" t="s">
        <v>43</v>
      </c>
      <c r="N57" s="22">
        <v>0.5</v>
      </c>
      <c r="O57" s="49">
        <v>3</v>
      </c>
      <c r="P57" s="22" t="s">
        <v>66</v>
      </c>
      <c r="Q57" s="22">
        <v>1</v>
      </c>
      <c r="R57" s="22">
        <v>3</v>
      </c>
      <c r="T57" s="184" t="s">
        <v>109</v>
      </c>
      <c r="U57" s="184" t="s">
        <v>109</v>
      </c>
      <c r="V57" s="184"/>
      <c r="W57" s="184"/>
      <c r="X57" s="184"/>
      <c r="Y57" s="20" t="s">
        <v>250</v>
      </c>
      <c r="Z57" s="20" t="s">
        <v>149</v>
      </c>
      <c r="AA57" s="184"/>
      <c r="AB57" s="184"/>
    </row>
    <row r="58" spans="1:28" ht="14.25" x14ac:dyDescent="0.15">
      <c r="A58" s="20" t="s">
        <v>190</v>
      </c>
      <c r="B58" s="22" t="s">
        <v>190</v>
      </c>
      <c r="C58" s="24" t="s">
        <v>126</v>
      </c>
      <c r="D58" s="24" t="s">
        <v>149</v>
      </c>
      <c r="E58" s="20" t="s">
        <v>149</v>
      </c>
      <c r="F58" s="20" t="s">
        <v>419</v>
      </c>
      <c r="G58" s="22"/>
      <c r="H58" s="172">
        <f>IF(개요!$C$4=2017,43160,42795)</f>
        <v>42795</v>
      </c>
      <c r="I58" s="272">
        <v>0.1</v>
      </c>
      <c r="J58" s="274">
        <v>0.1</v>
      </c>
      <c r="K58" s="23">
        <v>0.1</v>
      </c>
      <c r="L58" s="23">
        <v>0.1</v>
      </c>
      <c r="M58" s="22" t="s">
        <v>43</v>
      </c>
      <c r="N58" s="22">
        <v>0.5</v>
      </c>
      <c r="O58" s="49">
        <v>3</v>
      </c>
      <c r="P58" s="22" t="s">
        <v>66</v>
      </c>
      <c r="Q58" s="22">
        <v>1</v>
      </c>
      <c r="R58" s="22">
        <v>3</v>
      </c>
      <c r="T58" s="184" t="s">
        <v>431</v>
      </c>
      <c r="U58" s="184" t="s">
        <v>431</v>
      </c>
      <c r="V58" s="248"/>
      <c r="W58" s="248"/>
      <c r="X58" s="184"/>
      <c r="Y58" s="20" t="s">
        <v>347</v>
      </c>
      <c r="Z58" s="20" t="s">
        <v>149</v>
      </c>
      <c r="AA58" s="184"/>
      <c r="AB58" s="184"/>
    </row>
    <row r="59" spans="1:28" ht="14.25" x14ac:dyDescent="0.15">
      <c r="A59" s="20" t="s">
        <v>192</v>
      </c>
      <c r="B59" s="22" t="s">
        <v>192</v>
      </c>
      <c r="C59" s="24" t="s">
        <v>158</v>
      </c>
      <c r="D59" s="24" t="s">
        <v>149</v>
      </c>
      <c r="E59" s="20" t="s">
        <v>149</v>
      </c>
      <c r="F59" s="20" t="s">
        <v>441</v>
      </c>
      <c r="G59" s="22" t="s">
        <v>151</v>
      </c>
      <c r="H59" s="172">
        <f>IF(개요!$C$4=2017,43160,42795)</f>
        <v>42795</v>
      </c>
      <c r="I59" s="49"/>
      <c r="J59" s="49"/>
      <c r="K59" s="22"/>
      <c r="L59" s="167"/>
      <c r="M59" s="22" t="s">
        <v>69</v>
      </c>
      <c r="N59" s="22">
        <v>0</v>
      </c>
      <c r="O59" s="22">
        <v>0</v>
      </c>
      <c r="P59" s="22" t="s">
        <v>69</v>
      </c>
      <c r="Q59" s="22">
        <v>0</v>
      </c>
      <c r="R59" s="22">
        <v>0</v>
      </c>
      <c r="T59" s="173" t="s">
        <v>19</v>
      </c>
      <c r="U59" s="173" t="s">
        <v>19</v>
      </c>
      <c r="V59" s="173"/>
      <c r="W59" s="173"/>
      <c r="X59" s="173"/>
      <c r="Y59" s="20" t="s">
        <v>304</v>
      </c>
      <c r="Z59" s="20" t="s">
        <v>149</v>
      </c>
      <c r="AA59" s="184"/>
      <c r="AB59" s="184"/>
    </row>
    <row r="60" spans="1:28" ht="13.5" customHeight="1" x14ac:dyDescent="0.15">
      <c r="A60" s="103"/>
      <c r="B60" s="103"/>
      <c r="C60" s="103"/>
      <c r="D60" s="176"/>
      <c r="E60" s="176"/>
      <c r="F60" s="176"/>
      <c r="G60" s="176"/>
      <c r="H60" s="103"/>
      <c r="I60" s="102"/>
      <c r="J60" s="102"/>
      <c r="K60" s="102"/>
      <c r="L60" s="175"/>
      <c r="M60" s="25"/>
      <c r="N60" s="25"/>
      <c r="O60" s="25"/>
      <c r="P60" s="175"/>
      <c r="Q60" s="175"/>
      <c r="R60" s="175"/>
      <c r="T60" s="173" t="s">
        <v>430</v>
      </c>
      <c r="U60" s="173" t="s">
        <v>430</v>
      </c>
      <c r="V60" s="173"/>
      <c r="W60" s="173"/>
      <c r="X60" s="173"/>
      <c r="Y60" s="184"/>
      <c r="Z60" s="184"/>
      <c r="AA60" s="185"/>
      <c r="AB60" s="185"/>
    </row>
    <row r="61" spans="1:28" ht="14.25" x14ac:dyDescent="0.15">
      <c r="A61" s="20" t="s">
        <v>355</v>
      </c>
      <c r="B61" s="20" t="s">
        <v>355</v>
      </c>
      <c r="C61" s="24" t="s">
        <v>126</v>
      </c>
      <c r="D61" s="24" t="s">
        <v>149</v>
      </c>
      <c r="E61" s="20" t="s">
        <v>149</v>
      </c>
      <c r="G61" s="174"/>
      <c r="H61" s="172">
        <v>43160</v>
      </c>
      <c r="I61" s="272">
        <v>0.1</v>
      </c>
      <c r="J61" s="274">
        <v>0.1</v>
      </c>
      <c r="K61" s="23">
        <v>0.1</v>
      </c>
      <c r="L61" s="23">
        <v>0.1</v>
      </c>
      <c r="M61" s="174" t="s">
        <v>43</v>
      </c>
      <c r="N61" s="174">
        <v>0.5</v>
      </c>
      <c r="O61" s="174">
        <v>3</v>
      </c>
      <c r="P61" s="174" t="s">
        <v>66</v>
      </c>
      <c r="Q61" s="174">
        <v>1</v>
      </c>
      <c r="R61" s="174">
        <v>3</v>
      </c>
      <c r="T61" s="173" t="s">
        <v>394</v>
      </c>
      <c r="U61" s="173" t="s">
        <v>394</v>
      </c>
      <c r="Y61" s="185"/>
      <c r="Z61" s="185"/>
    </row>
    <row r="62" spans="1:28" ht="14.25" x14ac:dyDescent="0.15">
      <c r="A62" s="20" t="s">
        <v>322</v>
      </c>
      <c r="B62" s="20" t="s">
        <v>322</v>
      </c>
      <c r="C62" s="24" t="s">
        <v>181</v>
      </c>
      <c r="D62" s="24" t="s">
        <v>149</v>
      </c>
      <c r="E62" s="20" t="s">
        <v>149</v>
      </c>
      <c r="G62" s="174"/>
      <c r="H62" s="172">
        <v>43160</v>
      </c>
      <c r="I62" s="272">
        <v>0.1</v>
      </c>
      <c r="J62" s="274">
        <v>0.1</v>
      </c>
      <c r="K62" s="23">
        <v>0.1</v>
      </c>
      <c r="L62" s="23">
        <v>0.1</v>
      </c>
      <c r="M62" s="174" t="s">
        <v>43</v>
      </c>
      <c r="N62" s="174">
        <v>0.5</v>
      </c>
      <c r="O62" s="174">
        <v>3</v>
      </c>
      <c r="P62" s="174" t="s">
        <v>66</v>
      </c>
      <c r="Q62" s="174">
        <v>1</v>
      </c>
      <c r="R62" s="174">
        <v>3</v>
      </c>
      <c r="T62" s="173" t="s">
        <v>379</v>
      </c>
      <c r="U62" s="173" t="s">
        <v>379</v>
      </c>
    </row>
    <row r="63" spans="1:28" ht="14.25" x14ac:dyDescent="0.15">
      <c r="A63" s="20" t="s">
        <v>245</v>
      </c>
      <c r="B63" s="20" t="s">
        <v>245</v>
      </c>
      <c r="C63" s="24" t="s">
        <v>181</v>
      </c>
      <c r="D63" s="24" t="s">
        <v>149</v>
      </c>
      <c r="E63" s="20" t="s">
        <v>149</v>
      </c>
      <c r="G63" s="174" t="s">
        <v>151</v>
      </c>
      <c r="H63" s="172">
        <v>43160</v>
      </c>
      <c r="I63" s="49"/>
      <c r="J63" s="49"/>
      <c r="K63" s="22"/>
      <c r="L63" s="174"/>
      <c r="M63" s="174" t="s">
        <v>69</v>
      </c>
      <c r="N63" s="174">
        <v>0</v>
      </c>
      <c r="O63" s="174">
        <v>0</v>
      </c>
      <c r="P63" s="174" t="s">
        <v>69</v>
      </c>
      <c r="Q63" s="174">
        <v>1</v>
      </c>
      <c r="R63" s="174">
        <v>3</v>
      </c>
      <c r="T63" s="173" t="s">
        <v>386</v>
      </c>
      <c r="U63" s="173" t="s">
        <v>386</v>
      </c>
    </row>
    <row r="64" spans="1:28" ht="14.25" x14ac:dyDescent="0.15">
      <c r="A64" s="20" t="s">
        <v>326</v>
      </c>
      <c r="B64" s="20" t="s">
        <v>326</v>
      </c>
      <c r="C64" s="24" t="s">
        <v>158</v>
      </c>
      <c r="D64" s="24" t="s">
        <v>149</v>
      </c>
      <c r="E64" s="20" t="s">
        <v>149</v>
      </c>
      <c r="G64" s="174" t="s">
        <v>151</v>
      </c>
      <c r="H64" s="172">
        <v>43160</v>
      </c>
      <c r="I64" s="49"/>
      <c r="J64" s="49"/>
      <c r="K64" s="174"/>
      <c r="L64" s="174"/>
      <c r="M64" s="174" t="s">
        <v>69</v>
      </c>
      <c r="N64" s="174">
        <v>0</v>
      </c>
      <c r="O64" s="174">
        <v>0</v>
      </c>
      <c r="P64" s="174" t="s">
        <v>69</v>
      </c>
      <c r="Q64" s="174">
        <v>0</v>
      </c>
      <c r="R64" s="174">
        <v>0</v>
      </c>
      <c r="T64" s="173" t="s">
        <v>471</v>
      </c>
      <c r="U64" s="173" t="s">
        <v>471</v>
      </c>
    </row>
    <row r="65" spans="1:21" ht="14.25" x14ac:dyDescent="0.15">
      <c r="A65" s="20" t="s">
        <v>232</v>
      </c>
      <c r="B65" s="20" t="s">
        <v>232</v>
      </c>
      <c r="C65" s="24" t="s">
        <v>158</v>
      </c>
      <c r="D65" s="24" t="s">
        <v>155</v>
      </c>
      <c r="E65" s="20" t="s">
        <v>155</v>
      </c>
      <c r="G65" s="174" t="s">
        <v>151</v>
      </c>
      <c r="H65" s="172">
        <v>43160</v>
      </c>
      <c r="I65" s="49"/>
      <c r="J65" s="49"/>
      <c r="K65" s="23">
        <v>0.1</v>
      </c>
      <c r="L65" s="23">
        <v>0.1</v>
      </c>
      <c r="M65" s="174" t="s">
        <v>69</v>
      </c>
      <c r="N65" s="174">
        <v>0</v>
      </c>
      <c r="O65" s="174">
        <v>0</v>
      </c>
      <c r="P65" s="174" t="s">
        <v>69</v>
      </c>
      <c r="Q65" s="174">
        <v>0</v>
      </c>
      <c r="R65" s="174">
        <v>0</v>
      </c>
      <c r="T65" s="173" t="s">
        <v>440</v>
      </c>
      <c r="U65" s="173" t="s">
        <v>440</v>
      </c>
    </row>
    <row r="66" spans="1:21" ht="14.25" x14ac:dyDescent="0.15">
      <c r="A66" s="20" t="s">
        <v>264</v>
      </c>
      <c r="B66" s="20" t="s">
        <v>264</v>
      </c>
      <c r="C66" s="24" t="s">
        <v>165</v>
      </c>
      <c r="D66" s="24" t="s">
        <v>155</v>
      </c>
      <c r="E66" s="20" t="s">
        <v>155</v>
      </c>
      <c r="G66" s="174" t="s">
        <v>182</v>
      </c>
      <c r="H66" s="172">
        <v>43160</v>
      </c>
      <c r="I66" s="49"/>
      <c r="J66" s="49"/>
      <c r="K66" s="23">
        <v>0.3</v>
      </c>
      <c r="L66" s="23">
        <v>0.3</v>
      </c>
      <c r="M66" s="174" t="s">
        <v>69</v>
      </c>
      <c r="N66" s="174">
        <v>0</v>
      </c>
      <c r="O66" s="174">
        <v>0</v>
      </c>
      <c r="P66" s="174" t="s">
        <v>69</v>
      </c>
      <c r="Q66" s="174">
        <v>0</v>
      </c>
      <c r="R66" s="174">
        <v>0</v>
      </c>
      <c r="T66" s="173" t="s">
        <v>387</v>
      </c>
      <c r="U66" s="173" t="s">
        <v>387</v>
      </c>
    </row>
    <row r="67" spans="1:21" ht="14.25" x14ac:dyDescent="0.15">
      <c r="A67" s="20" t="s">
        <v>594</v>
      </c>
      <c r="B67" s="20" t="s">
        <v>594</v>
      </c>
      <c r="C67" s="24" t="s">
        <v>165</v>
      </c>
      <c r="D67" s="24" t="s">
        <v>173</v>
      </c>
      <c r="E67" s="20" t="s">
        <v>173</v>
      </c>
      <c r="G67" s="174" t="s">
        <v>169</v>
      </c>
      <c r="H67" s="172">
        <v>43160</v>
      </c>
      <c r="I67" s="49"/>
      <c r="J67" s="49"/>
      <c r="K67" s="23">
        <v>0.6</v>
      </c>
      <c r="L67" s="23">
        <v>0.6</v>
      </c>
      <c r="M67" s="174" t="s">
        <v>69</v>
      </c>
      <c r="N67" s="174">
        <v>0</v>
      </c>
      <c r="O67" s="174">
        <v>0</v>
      </c>
      <c r="P67" s="174" t="s">
        <v>69</v>
      </c>
      <c r="Q67" s="174">
        <v>0</v>
      </c>
      <c r="R67" s="174">
        <v>0</v>
      </c>
    </row>
    <row r="68" spans="1:21" ht="14.25" x14ac:dyDescent="0.15">
      <c r="A68" s="20" t="s">
        <v>228</v>
      </c>
      <c r="B68" s="20" t="s">
        <v>228</v>
      </c>
      <c r="C68" s="24" t="s">
        <v>165</v>
      </c>
      <c r="D68" s="24" t="s">
        <v>155</v>
      </c>
      <c r="E68" s="20" t="s">
        <v>155</v>
      </c>
      <c r="G68" s="174" t="s">
        <v>182</v>
      </c>
      <c r="H68" s="172">
        <v>43160</v>
      </c>
      <c r="I68" s="49"/>
      <c r="J68" s="49"/>
      <c r="K68" s="23">
        <v>0.3</v>
      </c>
      <c r="L68" s="23">
        <v>0.3</v>
      </c>
      <c r="M68" s="174" t="s">
        <v>69</v>
      </c>
      <c r="N68" s="174">
        <v>0</v>
      </c>
      <c r="O68" s="174">
        <v>0</v>
      </c>
      <c r="P68" s="174" t="s">
        <v>69</v>
      </c>
      <c r="Q68" s="174">
        <v>0</v>
      </c>
      <c r="R68" s="174">
        <v>0</v>
      </c>
    </row>
    <row r="69" spans="1:21" ht="14.25" x14ac:dyDescent="0.15">
      <c r="A69" s="20" t="s">
        <v>236</v>
      </c>
      <c r="B69" s="20" t="s">
        <v>236</v>
      </c>
      <c r="C69" s="24" t="s">
        <v>165</v>
      </c>
      <c r="D69" s="24" t="s">
        <v>155</v>
      </c>
      <c r="E69" s="20" t="s">
        <v>155</v>
      </c>
      <c r="G69" s="174" t="s">
        <v>182</v>
      </c>
      <c r="H69" s="172">
        <v>43160</v>
      </c>
      <c r="I69" s="49"/>
      <c r="J69" s="49"/>
      <c r="K69" s="23">
        <v>0.3</v>
      </c>
      <c r="L69" s="23">
        <v>0.3</v>
      </c>
      <c r="M69" s="174" t="s">
        <v>69</v>
      </c>
      <c r="N69" s="174">
        <v>0</v>
      </c>
      <c r="O69" s="174">
        <v>0</v>
      </c>
      <c r="P69" s="174" t="s">
        <v>69</v>
      </c>
      <c r="Q69" s="174">
        <v>0</v>
      </c>
      <c r="R69" s="174">
        <v>0</v>
      </c>
    </row>
    <row r="70" spans="1:21" ht="14.25" x14ac:dyDescent="0.15">
      <c r="A70" s="20" t="s">
        <v>254</v>
      </c>
      <c r="B70" s="20" t="s">
        <v>254</v>
      </c>
      <c r="C70" s="24" t="s">
        <v>181</v>
      </c>
      <c r="D70" s="24" t="s">
        <v>149</v>
      </c>
      <c r="E70" s="20" t="s">
        <v>149</v>
      </c>
      <c r="G70" s="174"/>
      <c r="H70" s="172">
        <v>43160</v>
      </c>
      <c r="I70" s="272">
        <v>0.1</v>
      </c>
      <c r="J70" s="274">
        <v>0.1</v>
      </c>
      <c r="K70" s="23">
        <v>0.1</v>
      </c>
      <c r="L70" s="23">
        <v>0.1</v>
      </c>
      <c r="M70" s="174" t="s">
        <v>43</v>
      </c>
      <c r="N70" s="174">
        <v>0.5</v>
      </c>
      <c r="O70" s="174">
        <v>3</v>
      </c>
      <c r="P70" s="174" t="s">
        <v>66</v>
      </c>
      <c r="Q70" s="174">
        <v>0</v>
      </c>
      <c r="R70" s="174">
        <v>0</v>
      </c>
      <c r="T70" s="250" t="s">
        <v>63</v>
      </c>
      <c r="U70" s="250" t="s">
        <v>63</v>
      </c>
    </row>
    <row r="71" spans="1:21" ht="14.25" x14ac:dyDescent="0.15">
      <c r="A71" s="20" t="s">
        <v>229</v>
      </c>
      <c r="B71" s="20" t="s">
        <v>229</v>
      </c>
      <c r="C71" s="24" t="s">
        <v>126</v>
      </c>
      <c r="D71" s="24" t="s">
        <v>149</v>
      </c>
      <c r="E71" s="21" t="s">
        <v>149</v>
      </c>
      <c r="G71" s="174"/>
      <c r="H71" s="172">
        <v>43160</v>
      </c>
      <c r="I71" s="272">
        <v>0.1</v>
      </c>
      <c r="J71" s="274">
        <v>0.1</v>
      </c>
      <c r="K71" s="23">
        <v>0.1</v>
      </c>
      <c r="L71" s="23">
        <v>0.1</v>
      </c>
      <c r="M71" s="174" t="s">
        <v>43</v>
      </c>
      <c r="N71" s="174">
        <v>0.5</v>
      </c>
      <c r="O71" s="174">
        <v>3</v>
      </c>
      <c r="P71" s="174" t="s">
        <v>66</v>
      </c>
      <c r="Q71" s="174">
        <v>1</v>
      </c>
      <c r="R71" s="174">
        <v>3</v>
      </c>
      <c r="T71" s="250" t="s">
        <v>50</v>
      </c>
      <c r="U71" s="250" t="s">
        <v>50</v>
      </c>
    </row>
    <row r="72" spans="1:21" ht="14.25" x14ac:dyDescent="0.15">
      <c r="A72" s="20" t="s">
        <v>314</v>
      </c>
      <c r="B72" s="20" t="s">
        <v>314</v>
      </c>
      <c r="C72" s="24" t="s">
        <v>126</v>
      </c>
      <c r="D72" s="263" t="s">
        <v>155</v>
      </c>
      <c r="E72" s="20" t="s">
        <v>155</v>
      </c>
      <c r="G72" s="174"/>
      <c r="H72" s="172">
        <v>43160</v>
      </c>
      <c r="I72" s="272">
        <v>0.1</v>
      </c>
      <c r="J72" s="275">
        <v>0.2</v>
      </c>
      <c r="K72" s="23">
        <v>0.1</v>
      </c>
      <c r="L72" s="23">
        <v>0.2</v>
      </c>
      <c r="M72" s="174" t="s">
        <v>43</v>
      </c>
      <c r="N72" s="174">
        <v>0.5</v>
      </c>
      <c r="O72" s="174">
        <v>3</v>
      </c>
      <c r="P72" s="174" t="s">
        <v>66</v>
      </c>
      <c r="Q72" s="174">
        <v>0</v>
      </c>
      <c r="R72" s="174">
        <v>0</v>
      </c>
      <c r="T72" s="250" t="s">
        <v>101</v>
      </c>
      <c r="U72" s="250" t="s">
        <v>101</v>
      </c>
    </row>
    <row r="73" spans="1:21" ht="14.25" x14ac:dyDescent="0.15">
      <c r="A73" s="21" t="s">
        <v>328</v>
      </c>
      <c r="B73" s="21" t="s">
        <v>328</v>
      </c>
      <c r="C73" s="24" t="s">
        <v>165</v>
      </c>
      <c r="D73" s="24" t="s">
        <v>149</v>
      </c>
      <c r="E73" s="20" t="s">
        <v>149</v>
      </c>
      <c r="G73" s="174" t="s">
        <v>151</v>
      </c>
      <c r="H73" s="172">
        <v>43160</v>
      </c>
      <c r="I73" s="49"/>
      <c r="J73" s="49"/>
      <c r="K73" s="22"/>
      <c r="L73" s="174"/>
      <c r="M73" s="174" t="s">
        <v>69</v>
      </c>
      <c r="N73" s="174">
        <v>0</v>
      </c>
      <c r="O73" s="174">
        <v>0</v>
      </c>
      <c r="P73" s="174" t="s">
        <v>69</v>
      </c>
      <c r="Q73" s="174">
        <v>1</v>
      </c>
      <c r="R73" s="174">
        <v>3</v>
      </c>
      <c r="T73" s="250" t="s">
        <v>128</v>
      </c>
      <c r="U73" s="250" t="s">
        <v>128</v>
      </c>
    </row>
    <row r="74" spans="1:21" ht="14.25" x14ac:dyDescent="0.15">
      <c r="A74" s="20" t="s">
        <v>305</v>
      </c>
      <c r="B74" s="20" t="s">
        <v>305</v>
      </c>
      <c r="C74" s="24" t="s">
        <v>126</v>
      </c>
      <c r="D74" s="24" t="s">
        <v>149</v>
      </c>
      <c r="E74" s="20" t="s">
        <v>149</v>
      </c>
      <c r="G74" s="174"/>
      <c r="H74" s="172">
        <v>43160</v>
      </c>
      <c r="I74" s="272">
        <v>0.1</v>
      </c>
      <c r="J74" s="274">
        <v>0.1</v>
      </c>
      <c r="K74" s="23">
        <v>0.1</v>
      </c>
      <c r="L74" s="23">
        <v>0.1</v>
      </c>
      <c r="M74" s="174" t="s">
        <v>43</v>
      </c>
      <c r="N74" s="174">
        <v>0.5</v>
      </c>
      <c r="O74" s="174">
        <v>3</v>
      </c>
      <c r="P74" s="174" t="s">
        <v>66</v>
      </c>
      <c r="Q74" s="174">
        <v>1</v>
      </c>
      <c r="R74" s="174">
        <v>3</v>
      </c>
      <c r="T74" s="250" t="s">
        <v>144</v>
      </c>
      <c r="U74" s="250" t="s">
        <v>144</v>
      </c>
    </row>
    <row r="75" spans="1:21" ht="14.25" x14ac:dyDescent="0.15">
      <c r="A75" s="20" t="s">
        <v>240</v>
      </c>
      <c r="B75" s="20" t="s">
        <v>240</v>
      </c>
      <c r="C75" s="24" t="s">
        <v>126</v>
      </c>
      <c r="D75" s="263" t="s">
        <v>149</v>
      </c>
      <c r="E75" s="20" t="s">
        <v>149</v>
      </c>
      <c r="G75" s="174"/>
      <c r="H75" s="172">
        <v>43160</v>
      </c>
      <c r="I75" s="273">
        <v>0.2</v>
      </c>
      <c r="J75" s="274">
        <v>0.1</v>
      </c>
      <c r="K75" s="23">
        <v>0.2</v>
      </c>
      <c r="L75" s="23">
        <v>0.1</v>
      </c>
      <c r="M75" s="174" t="s">
        <v>43</v>
      </c>
      <c r="N75" s="174">
        <v>0.5</v>
      </c>
      <c r="O75" s="174">
        <v>3</v>
      </c>
      <c r="P75" s="174" t="s">
        <v>66</v>
      </c>
      <c r="Q75" s="174">
        <v>0</v>
      </c>
      <c r="R75" s="174">
        <v>0</v>
      </c>
    </row>
    <row r="76" spans="1:21" ht="14.25" x14ac:dyDescent="0.15">
      <c r="A76" s="20" t="s">
        <v>227</v>
      </c>
      <c r="B76" s="20" t="s">
        <v>227</v>
      </c>
      <c r="C76" s="24" t="s">
        <v>158</v>
      </c>
      <c r="D76" s="24" t="s">
        <v>155</v>
      </c>
      <c r="E76" s="20" t="s">
        <v>155</v>
      </c>
      <c r="G76" s="174" t="s">
        <v>151</v>
      </c>
      <c r="H76" s="172">
        <v>43160</v>
      </c>
      <c r="I76" s="49"/>
      <c r="J76" s="49"/>
      <c r="K76" s="23">
        <v>0.1</v>
      </c>
      <c r="L76" s="23">
        <v>0.1</v>
      </c>
      <c r="M76" s="174" t="s">
        <v>69</v>
      </c>
      <c r="N76" s="174">
        <v>0</v>
      </c>
      <c r="O76" s="174">
        <v>0</v>
      </c>
      <c r="P76" s="174" t="s">
        <v>69</v>
      </c>
      <c r="Q76" s="174">
        <v>1</v>
      </c>
      <c r="R76" s="174">
        <v>3</v>
      </c>
    </row>
    <row r="77" spans="1:21" ht="14.25" x14ac:dyDescent="0.15">
      <c r="A77" s="20" t="s">
        <v>317</v>
      </c>
      <c r="B77" s="20" t="s">
        <v>317</v>
      </c>
      <c r="C77" s="24" t="s">
        <v>165</v>
      </c>
      <c r="D77" s="24" t="s">
        <v>149</v>
      </c>
      <c r="E77" s="20" t="s">
        <v>149</v>
      </c>
      <c r="G77" s="174"/>
      <c r="H77" s="172">
        <v>43160</v>
      </c>
      <c r="I77" s="272">
        <v>0.1</v>
      </c>
      <c r="J77" s="274">
        <v>0.1</v>
      </c>
      <c r="K77" s="23">
        <v>0.1</v>
      </c>
      <c r="L77" s="23">
        <v>0.1</v>
      </c>
      <c r="M77" s="174" t="s">
        <v>43</v>
      </c>
      <c r="N77" s="174">
        <v>0.5</v>
      </c>
      <c r="O77" s="174">
        <v>3</v>
      </c>
      <c r="P77" s="174" t="s">
        <v>66</v>
      </c>
      <c r="Q77" s="174">
        <v>1</v>
      </c>
      <c r="R77" s="174">
        <v>3</v>
      </c>
    </row>
    <row r="78" spans="1:21" ht="14.25" x14ac:dyDescent="0.15">
      <c r="A78" s="20" t="s">
        <v>343</v>
      </c>
      <c r="B78" s="20" t="s">
        <v>343</v>
      </c>
      <c r="C78" s="24" t="s">
        <v>165</v>
      </c>
      <c r="D78" s="24" t="s">
        <v>149</v>
      </c>
      <c r="E78" s="20" t="s">
        <v>149</v>
      </c>
      <c r="G78" s="174" t="s">
        <v>151</v>
      </c>
      <c r="H78" s="172">
        <v>43160</v>
      </c>
      <c r="I78" s="49"/>
      <c r="J78" s="49"/>
      <c r="K78" s="22"/>
      <c r="L78" s="174"/>
      <c r="M78" s="174" t="s">
        <v>69</v>
      </c>
      <c r="N78" s="174">
        <v>0</v>
      </c>
      <c r="O78" s="174">
        <v>0</v>
      </c>
      <c r="P78" s="174" t="s">
        <v>69</v>
      </c>
      <c r="Q78" s="174">
        <v>1</v>
      </c>
      <c r="R78" s="174">
        <v>3</v>
      </c>
    </row>
    <row r="79" spans="1:21" ht="14.25" x14ac:dyDescent="0.15">
      <c r="A79" s="20" t="s">
        <v>353</v>
      </c>
      <c r="B79" s="20" t="s">
        <v>353</v>
      </c>
      <c r="C79" s="24" t="s">
        <v>165</v>
      </c>
      <c r="D79" s="24" t="s">
        <v>149</v>
      </c>
      <c r="E79" s="20" t="s">
        <v>149</v>
      </c>
      <c r="G79" s="174" t="s">
        <v>151</v>
      </c>
      <c r="H79" s="172">
        <v>43160</v>
      </c>
      <c r="I79" s="49"/>
      <c r="J79" s="49"/>
      <c r="K79" s="22"/>
      <c r="L79" s="174"/>
      <c r="M79" s="174" t="s">
        <v>69</v>
      </c>
      <c r="N79" s="174">
        <v>0</v>
      </c>
      <c r="O79" s="174">
        <v>0</v>
      </c>
      <c r="P79" s="174" t="s">
        <v>69</v>
      </c>
      <c r="Q79" s="174">
        <v>1</v>
      </c>
      <c r="R79" s="174">
        <v>3</v>
      </c>
    </row>
    <row r="80" spans="1:21" ht="14.25" x14ac:dyDescent="0.15">
      <c r="A80" s="20" t="s">
        <v>219</v>
      </c>
      <c r="B80" s="20" t="s">
        <v>219</v>
      </c>
      <c r="C80" s="24" t="s">
        <v>181</v>
      </c>
      <c r="D80" s="24" t="s">
        <v>155</v>
      </c>
      <c r="E80" s="20" t="s">
        <v>155</v>
      </c>
      <c r="G80" s="174"/>
      <c r="H80" s="172">
        <v>43160</v>
      </c>
      <c r="I80" s="273">
        <v>0.2</v>
      </c>
      <c r="J80" s="275">
        <v>0.2</v>
      </c>
      <c r="K80" s="23">
        <v>0.2</v>
      </c>
      <c r="L80" s="23">
        <v>0.2</v>
      </c>
      <c r="M80" s="174" t="s">
        <v>43</v>
      </c>
      <c r="N80" s="174">
        <v>0.5</v>
      </c>
      <c r="O80" s="174">
        <v>3</v>
      </c>
      <c r="P80" s="174" t="s">
        <v>66</v>
      </c>
      <c r="Q80" s="174">
        <v>1</v>
      </c>
      <c r="R80" s="174">
        <v>3</v>
      </c>
    </row>
    <row r="81" spans="1:18" ht="14.25" x14ac:dyDescent="0.15">
      <c r="A81" s="20" t="s">
        <v>333</v>
      </c>
      <c r="B81" s="20" t="s">
        <v>333</v>
      </c>
      <c r="C81" s="24" t="s">
        <v>158</v>
      </c>
      <c r="D81" s="263" t="s">
        <v>149</v>
      </c>
      <c r="E81" s="20" t="s">
        <v>149</v>
      </c>
      <c r="G81" s="174" t="s">
        <v>151</v>
      </c>
      <c r="H81" s="172">
        <v>43160</v>
      </c>
      <c r="I81" s="49"/>
      <c r="J81" s="49"/>
      <c r="K81" s="23">
        <v>0.1</v>
      </c>
      <c r="L81" s="23"/>
      <c r="M81" s="174" t="s">
        <v>69</v>
      </c>
      <c r="N81" s="174">
        <v>0</v>
      </c>
      <c r="O81" s="174">
        <v>0</v>
      </c>
      <c r="P81" s="174" t="s">
        <v>69</v>
      </c>
      <c r="Q81" s="174">
        <v>0</v>
      </c>
      <c r="R81" s="174">
        <v>0</v>
      </c>
    </row>
    <row r="82" spans="1:18" ht="14.25" x14ac:dyDescent="0.15">
      <c r="A82" s="20" t="s">
        <v>319</v>
      </c>
      <c r="B82" s="20" t="s">
        <v>319</v>
      </c>
      <c r="C82" s="24" t="s">
        <v>181</v>
      </c>
      <c r="D82" s="24" t="s">
        <v>155</v>
      </c>
      <c r="E82" s="20" t="s">
        <v>155</v>
      </c>
      <c r="G82" s="174"/>
      <c r="H82" s="172">
        <v>43160</v>
      </c>
      <c r="I82" s="273">
        <v>0.2</v>
      </c>
      <c r="J82" s="275">
        <v>0.2</v>
      </c>
      <c r="K82" s="23">
        <v>0.2</v>
      </c>
      <c r="L82" s="23">
        <v>0.2</v>
      </c>
      <c r="M82" s="174" t="s">
        <v>43</v>
      </c>
      <c r="N82" s="174">
        <v>0.5</v>
      </c>
      <c r="O82" s="174">
        <v>3</v>
      </c>
      <c r="P82" s="174" t="s">
        <v>66</v>
      </c>
      <c r="Q82" s="174">
        <v>0</v>
      </c>
      <c r="R82" s="174">
        <v>0</v>
      </c>
    </row>
    <row r="83" spans="1:18" ht="14.25" x14ac:dyDescent="0.15">
      <c r="A83" s="20" t="s">
        <v>338</v>
      </c>
      <c r="B83" s="20" t="s">
        <v>338</v>
      </c>
      <c r="C83" s="24" t="s">
        <v>158</v>
      </c>
      <c r="D83" s="263" t="s">
        <v>149</v>
      </c>
      <c r="E83" s="20" t="s">
        <v>149</v>
      </c>
      <c r="G83" s="174" t="s">
        <v>151</v>
      </c>
      <c r="H83" s="172">
        <v>43160</v>
      </c>
      <c r="I83" s="49"/>
      <c r="J83" s="49"/>
      <c r="K83" s="23">
        <v>0.1</v>
      </c>
      <c r="L83" s="23"/>
      <c r="M83" s="174" t="s">
        <v>69</v>
      </c>
      <c r="N83" s="174">
        <v>0</v>
      </c>
      <c r="O83" s="174">
        <v>0</v>
      </c>
      <c r="P83" s="174" t="s">
        <v>69</v>
      </c>
      <c r="Q83" s="174">
        <v>1</v>
      </c>
      <c r="R83" s="174">
        <v>3</v>
      </c>
    </row>
    <row r="84" spans="1:18" ht="14.25" x14ac:dyDescent="0.15">
      <c r="A84" s="20" t="s">
        <v>481</v>
      </c>
      <c r="B84" s="20" t="s">
        <v>481</v>
      </c>
      <c r="C84" s="24" t="s">
        <v>158</v>
      </c>
      <c r="D84" s="24" t="s">
        <v>155</v>
      </c>
      <c r="E84" s="20" t="s">
        <v>155</v>
      </c>
      <c r="G84" s="174" t="s">
        <v>151</v>
      </c>
      <c r="H84" s="172">
        <v>43160</v>
      </c>
      <c r="I84" s="49"/>
      <c r="J84" s="49"/>
      <c r="K84" s="23">
        <v>0.1</v>
      </c>
      <c r="L84" s="23">
        <v>0.1</v>
      </c>
      <c r="M84" s="174" t="s">
        <v>69</v>
      </c>
      <c r="N84" s="174">
        <v>0</v>
      </c>
      <c r="O84" s="174">
        <v>0</v>
      </c>
      <c r="P84" s="174" t="s">
        <v>69</v>
      </c>
      <c r="Q84" s="174">
        <v>1</v>
      </c>
      <c r="R84" s="174">
        <v>3</v>
      </c>
    </row>
    <row r="85" spans="1:18" ht="14.25" x14ac:dyDescent="0.15">
      <c r="A85" s="20" t="s">
        <v>400</v>
      </c>
      <c r="B85" s="20" t="s">
        <v>400</v>
      </c>
      <c r="C85" s="24" t="s">
        <v>181</v>
      </c>
      <c r="D85" s="24" t="s">
        <v>149</v>
      </c>
      <c r="E85" s="20" t="s">
        <v>149</v>
      </c>
      <c r="G85" s="174"/>
      <c r="H85" s="172">
        <v>43160</v>
      </c>
      <c r="I85" s="272">
        <v>0.1</v>
      </c>
      <c r="J85" s="274">
        <v>0.1</v>
      </c>
      <c r="K85" s="23">
        <v>0.1</v>
      </c>
      <c r="L85" s="23">
        <v>0.1</v>
      </c>
      <c r="M85" s="174" t="s">
        <v>43</v>
      </c>
      <c r="N85" s="174">
        <v>0.5</v>
      </c>
      <c r="O85" s="174">
        <v>3</v>
      </c>
      <c r="P85" s="174" t="s">
        <v>66</v>
      </c>
      <c r="Q85" s="174">
        <v>0</v>
      </c>
      <c r="R85" s="174">
        <v>0</v>
      </c>
    </row>
    <row r="86" spans="1:18" ht="14.25" x14ac:dyDescent="0.15">
      <c r="A86" s="20" t="s">
        <v>265</v>
      </c>
      <c r="B86" s="20" t="s">
        <v>265</v>
      </c>
      <c r="C86" s="24" t="s">
        <v>158</v>
      </c>
      <c r="D86" s="263" t="s">
        <v>149</v>
      </c>
      <c r="E86" s="20" t="s">
        <v>149</v>
      </c>
      <c r="G86" s="174" t="s">
        <v>151</v>
      </c>
      <c r="H86" s="172">
        <v>43160</v>
      </c>
      <c r="I86" s="49"/>
      <c r="J86" s="49"/>
      <c r="K86" s="23">
        <v>0.1</v>
      </c>
      <c r="L86" s="23">
        <v>0.1</v>
      </c>
      <c r="M86" s="174" t="s">
        <v>69</v>
      </c>
      <c r="N86" s="174">
        <v>0</v>
      </c>
      <c r="O86" s="174">
        <v>0</v>
      </c>
      <c r="P86" s="174" t="s">
        <v>69</v>
      </c>
      <c r="Q86" s="174">
        <v>0</v>
      </c>
      <c r="R86" s="174">
        <v>0</v>
      </c>
    </row>
    <row r="87" spans="1:18" ht="14.25" x14ac:dyDescent="0.15">
      <c r="A87" s="20" t="s">
        <v>359</v>
      </c>
      <c r="B87" s="20" t="s">
        <v>359</v>
      </c>
      <c r="C87" s="24" t="s">
        <v>158</v>
      </c>
      <c r="D87" s="24" t="s">
        <v>155</v>
      </c>
      <c r="E87" s="20" t="s">
        <v>155</v>
      </c>
      <c r="G87" s="174" t="s">
        <v>151</v>
      </c>
      <c r="H87" s="172">
        <v>43160</v>
      </c>
      <c r="I87" s="49"/>
      <c r="J87" s="49"/>
      <c r="K87" s="23">
        <v>0.1</v>
      </c>
      <c r="L87" s="23">
        <v>0.1</v>
      </c>
      <c r="M87" s="174" t="s">
        <v>69</v>
      </c>
      <c r="N87" s="174">
        <v>0</v>
      </c>
      <c r="O87" s="174">
        <v>0</v>
      </c>
      <c r="P87" s="174" t="s">
        <v>69</v>
      </c>
      <c r="Q87" s="174">
        <v>1</v>
      </c>
      <c r="R87" s="174">
        <v>3</v>
      </c>
    </row>
    <row r="88" spans="1:18" ht="14.25" x14ac:dyDescent="0.15">
      <c r="A88" s="20" t="s">
        <v>248</v>
      </c>
      <c r="B88" s="20" t="s">
        <v>248</v>
      </c>
      <c r="C88" s="24" t="s">
        <v>165</v>
      </c>
      <c r="D88" s="24" t="s">
        <v>149</v>
      </c>
      <c r="E88" s="20" t="s">
        <v>149</v>
      </c>
      <c r="G88" s="174" t="s">
        <v>151</v>
      </c>
      <c r="H88" s="172">
        <v>43160</v>
      </c>
      <c r="I88" s="49"/>
      <c r="J88" s="49"/>
      <c r="K88" s="174"/>
      <c r="L88" s="174"/>
      <c r="M88" s="174" t="s">
        <v>69</v>
      </c>
      <c r="N88" s="174">
        <v>0</v>
      </c>
      <c r="O88" s="174">
        <v>0</v>
      </c>
      <c r="P88" s="174" t="s">
        <v>69</v>
      </c>
      <c r="Q88" s="174">
        <v>1</v>
      </c>
      <c r="R88" s="174">
        <v>3</v>
      </c>
    </row>
    <row r="89" spans="1:18" ht="14.25" x14ac:dyDescent="0.15">
      <c r="A89" s="20" t="s">
        <v>297</v>
      </c>
      <c r="B89" s="20" t="s">
        <v>297</v>
      </c>
      <c r="C89" s="24" t="s">
        <v>165</v>
      </c>
      <c r="D89" s="24" t="s">
        <v>149</v>
      </c>
      <c r="E89" s="20" t="s">
        <v>149</v>
      </c>
      <c r="G89" s="174" t="s">
        <v>151</v>
      </c>
      <c r="H89" s="172">
        <v>43160</v>
      </c>
      <c r="I89" s="49"/>
      <c r="J89" s="49"/>
      <c r="K89" s="22"/>
      <c r="L89" s="174"/>
      <c r="M89" s="174" t="s">
        <v>69</v>
      </c>
      <c r="N89" s="174">
        <v>0</v>
      </c>
      <c r="O89" s="174">
        <v>0</v>
      </c>
      <c r="P89" s="174" t="s">
        <v>69</v>
      </c>
      <c r="Q89" s="174">
        <v>0</v>
      </c>
      <c r="R89" s="174">
        <v>0</v>
      </c>
    </row>
    <row r="90" spans="1:18" ht="14.25" x14ac:dyDescent="0.15">
      <c r="A90" s="20" t="s">
        <v>252</v>
      </c>
      <c r="B90" s="20" t="s">
        <v>252</v>
      </c>
      <c r="C90" s="24" t="s">
        <v>126</v>
      </c>
      <c r="D90" s="263" t="s">
        <v>155</v>
      </c>
      <c r="E90" s="20" t="s">
        <v>155</v>
      </c>
      <c r="G90" s="174"/>
      <c r="H90" s="172">
        <v>43160</v>
      </c>
      <c r="I90" s="272">
        <v>0.1</v>
      </c>
      <c r="J90" s="274">
        <v>0.1</v>
      </c>
      <c r="K90" s="23">
        <v>0.1</v>
      </c>
      <c r="L90" s="23">
        <v>0.2</v>
      </c>
      <c r="M90" s="174" t="s">
        <v>43</v>
      </c>
      <c r="N90" s="174">
        <v>0.5</v>
      </c>
      <c r="O90" s="174">
        <v>3</v>
      </c>
      <c r="P90" s="174" t="s">
        <v>66</v>
      </c>
      <c r="Q90" s="174">
        <v>1</v>
      </c>
      <c r="R90" s="174">
        <v>3</v>
      </c>
    </row>
    <row r="91" spans="1:18" ht="14.25" x14ac:dyDescent="0.15">
      <c r="A91" s="20" t="s">
        <v>329</v>
      </c>
      <c r="B91" s="20" t="s">
        <v>329</v>
      </c>
      <c r="C91" s="24" t="s">
        <v>181</v>
      </c>
      <c r="D91" s="24" t="s">
        <v>155</v>
      </c>
      <c r="E91" s="20" t="s">
        <v>155</v>
      </c>
      <c r="G91" s="174"/>
      <c r="H91" s="172">
        <v>43160</v>
      </c>
      <c r="I91" s="273">
        <v>0.2</v>
      </c>
      <c r="J91" s="275">
        <v>0.2</v>
      </c>
      <c r="K91" s="23">
        <v>0.2</v>
      </c>
      <c r="L91" s="23">
        <v>0.2</v>
      </c>
      <c r="M91" s="174" t="s">
        <v>43</v>
      </c>
      <c r="N91" s="174">
        <v>0.5</v>
      </c>
      <c r="O91" s="174">
        <v>3</v>
      </c>
      <c r="P91" s="174" t="s">
        <v>66</v>
      </c>
      <c r="Q91" s="174">
        <v>0</v>
      </c>
      <c r="R91" s="174">
        <v>0</v>
      </c>
    </row>
    <row r="92" spans="1:18" ht="14.25" x14ac:dyDescent="0.15">
      <c r="A92" s="20" t="s">
        <v>336</v>
      </c>
      <c r="B92" s="20" t="s">
        <v>336</v>
      </c>
      <c r="C92" s="24" t="s">
        <v>158</v>
      </c>
      <c r="D92" s="24" t="s">
        <v>155</v>
      </c>
      <c r="E92" s="20" t="s">
        <v>155</v>
      </c>
      <c r="G92" s="174"/>
      <c r="H92" s="172">
        <v>43160</v>
      </c>
      <c r="I92" s="273">
        <v>0.2</v>
      </c>
      <c r="J92" s="275">
        <v>0.2</v>
      </c>
      <c r="K92" s="23">
        <v>0.2</v>
      </c>
      <c r="L92" s="23">
        <v>0.2</v>
      </c>
      <c r="M92" s="174" t="s">
        <v>43</v>
      </c>
      <c r="N92" s="174">
        <v>0.5</v>
      </c>
      <c r="O92" s="174">
        <v>3</v>
      </c>
      <c r="P92" s="174" t="s">
        <v>66</v>
      </c>
      <c r="Q92" s="174">
        <v>1</v>
      </c>
      <c r="R92" s="174">
        <v>3</v>
      </c>
    </row>
    <row r="93" spans="1:18" ht="14.25" x14ac:dyDescent="0.15">
      <c r="A93" s="20" t="s">
        <v>318</v>
      </c>
      <c r="B93" s="20" t="s">
        <v>318</v>
      </c>
      <c r="C93" s="24" t="s">
        <v>158</v>
      </c>
      <c r="D93" s="24" t="s">
        <v>155</v>
      </c>
      <c r="E93" s="20" t="s">
        <v>155</v>
      </c>
      <c r="G93" s="174"/>
      <c r="H93" s="172">
        <v>43160</v>
      </c>
      <c r="I93" s="273">
        <v>0.2</v>
      </c>
      <c r="J93" s="275">
        <v>0.2</v>
      </c>
      <c r="K93" s="23">
        <v>0.2</v>
      </c>
      <c r="L93" s="23">
        <v>0.2</v>
      </c>
      <c r="M93" s="174" t="s">
        <v>43</v>
      </c>
      <c r="N93" s="174">
        <v>0.5</v>
      </c>
      <c r="O93" s="174">
        <v>3</v>
      </c>
      <c r="P93" s="174" t="s">
        <v>66</v>
      </c>
      <c r="Q93" s="174">
        <v>0</v>
      </c>
      <c r="R93" s="174">
        <v>0</v>
      </c>
    </row>
    <row r="94" spans="1:18" ht="14.25" x14ac:dyDescent="0.15">
      <c r="A94" s="20" t="s">
        <v>312</v>
      </c>
      <c r="B94" s="20" t="s">
        <v>312</v>
      </c>
      <c r="C94" s="24" t="s">
        <v>158</v>
      </c>
      <c r="D94" s="263" t="s">
        <v>149</v>
      </c>
      <c r="E94" s="20" t="s">
        <v>149</v>
      </c>
      <c r="G94" s="174" t="s">
        <v>151</v>
      </c>
      <c r="H94" s="172">
        <v>43160</v>
      </c>
      <c r="I94" s="49"/>
      <c r="J94" s="49"/>
      <c r="K94" s="23">
        <v>0.1</v>
      </c>
      <c r="L94" s="23">
        <v>0.1</v>
      </c>
      <c r="M94" s="174" t="s">
        <v>69</v>
      </c>
      <c r="N94" s="174">
        <v>0</v>
      </c>
      <c r="O94" s="174">
        <v>0</v>
      </c>
      <c r="P94" s="174" t="s">
        <v>69</v>
      </c>
      <c r="Q94" s="174">
        <v>0</v>
      </c>
      <c r="R94" s="174">
        <v>0</v>
      </c>
    </row>
    <row r="95" spans="1:18" ht="14.25" x14ac:dyDescent="0.15">
      <c r="A95" s="20" t="s">
        <v>351</v>
      </c>
      <c r="B95" s="20" t="s">
        <v>351</v>
      </c>
      <c r="C95" s="24" t="s">
        <v>126</v>
      </c>
      <c r="D95" s="24" t="s">
        <v>155</v>
      </c>
      <c r="E95" s="20" t="s">
        <v>155</v>
      </c>
      <c r="G95" s="174"/>
      <c r="H95" s="172">
        <v>43160</v>
      </c>
      <c r="I95" s="273">
        <v>0.2</v>
      </c>
      <c r="J95" s="275">
        <v>0.2</v>
      </c>
      <c r="K95" s="23">
        <v>0.2</v>
      </c>
      <c r="L95" s="23">
        <v>0.2</v>
      </c>
      <c r="M95" s="174" t="s">
        <v>43</v>
      </c>
      <c r="N95" s="174">
        <v>0.5</v>
      </c>
      <c r="O95" s="174">
        <v>3</v>
      </c>
      <c r="P95" s="174" t="s">
        <v>66</v>
      </c>
      <c r="Q95" s="174">
        <v>0</v>
      </c>
      <c r="R95" s="174">
        <v>0</v>
      </c>
    </row>
    <row r="96" spans="1:18" ht="14.25" x14ac:dyDescent="0.15">
      <c r="A96" s="20" t="s">
        <v>363</v>
      </c>
      <c r="B96" s="20" t="s">
        <v>363</v>
      </c>
      <c r="C96" s="24" t="s">
        <v>158</v>
      </c>
      <c r="D96" s="263" t="s">
        <v>149</v>
      </c>
      <c r="E96" s="20" t="s">
        <v>149</v>
      </c>
      <c r="G96" s="174" t="s">
        <v>151</v>
      </c>
      <c r="H96" s="172">
        <v>43160</v>
      </c>
      <c r="I96" s="49"/>
      <c r="J96" s="49"/>
      <c r="K96" s="23">
        <v>0.1</v>
      </c>
      <c r="L96" s="23">
        <v>0.1</v>
      </c>
      <c r="M96" s="174" t="s">
        <v>69</v>
      </c>
      <c r="N96" s="174">
        <v>0</v>
      </c>
      <c r="O96" s="174">
        <v>0</v>
      </c>
      <c r="P96" s="174" t="s">
        <v>69</v>
      </c>
      <c r="Q96" s="174">
        <v>0</v>
      </c>
      <c r="R96" s="174">
        <v>0</v>
      </c>
    </row>
    <row r="97" spans="1:28" ht="14.25" x14ac:dyDescent="0.15">
      <c r="A97" s="20" t="s">
        <v>356</v>
      </c>
      <c r="B97" s="20" t="s">
        <v>356</v>
      </c>
      <c r="C97" s="24" t="s">
        <v>165</v>
      </c>
      <c r="D97" s="24" t="s">
        <v>149</v>
      </c>
      <c r="E97" s="20" t="s">
        <v>149</v>
      </c>
      <c r="G97" s="174" t="s">
        <v>151</v>
      </c>
      <c r="H97" s="172">
        <v>43160</v>
      </c>
      <c r="I97" s="49"/>
      <c r="J97" s="49"/>
      <c r="K97" s="22"/>
      <c r="L97" s="174"/>
      <c r="M97" s="174" t="s">
        <v>69</v>
      </c>
      <c r="N97" s="174">
        <v>0</v>
      </c>
      <c r="O97" s="174">
        <v>0</v>
      </c>
      <c r="P97" s="174" t="s">
        <v>69</v>
      </c>
      <c r="Q97" s="174">
        <v>1</v>
      </c>
      <c r="R97" s="174">
        <v>3</v>
      </c>
    </row>
    <row r="98" spans="1:28" ht="14.25" x14ac:dyDescent="0.15">
      <c r="A98" s="20" t="s">
        <v>250</v>
      </c>
      <c r="B98" s="20" t="s">
        <v>250</v>
      </c>
      <c r="C98" s="24" t="s">
        <v>126</v>
      </c>
      <c r="D98" s="263" t="s">
        <v>155</v>
      </c>
      <c r="E98" s="20" t="s">
        <v>155</v>
      </c>
      <c r="G98" s="174"/>
      <c r="H98" s="172">
        <v>43160</v>
      </c>
      <c r="I98" s="272">
        <v>0.1</v>
      </c>
      <c r="J98" s="275">
        <v>0.2</v>
      </c>
      <c r="K98" s="23">
        <v>0.1</v>
      </c>
      <c r="L98" s="23">
        <v>0.2</v>
      </c>
      <c r="M98" s="174" t="s">
        <v>43</v>
      </c>
      <c r="N98" s="174">
        <v>0.5</v>
      </c>
      <c r="O98" s="174">
        <v>3</v>
      </c>
      <c r="P98" s="174" t="s">
        <v>66</v>
      </c>
      <c r="Q98" s="174">
        <v>0</v>
      </c>
      <c r="R98" s="174">
        <v>0</v>
      </c>
    </row>
    <row r="99" spans="1:28" ht="14.25" x14ac:dyDescent="0.15">
      <c r="A99" s="20" t="s">
        <v>347</v>
      </c>
      <c r="B99" s="20" t="s">
        <v>347</v>
      </c>
      <c r="C99" s="24" t="s">
        <v>165</v>
      </c>
      <c r="D99" s="24" t="s">
        <v>149</v>
      </c>
      <c r="E99" s="20" t="s">
        <v>149</v>
      </c>
      <c r="G99" s="174"/>
      <c r="H99" s="172">
        <v>43160</v>
      </c>
      <c r="I99" s="272">
        <v>0.1</v>
      </c>
      <c r="J99" s="274">
        <v>0.1</v>
      </c>
      <c r="K99" s="23">
        <v>0.1</v>
      </c>
      <c r="L99" s="23">
        <v>0.1</v>
      </c>
      <c r="M99" s="174" t="s">
        <v>43</v>
      </c>
      <c r="N99" s="174">
        <v>0.5</v>
      </c>
      <c r="O99" s="174">
        <v>3</v>
      </c>
      <c r="P99" s="174" t="s">
        <v>66</v>
      </c>
      <c r="Q99" s="174">
        <v>1</v>
      </c>
      <c r="R99" s="174">
        <v>3</v>
      </c>
      <c r="T99" s="184"/>
      <c r="U99" s="184"/>
      <c r="V99" s="184"/>
      <c r="W99" s="184"/>
      <c r="X99" s="185"/>
    </row>
    <row r="100" spans="1:28" ht="14.25" x14ac:dyDescent="0.15">
      <c r="A100" s="20" t="s">
        <v>304</v>
      </c>
      <c r="B100" s="20" t="s">
        <v>304</v>
      </c>
      <c r="C100" s="24" t="s">
        <v>126</v>
      </c>
      <c r="D100" s="24" t="s">
        <v>149</v>
      </c>
      <c r="E100" s="20" t="s">
        <v>149</v>
      </c>
      <c r="G100" s="174"/>
      <c r="H100" s="172">
        <v>43160</v>
      </c>
      <c r="I100" s="272">
        <v>0.1</v>
      </c>
      <c r="J100" s="274">
        <v>0.1</v>
      </c>
      <c r="K100" s="23">
        <v>0.1</v>
      </c>
      <c r="L100" s="23">
        <v>0.1</v>
      </c>
      <c r="M100" s="174" t="s">
        <v>43</v>
      </c>
      <c r="N100" s="174">
        <v>0.5</v>
      </c>
      <c r="O100" s="174">
        <v>3</v>
      </c>
      <c r="P100" s="174" t="s">
        <v>66</v>
      </c>
      <c r="Q100" s="174">
        <v>0</v>
      </c>
      <c r="R100" s="174">
        <v>0</v>
      </c>
      <c r="T100" s="184"/>
      <c r="U100" s="184"/>
      <c r="V100" s="184"/>
      <c r="W100" s="184"/>
      <c r="X100" s="185"/>
    </row>
    <row r="101" spans="1:28" ht="14.25" hidden="1" x14ac:dyDescent="0.15">
      <c r="A101" s="145"/>
      <c r="B101" s="145"/>
      <c r="C101" s="146"/>
      <c r="D101" s="146"/>
      <c r="E101" s="145"/>
      <c r="F101" s="20"/>
      <c r="G101" s="147"/>
      <c r="H101" s="147"/>
      <c r="I101" s="148"/>
      <c r="J101" s="148"/>
      <c r="K101" s="149"/>
      <c r="L101" s="149"/>
      <c r="M101" s="147"/>
      <c r="N101" s="147"/>
      <c r="O101" s="147"/>
      <c r="P101" s="147"/>
      <c r="Q101" s="147"/>
      <c r="R101" s="147"/>
      <c r="T101" s="184"/>
      <c r="U101" s="184"/>
      <c r="V101" s="184"/>
      <c r="W101" s="184"/>
      <c r="X101" s="185"/>
      <c r="AA101" s="185"/>
      <c r="AB101" s="185"/>
    </row>
    <row r="102" spans="1:28" ht="14.25" hidden="1" x14ac:dyDescent="0.15">
      <c r="A102" s="145"/>
      <c r="B102" s="145"/>
      <c r="C102" s="146"/>
      <c r="D102" s="146"/>
      <c r="E102" s="145"/>
      <c r="F102" s="20"/>
      <c r="G102" s="147"/>
      <c r="H102" s="147"/>
      <c r="I102" s="148"/>
      <c r="J102" s="148"/>
      <c r="K102" s="149"/>
      <c r="L102" s="149"/>
      <c r="M102" s="147"/>
      <c r="N102" s="147"/>
      <c r="O102" s="147"/>
      <c r="P102" s="147"/>
      <c r="Q102" s="147"/>
      <c r="R102" s="147"/>
      <c r="T102" s="184"/>
      <c r="U102" s="184"/>
      <c r="V102" s="184"/>
      <c r="W102" s="184"/>
      <c r="X102" s="185"/>
      <c r="Y102" s="185"/>
      <c r="Z102" s="185"/>
      <c r="AA102" s="185"/>
      <c r="AB102" s="185"/>
    </row>
    <row r="103" spans="1:28" ht="14.25" hidden="1" x14ac:dyDescent="0.15">
      <c r="A103" s="145"/>
      <c r="B103" s="145"/>
      <c r="C103" s="146"/>
      <c r="D103" s="146"/>
      <c r="E103" s="145"/>
      <c r="F103" s="20"/>
      <c r="G103" s="147"/>
      <c r="H103" s="147"/>
      <c r="I103" s="148"/>
      <c r="J103" s="148"/>
      <c r="K103" s="149"/>
      <c r="L103" s="149"/>
      <c r="M103" s="147"/>
      <c r="N103" s="147"/>
      <c r="O103" s="147"/>
      <c r="P103" s="147"/>
      <c r="Q103" s="147"/>
      <c r="R103" s="147"/>
      <c r="T103" s="184"/>
      <c r="U103" s="184"/>
      <c r="V103" s="184"/>
      <c r="W103" s="184"/>
      <c r="X103" s="185"/>
      <c r="Y103" s="185"/>
      <c r="Z103" s="185"/>
      <c r="AA103" s="185"/>
      <c r="AB103" s="185"/>
    </row>
    <row r="104" spans="1:28" ht="14.25" hidden="1" x14ac:dyDescent="0.15">
      <c r="A104" s="145"/>
      <c r="B104" s="145"/>
      <c r="C104" s="146"/>
      <c r="D104" s="146"/>
      <c r="E104" s="145"/>
      <c r="F104" s="20"/>
      <c r="G104" s="147"/>
      <c r="H104" s="147"/>
      <c r="I104" s="148"/>
      <c r="J104" s="148"/>
      <c r="K104" s="149"/>
      <c r="L104" s="149"/>
      <c r="M104" s="147"/>
      <c r="N104" s="147"/>
      <c r="O104" s="148"/>
      <c r="P104" s="147"/>
      <c r="Q104" s="147"/>
      <c r="R104" s="147"/>
      <c r="T104" s="184"/>
      <c r="U104" s="184"/>
      <c r="V104" s="184"/>
      <c r="W104" s="184"/>
      <c r="X104" s="185"/>
      <c r="Y104" s="185"/>
      <c r="Z104" s="185"/>
      <c r="AA104" s="185"/>
      <c r="AB104" s="185"/>
    </row>
    <row r="105" spans="1:28" ht="14.25" hidden="1" x14ac:dyDescent="0.15">
      <c r="A105" s="145"/>
      <c r="B105" s="145"/>
      <c r="C105" s="146"/>
      <c r="D105" s="146"/>
      <c r="E105" s="145"/>
      <c r="F105" s="20"/>
      <c r="G105" s="147"/>
      <c r="H105" s="147"/>
      <c r="I105" s="148"/>
      <c r="J105" s="148"/>
      <c r="K105" s="149"/>
      <c r="L105" s="149"/>
      <c r="M105" s="147"/>
      <c r="N105" s="147"/>
      <c r="O105" s="148"/>
      <c r="P105" s="147"/>
      <c r="Q105" s="147"/>
      <c r="R105" s="147"/>
      <c r="T105" s="184"/>
      <c r="U105" s="184"/>
      <c r="V105" s="184"/>
      <c r="W105" s="184"/>
      <c r="X105" s="185"/>
      <c r="Y105" s="185"/>
      <c r="Z105" s="185"/>
      <c r="AA105" s="185"/>
      <c r="AB105" s="185"/>
    </row>
    <row r="106" spans="1:28" ht="14.25" hidden="1" x14ac:dyDescent="0.15">
      <c r="A106" s="145"/>
      <c r="B106" s="145"/>
      <c r="C106" s="146"/>
      <c r="D106" s="146"/>
      <c r="E106" s="145"/>
      <c r="F106" s="20"/>
      <c r="G106" s="147"/>
      <c r="H106" s="147"/>
      <c r="I106" s="148"/>
      <c r="J106" s="148"/>
      <c r="K106" s="149"/>
      <c r="L106" s="149"/>
      <c r="M106" s="147"/>
      <c r="N106" s="147"/>
      <c r="O106" s="147"/>
      <c r="P106" s="147"/>
      <c r="Q106" s="147"/>
      <c r="R106" s="147"/>
      <c r="T106" s="184"/>
      <c r="U106" s="184"/>
      <c r="V106" s="184"/>
      <c r="W106" s="184"/>
      <c r="X106" s="185"/>
      <c r="Y106" s="185"/>
      <c r="Z106" s="185"/>
      <c r="AA106" s="185"/>
      <c r="AB106" s="185"/>
    </row>
    <row r="107" spans="1:28" ht="14.25" hidden="1" x14ac:dyDescent="0.15">
      <c r="A107" s="145"/>
      <c r="B107" s="145"/>
      <c r="C107" s="146"/>
      <c r="D107" s="146"/>
      <c r="E107" s="145"/>
      <c r="F107" s="20"/>
      <c r="G107" s="147"/>
      <c r="H107" s="147"/>
      <c r="I107" s="148"/>
      <c r="J107" s="148"/>
      <c r="K107" s="149"/>
      <c r="L107" s="149"/>
      <c r="M107" s="147"/>
      <c r="N107" s="147"/>
      <c r="O107" s="147"/>
      <c r="P107" s="147"/>
      <c r="Q107" s="147"/>
      <c r="R107" s="147"/>
      <c r="T107" s="184"/>
      <c r="U107" s="184"/>
      <c r="V107" s="184"/>
      <c r="W107" s="184"/>
      <c r="X107" s="185"/>
      <c r="Y107" s="185"/>
      <c r="Z107" s="185"/>
      <c r="AA107" s="185"/>
      <c r="AB107" s="185"/>
    </row>
    <row r="108" spans="1:28" ht="14.25" hidden="1" x14ac:dyDescent="0.15">
      <c r="A108" s="145"/>
      <c r="B108" s="145"/>
      <c r="C108" s="146"/>
      <c r="D108" s="146"/>
      <c r="E108" s="145"/>
      <c r="F108" s="20"/>
      <c r="G108" s="147"/>
      <c r="H108" s="147"/>
      <c r="I108" s="148"/>
      <c r="J108" s="148"/>
      <c r="K108" s="149"/>
      <c r="L108" s="149"/>
      <c r="M108" s="147"/>
      <c r="N108" s="147"/>
      <c r="O108" s="147"/>
      <c r="P108" s="147"/>
      <c r="Q108" s="147"/>
      <c r="R108" s="147"/>
      <c r="T108" s="184"/>
      <c r="U108" s="184"/>
      <c r="V108" s="184"/>
      <c r="W108" s="184"/>
      <c r="X108" s="185"/>
      <c r="Y108" s="185"/>
      <c r="Z108" s="185"/>
      <c r="AA108" s="185"/>
      <c r="AB108" s="185"/>
    </row>
    <row r="109" spans="1:28" ht="14.25" hidden="1" x14ac:dyDescent="0.15">
      <c r="A109" s="145"/>
      <c r="B109" s="145"/>
      <c r="C109" s="146"/>
      <c r="D109" s="146"/>
      <c r="E109" s="145"/>
      <c r="F109" s="20"/>
      <c r="G109" s="147"/>
      <c r="H109" s="147"/>
      <c r="I109" s="148"/>
      <c r="J109" s="148"/>
      <c r="K109" s="149"/>
      <c r="L109" s="149"/>
      <c r="M109" s="147"/>
      <c r="N109" s="147"/>
      <c r="O109" s="148"/>
      <c r="P109" s="147"/>
      <c r="Q109" s="147"/>
      <c r="R109" s="147"/>
      <c r="T109" s="184"/>
      <c r="U109" s="184"/>
      <c r="V109" s="184"/>
      <c r="W109" s="184"/>
      <c r="X109" s="185"/>
      <c r="Y109" s="185"/>
      <c r="Z109" s="185"/>
      <c r="AA109" s="185"/>
      <c r="AB109" s="185"/>
    </row>
    <row r="110" spans="1:28" ht="14.25" hidden="1" x14ac:dyDescent="0.15">
      <c r="A110" s="145"/>
      <c r="B110" s="145"/>
      <c r="C110" s="146"/>
      <c r="D110" s="146"/>
      <c r="E110" s="145"/>
      <c r="F110" s="20"/>
      <c r="G110" s="147"/>
      <c r="H110" s="147"/>
      <c r="I110" s="148"/>
      <c r="J110" s="148"/>
      <c r="K110" s="149"/>
      <c r="L110" s="149"/>
      <c r="M110" s="147"/>
      <c r="N110" s="147"/>
      <c r="O110" s="147"/>
      <c r="P110" s="147"/>
      <c r="Q110" s="147"/>
      <c r="R110" s="147"/>
      <c r="T110" s="185"/>
      <c r="U110" s="185"/>
      <c r="V110" s="185"/>
      <c r="W110" s="185"/>
      <c r="X110" s="185"/>
      <c r="Y110" s="185"/>
      <c r="Z110" s="185"/>
      <c r="AA110" s="185"/>
      <c r="AB110" s="185"/>
    </row>
    <row r="111" spans="1:28" ht="14.25" hidden="1" x14ac:dyDescent="0.15">
      <c r="A111" s="145"/>
      <c r="B111" s="145"/>
      <c r="C111" s="146"/>
      <c r="D111" s="146"/>
      <c r="E111" s="145"/>
      <c r="F111" s="20"/>
      <c r="G111" s="147"/>
      <c r="H111" s="147"/>
      <c r="I111" s="148"/>
      <c r="J111" s="148"/>
      <c r="K111" s="149"/>
      <c r="L111" s="149"/>
      <c r="M111" s="147"/>
      <c r="N111" s="147"/>
      <c r="O111" s="147"/>
      <c r="P111" s="147"/>
      <c r="Q111" s="147"/>
      <c r="R111" s="147"/>
      <c r="T111" s="185"/>
      <c r="U111" s="185"/>
      <c r="V111" s="185"/>
      <c r="W111" s="185"/>
      <c r="X111" s="185"/>
      <c r="Y111" s="185"/>
      <c r="Z111" s="185"/>
      <c r="AA111" s="185"/>
      <c r="AB111" s="185"/>
    </row>
    <row r="112" spans="1:28" ht="14.25" hidden="1" x14ac:dyDescent="0.15">
      <c r="A112" s="145"/>
      <c r="B112" s="145"/>
      <c r="C112" s="146"/>
      <c r="D112" s="146"/>
      <c r="E112" s="145"/>
      <c r="F112" s="20"/>
      <c r="G112" s="147"/>
      <c r="H112" s="147"/>
      <c r="I112" s="148"/>
      <c r="J112" s="148"/>
      <c r="K112" s="149"/>
      <c r="L112" s="149"/>
      <c r="M112" s="147"/>
      <c r="N112" s="147"/>
      <c r="O112" s="148"/>
      <c r="P112" s="147"/>
      <c r="Q112" s="147"/>
      <c r="R112" s="147"/>
      <c r="T112" s="185"/>
      <c r="U112" s="185"/>
      <c r="V112" s="185"/>
      <c r="W112" s="185"/>
      <c r="X112" s="185"/>
      <c r="Y112" s="185"/>
      <c r="Z112" s="185"/>
      <c r="AA112" s="185"/>
      <c r="AB112" s="185"/>
    </row>
    <row r="113" spans="17:28" hidden="1" x14ac:dyDescent="0.15">
      <c r="T113" s="185"/>
      <c r="U113" s="185"/>
      <c r="V113" s="185"/>
      <c r="W113" s="185"/>
      <c r="X113" s="185"/>
      <c r="Y113" s="185"/>
      <c r="Z113" s="185"/>
      <c r="AA113" s="185"/>
      <c r="AB113" s="185"/>
    </row>
    <row r="114" spans="17:28" x14ac:dyDescent="0.15">
      <c r="Y114" s="185"/>
      <c r="Z114" s="185"/>
      <c r="AA114" s="185"/>
      <c r="AB114" s="185"/>
    </row>
    <row r="115" spans="17:28" x14ac:dyDescent="0.15">
      <c r="Y115" s="185"/>
      <c r="Z115" s="185"/>
      <c r="AA115" s="185"/>
      <c r="AB115" s="185"/>
    </row>
    <row r="116" spans="17:28" x14ac:dyDescent="0.15">
      <c r="Y116" s="185"/>
      <c r="Z116" s="185"/>
    </row>
    <row r="125" spans="17:28" x14ac:dyDescent="0.15">
      <c r="T125" s="65"/>
    </row>
    <row r="126" spans="17:28" x14ac:dyDescent="0.15">
      <c r="T126" s="65"/>
    </row>
    <row r="127" spans="17:28" x14ac:dyDescent="0.15">
      <c r="Q127" s="65"/>
      <c r="R127" s="65"/>
      <c r="T127" s="65"/>
    </row>
    <row r="128" spans="17:28" x14ac:dyDescent="0.15">
      <c r="Q128" s="65"/>
      <c r="R128" s="65"/>
      <c r="T128" s="65"/>
    </row>
    <row r="129" spans="1:20" x14ac:dyDescent="0.15">
      <c r="Q129" s="65"/>
      <c r="R129" s="65"/>
      <c r="T129" s="65"/>
    </row>
    <row r="130" spans="1:20" x14ac:dyDescent="0.15">
      <c r="A130" s="810" t="s">
        <v>133</v>
      </c>
      <c r="B130" s="810" t="s">
        <v>518</v>
      </c>
      <c r="C130" s="810" t="s">
        <v>150</v>
      </c>
      <c r="D130" s="810" t="s">
        <v>137</v>
      </c>
      <c r="E130" s="810" t="s">
        <v>134</v>
      </c>
      <c r="F130" s="810" t="s">
        <v>492</v>
      </c>
      <c r="G130" s="810" t="s">
        <v>151</v>
      </c>
      <c r="H130" s="812" t="s">
        <v>44</v>
      </c>
      <c r="I130" s="813"/>
      <c r="J130" s="222" t="s">
        <v>425</v>
      </c>
      <c r="K130" s="223"/>
      <c r="L130" s="223"/>
      <c r="M130" s="223"/>
      <c r="N130" s="223"/>
      <c r="O130" s="224"/>
      <c r="Q130" s="65"/>
      <c r="R130" s="65"/>
      <c r="T130" s="65"/>
    </row>
    <row r="131" spans="1:20" ht="54" x14ac:dyDescent="0.15">
      <c r="A131" s="811"/>
      <c r="B131" s="811"/>
      <c r="C131" s="811"/>
      <c r="D131" s="811"/>
      <c r="E131" s="811"/>
      <c r="F131" s="811"/>
      <c r="G131" s="811"/>
      <c r="H131" s="150" t="s">
        <v>49</v>
      </c>
      <c r="I131" s="150" t="s">
        <v>8</v>
      </c>
      <c r="J131" s="200" t="s">
        <v>222</v>
      </c>
      <c r="K131" s="200" t="s">
        <v>291</v>
      </c>
      <c r="L131" s="200" t="s">
        <v>321</v>
      </c>
      <c r="M131" s="200" t="s">
        <v>316</v>
      </c>
      <c r="N131" s="150"/>
      <c r="O131" s="150"/>
      <c r="Q131" s="65"/>
      <c r="R131" s="65"/>
      <c r="T131" s="65"/>
    </row>
    <row r="132" spans="1:20" x14ac:dyDescent="0.15">
      <c r="A132" s="176"/>
      <c r="B132" s="176"/>
      <c r="C132" s="176"/>
      <c r="D132" s="176"/>
      <c r="E132" s="176"/>
      <c r="F132" s="176"/>
      <c r="G132" s="103"/>
      <c r="H132" s="102">
        <v>22</v>
      </c>
      <c r="I132" s="102"/>
      <c r="J132" s="25"/>
      <c r="K132" s="25"/>
      <c r="L132" s="25"/>
      <c r="M132" s="197"/>
      <c r="N132" s="201"/>
      <c r="O132" s="201"/>
      <c r="Q132" s="65"/>
      <c r="R132" s="65"/>
      <c r="T132" s="65"/>
    </row>
    <row r="133" spans="1:20" ht="14.25" x14ac:dyDescent="0.15">
      <c r="A133" s="20" t="s">
        <v>125</v>
      </c>
      <c r="B133" s="20" t="s">
        <v>20</v>
      </c>
      <c r="C133" s="24" t="s">
        <v>126</v>
      </c>
      <c r="D133" s="24">
        <v>29</v>
      </c>
      <c r="E133" s="20" t="s">
        <v>149</v>
      </c>
      <c r="F133" s="20" t="s">
        <v>392</v>
      </c>
      <c r="G133" s="22"/>
      <c r="H133" s="276">
        <v>0.1</v>
      </c>
      <c r="I133" s="23">
        <v>0.1</v>
      </c>
      <c r="J133" s="198">
        <v>1</v>
      </c>
      <c r="K133" s="198"/>
      <c r="L133" s="226">
        <v>1</v>
      </c>
      <c r="M133" s="23">
        <v>0.5</v>
      </c>
      <c r="N133" s="198"/>
      <c r="O133" s="198"/>
      <c r="Q133" s="65"/>
      <c r="R133" s="65"/>
      <c r="T133" s="65"/>
    </row>
    <row r="134" spans="1:20" ht="14.25" x14ac:dyDescent="0.15">
      <c r="A134" s="20" t="s">
        <v>179</v>
      </c>
      <c r="B134" s="20" t="s">
        <v>125</v>
      </c>
      <c r="C134" s="24" t="s">
        <v>181</v>
      </c>
      <c r="D134" s="24">
        <v>19</v>
      </c>
      <c r="E134" s="20" t="s">
        <v>149</v>
      </c>
      <c r="F134" s="20" t="s">
        <v>501</v>
      </c>
      <c r="G134" s="22"/>
      <c r="H134" s="276">
        <v>0.1</v>
      </c>
      <c r="I134" s="23">
        <v>0.1</v>
      </c>
      <c r="J134" s="198">
        <v>1</v>
      </c>
      <c r="K134" s="198"/>
      <c r="L134" s="226">
        <v>1</v>
      </c>
      <c r="M134" s="23">
        <v>0.5</v>
      </c>
      <c r="N134" s="198"/>
      <c r="O134" s="198"/>
      <c r="Q134" s="65"/>
      <c r="R134" s="65"/>
      <c r="T134" s="65"/>
    </row>
    <row r="135" spans="1:20" ht="14.25" x14ac:dyDescent="0.15">
      <c r="A135" s="20" t="s">
        <v>177</v>
      </c>
      <c r="B135" s="20" t="s">
        <v>179</v>
      </c>
      <c r="C135" s="24" t="s">
        <v>181</v>
      </c>
      <c r="D135" s="24">
        <v>29</v>
      </c>
      <c r="E135" s="20" t="s">
        <v>149</v>
      </c>
      <c r="F135" s="20" t="s">
        <v>445</v>
      </c>
      <c r="G135" s="22"/>
      <c r="H135" s="276">
        <v>0.1</v>
      </c>
      <c r="I135" s="23">
        <v>0.1</v>
      </c>
      <c r="J135" s="198">
        <v>1</v>
      </c>
      <c r="K135" s="198"/>
      <c r="L135" s="226">
        <v>1</v>
      </c>
      <c r="M135" s="23">
        <v>0.5</v>
      </c>
      <c r="N135" s="198"/>
      <c r="O135" s="198"/>
      <c r="Q135" s="65"/>
      <c r="R135" s="65"/>
      <c r="T135" s="65"/>
    </row>
    <row r="136" spans="1:20" ht="14.25" x14ac:dyDescent="0.15">
      <c r="A136" s="20" t="s">
        <v>102</v>
      </c>
      <c r="B136" s="20" t="s">
        <v>177</v>
      </c>
      <c r="C136" s="24" t="s">
        <v>181</v>
      </c>
      <c r="D136" s="24">
        <v>38</v>
      </c>
      <c r="E136" s="20" t="s">
        <v>149</v>
      </c>
      <c r="F136" s="20" t="s">
        <v>474</v>
      </c>
      <c r="G136" s="22" t="s">
        <v>151</v>
      </c>
      <c r="H136" s="49">
        <v>0</v>
      </c>
      <c r="I136" s="22"/>
      <c r="J136" s="198">
        <v>1</v>
      </c>
      <c r="K136" s="198"/>
      <c r="L136" s="226">
        <v>1</v>
      </c>
      <c r="M136" s="23">
        <v>0.5</v>
      </c>
      <c r="N136" s="198"/>
      <c r="O136" s="198"/>
      <c r="Q136" s="65"/>
      <c r="R136" s="65"/>
      <c r="T136" s="65"/>
    </row>
    <row r="137" spans="1:20" ht="14.25" x14ac:dyDescent="0.15">
      <c r="A137" s="20" t="s">
        <v>183</v>
      </c>
      <c r="B137" s="20" t="s">
        <v>102</v>
      </c>
      <c r="C137" s="24" t="s">
        <v>158</v>
      </c>
      <c r="D137" s="24">
        <v>38</v>
      </c>
      <c r="E137" s="20" t="s">
        <v>149</v>
      </c>
      <c r="F137" s="20" t="s">
        <v>423</v>
      </c>
      <c r="G137" s="198" t="s">
        <v>151</v>
      </c>
      <c r="H137" s="49">
        <v>0</v>
      </c>
      <c r="I137" s="198"/>
      <c r="J137" s="198">
        <v>1</v>
      </c>
      <c r="K137" s="198"/>
      <c r="L137" s="226">
        <v>1</v>
      </c>
      <c r="M137" s="23">
        <v>0.5</v>
      </c>
      <c r="N137" s="198"/>
      <c r="O137" s="198"/>
      <c r="Q137" s="65"/>
      <c r="R137" s="65"/>
      <c r="T137" s="65"/>
    </row>
    <row r="138" spans="1:20" ht="14.25" x14ac:dyDescent="0.15">
      <c r="A138" s="20" t="s">
        <v>167</v>
      </c>
      <c r="B138" s="20" t="s">
        <v>183</v>
      </c>
      <c r="C138" s="24" t="s">
        <v>158</v>
      </c>
      <c r="D138" s="24">
        <v>7</v>
      </c>
      <c r="E138" s="20" t="s">
        <v>155</v>
      </c>
      <c r="F138" s="20" t="s">
        <v>479</v>
      </c>
      <c r="G138" s="198" t="s">
        <v>151</v>
      </c>
      <c r="H138" s="49">
        <v>0</v>
      </c>
      <c r="I138" s="23">
        <v>0.1</v>
      </c>
      <c r="J138" s="198">
        <v>1</v>
      </c>
      <c r="K138" s="198"/>
      <c r="L138" s="226">
        <v>1</v>
      </c>
      <c r="M138" s="23">
        <v>0.5</v>
      </c>
      <c r="N138" s="198"/>
      <c r="O138" s="198"/>
      <c r="Q138" s="65"/>
      <c r="R138" s="65"/>
      <c r="T138" s="65"/>
    </row>
    <row r="139" spans="1:20" ht="14.25" x14ac:dyDescent="0.15">
      <c r="A139" s="20" t="s">
        <v>170</v>
      </c>
      <c r="B139" s="20" t="s">
        <v>167</v>
      </c>
      <c r="C139" s="24" t="s">
        <v>165</v>
      </c>
      <c r="D139" s="24">
        <v>7</v>
      </c>
      <c r="E139" s="20" t="s">
        <v>155</v>
      </c>
      <c r="F139" s="20" t="s">
        <v>427</v>
      </c>
      <c r="G139" s="198" t="s">
        <v>182</v>
      </c>
      <c r="H139" s="49">
        <v>0</v>
      </c>
      <c r="I139" s="23">
        <v>0.3</v>
      </c>
      <c r="J139" s="198">
        <v>1</v>
      </c>
      <c r="K139" s="198"/>
      <c r="L139" s="226">
        <v>1</v>
      </c>
      <c r="M139" s="23">
        <v>0.5</v>
      </c>
      <c r="N139" s="198"/>
      <c r="O139" s="198"/>
      <c r="Q139" s="65"/>
      <c r="R139" s="65"/>
      <c r="T139" s="65"/>
    </row>
    <row r="140" spans="1:20" ht="14.25" x14ac:dyDescent="0.15">
      <c r="A140" s="20" t="s">
        <v>21</v>
      </c>
      <c r="B140" s="20" t="s">
        <v>154</v>
      </c>
      <c r="C140" s="24" t="s">
        <v>165</v>
      </c>
      <c r="D140" s="24">
        <v>1</v>
      </c>
      <c r="E140" s="20" t="s">
        <v>173</v>
      </c>
      <c r="F140" s="20" t="s">
        <v>576</v>
      </c>
      <c r="G140" s="198" t="s">
        <v>169</v>
      </c>
      <c r="H140" s="49">
        <v>0</v>
      </c>
      <c r="I140" s="23">
        <v>0.6</v>
      </c>
      <c r="J140" s="198">
        <v>1</v>
      </c>
      <c r="K140" s="198"/>
      <c r="L140" s="226">
        <v>1</v>
      </c>
      <c r="M140" s="23">
        <v>0.5</v>
      </c>
      <c r="N140" s="198"/>
      <c r="O140" s="198"/>
      <c r="Q140" s="65"/>
      <c r="R140" s="65"/>
      <c r="T140" s="65"/>
    </row>
    <row r="141" spans="1:20" ht="14.25" x14ac:dyDescent="0.15">
      <c r="A141" s="20" t="s">
        <v>178</v>
      </c>
      <c r="B141" s="20" t="s">
        <v>175</v>
      </c>
      <c r="C141" s="24" t="s">
        <v>165</v>
      </c>
      <c r="D141" s="24">
        <v>6</v>
      </c>
      <c r="E141" s="20" t="s">
        <v>155</v>
      </c>
      <c r="F141" s="20" t="s">
        <v>426</v>
      </c>
      <c r="G141" s="198" t="s">
        <v>182</v>
      </c>
      <c r="H141" s="49">
        <v>0</v>
      </c>
      <c r="I141" s="23">
        <v>0.3</v>
      </c>
      <c r="J141" s="198">
        <v>1</v>
      </c>
      <c r="K141" s="198"/>
      <c r="L141" s="226">
        <v>1</v>
      </c>
      <c r="M141" s="23">
        <v>0.5</v>
      </c>
      <c r="N141" s="198"/>
      <c r="O141" s="198"/>
      <c r="Q141" s="65"/>
      <c r="R141" s="65"/>
      <c r="T141" s="65"/>
    </row>
    <row r="142" spans="1:20" ht="14.25" x14ac:dyDescent="0.15">
      <c r="A142" s="20" t="s">
        <v>180</v>
      </c>
      <c r="B142" s="21" t="s">
        <v>184</v>
      </c>
      <c r="C142" s="24" t="s">
        <v>165</v>
      </c>
      <c r="D142" s="24">
        <v>6</v>
      </c>
      <c r="E142" s="20" t="s">
        <v>155</v>
      </c>
      <c r="F142" s="20" t="s">
        <v>413</v>
      </c>
      <c r="G142" s="22" t="s">
        <v>182</v>
      </c>
      <c r="H142" s="49">
        <v>0</v>
      </c>
      <c r="I142" s="23">
        <v>0.3</v>
      </c>
      <c r="J142" s="198">
        <v>1</v>
      </c>
      <c r="K142" s="198"/>
      <c r="L142" s="226">
        <v>1</v>
      </c>
      <c r="M142" s="23">
        <v>0.5</v>
      </c>
      <c r="N142" s="198"/>
      <c r="O142" s="198"/>
      <c r="Q142" s="65"/>
      <c r="R142" s="65"/>
      <c r="T142" s="65"/>
    </row>
    <row r="143" spans="1:20" ht="14.25" x14ac:dyDescent="0.15">
      <c r="A143" s="20" t="s">
        <v>154</v>
      </c>
      <c r="B143" s="20" t="s">
        <v>162</v>
      </c>
      <c r="C143" s="24" t="s">
        <v>181</v>
      </c>
      <c r="D143" s="24">
        <v>27</v>
      </c>
      <c r="E143" s="20" t="s">
        <v>149</v>
      </c>
      <c r="F143" s="20" t="s">
        <v>472</v>
      </c>
      <c r="G143" s="22"/>
      <c r="H143" s="276">
        <v>0.1</v>
      </c>
      <c r="I143" s="23">
        <v>0.1</v>
      </c>
      <c r="J143" s="198">
        <v>1</v>
      </c>
      <c r="K143" s="198"/>
      <c r="L143" s="226">
        <v>1</v>
      </c>
      <c r="M143" s="23">
        <v>0.5</v>
      </c>
      <c r="N143" s="198"/>
      <c r="O143" s="198"/>
      <c r="Q143" s="65"/>
      <c r="R143" s="65"/>
      <c r="T143" s="65"/>
    </row>
    <row r="144" spans="1:20" ht="14.25" x14ac:dyDescent="0.15">
      <c r="A144" s="20" t="s">
        <v>175</v>
      </c>
      <c r="B144" s="20" t="s">
        <v>153</v>
      </c>
      <c r="C144" s="24" t="s">
        <v>158</v>
      </c>
      <c r="D144" s="24">
        <v>26</v>
      </c>
      <c r="E144" s="20" t="s">
        <v>155</v>
      </c>
      <c r="F144" s="20" t="s">
        <v>417</v>
      </c>
      <c r="G144" s="22" t="s">
        <v>151</v>
      </c>
      <c r="H144" s="49">
        <v>0</v>
      </c>
      <c r="I144" s="23">
        <v>0.1</v>
      </c>
      <c r="J144" s="198">
        <v>1</v>
      </c>
      <c r="K144" s="198"/>
      <c r="L144" s="226">
        <v>1</v>
      </c>
      <c r="M144" s="23">
        <v>0.5</v>
      </c>
      <c r="N144" s="198"/>
      <c r="O144" s="198"/>
      <c r="Q144" s="65"/>
      <c r="R144" s="65"/>
      <c r="T144" s="65"/>
    </row>
    <row r="145" spans="1:20" ht="14.25" x14ac:dyDescent="0.15">
      <c r="A145" s="21" t="s">
        <v>184</v>
      </c>
      <c r="B145" s="20" t="s">
        <v>174</v>
      </c>
      <c r="C145" s="24" t="s">
        <v>126</v>
      </c>
      <c r="D145" s="24">
        <v>34</v>
      </c>
      <c r="E145" s="21" t="s">
        <v>149</v>
      </c>
      <c r="F145" s="20" t="s">
        <v>493</v>
      </c>
      <c r="G145" s="22"/>
      <c r="H145" s="276">
        <v>0.1</v>
      </c>
      <c r="I145" s="23">
        <v>0.1</v>
      </c>
      <c r="J145" s="198">
        <v>1</v>
      </c>
      <c r="K145" s="198"/>
      <c r="L145" s="226">
        <v>1</v>
      </c>
      <c r="M145" s="23">
        <v>0.5</v>
      </c>
      <c r="N145" s="198"/>
      <c r="O145" s="198"/>
      <c r="Q145" s="65"/>
      <c r="R145" s="65"/>
      <c r="T145" s="65"/>
    </row>
    <row r="146" spans="1:20" ht="14.25" x14ac:dyDescent="0.15">
      <c r="A146" s="20" t="s">
        <v>162</v>
      </c>
      <c r="B146" s="20" t="s">
        <v>172</v>
      </c>
      <c r="C146" s="24" t="s">
        <v>126</v>
      </c>
      <c r="D146" s="24">
        <v>18</v>
      </c>
      <c r="E146" s="20" t="s">
        <v>155</v>
      </c>
      <c r="F146" s="20" t="s">
        <v>480</v>
      </c>
      <c r="G146" s="22"/>
      <c r="H146" s="276">
        <v>0.1</v>
      </c>
      <c r="I146" s="23">
        <v>0.1</v>
      </c>
      <c r="J146" s="198">
        <v>1</v>
      </c>
      <c r="K146" s="198"/>
      <c r="L146" s="226">
        <v>1</v>
      </c>
      <c r="M146" s="23">
        <v>0.5</v>
      </c>
      <c r="N146" s="198"/>
      <c r="O146" s="198"/>
      <c r="Q146" s="65"/>
      <c r="R146" s="65"/>
      <c r="T146" s="65"/>
    </row>
    <row r="147" spans="1:20" ht="14.25" x14ac:dyDescent="0.15">
      <c r="A147" s="20" t="s">
        <v>153</v>
      </c>
      <c r="B147" s="20" t="s">
        <v>156</v>
      </c>
      <c r="C147" s="24" t="s">
        <v>165</v>
      </c>
      <c r="D147" s="24">
        <v>31</v>
      </c>
      <c r="E147" s="20" t="s">
        <v>149</v>
      </c>
      <c r="F147" s="20" t="s">
        <v>485</v>
      </c>
      <c r="G147" s="22" t="s">
        <v>151</v>
      </c>
      <c r="H147" s="49">
        <v>0</v>
      </c>
      <c r="I147" s="22"/>
      <c r="J147" s="198">
        <v>1</v>
      </c>
      <c r="K147" s="198"/>
      <c r="L147" s="226">
        <v>1</v>
      </c>
      <c r="M147" s="23">
        <v>0.5</v>
      </c>
      <c r="N147" s="198"/>
      <c r="O147" s="198"/>
      <c r="Q147" s="65"/>
      <c r="R147" s="65"/>
      <c r="T147" s="65"/>
    </row>
    <row r="148" spans="1:20" ht="14.25" x14ac:dyDescent="0.15">
      <c r="A148" s="20" t="s">
        <v>174</v>
      </c>
      <c r="B148" s="20" t="s">
        <v>176</v>
      </c>
      <c r="C148" s="24" t="s">
        <v>126</v>
      </c>
      <c r="D148" s="24">
        <v>42</v>
      </c>
      <c r="E148" s="20" t="s">
        <v>149</v>
      </c>
      <c r="F148" s="20" t="s">
        <v>483</v>
      </c>
      <c r="G148" s="22"/>
      <c r="H148" s="276">
        <v>0.1</v>
      </c>
      <c r="I148" s="23">
        <v>0.1</v>
      </c>
      <c r="J148" s="198">
        <v>1</v>
      </c>
      <c r="K148" s="198"/>
      <c r="L148" s="226">
        <v>1</v>
      </c>
      <c r="M148" s="23">
        <v>0.5</v>
      </c>
      <c r="N148" s="198"/>
      <c r="O148" s="198"/>
      <c r="Q148" s="65"/>
      <c r="R148" s="65"/>
      <c r="T148" s="65"/>
    </row>
    <row r="149" spans="1:20" ht="14.25" x14ac:dyDescent="0.15">
      <c r="A149" s="20" t="s">
        <v>172</v>
      </c>
      <c r="B149" s="20" t="s">
        <v>168</v>
      </c>
      <c r="C149" s="24" t="s">
        <v>126</v>
      </c>
      <c r="D149" s="24">
        <v>60</v>
      </c>
      <c r="E149" s="20" t="s">
        <v>149</v>
      </c>
      <c r="F149" s="20" t="s">
        <v>488</v>
      </c>
      <c r="G149" s="22"/>
      <c r="H149" s="276">
        <v>0.1</v>
      </c>
      <c r="I149" s="23">
        <v>0.1</v>
      </c>
      <c r="J149" s="198">
        <v>1</v>
      </c>
      <c r="K149" s="198"/>
      <c r="L149" s="226">
        <v>1</v>
      </c>
      <c r="M149" s="23">
        <v>0.5</v>
      </c>
      <c r="N149" s="198"/>
      <c r="O149" s="198"/>
      <c r="Q149" s="65"/>
      <c r="R149" s="65"/>
      <c r="T149" s="65"/>
    </row>
    <row r="150" spans="1:20" ht="14.25" x14ac:dyDescent="0.15">
      <c r="A150" s="20" t="s">
        <v>156</v>
      </c>
      <c r="B150" s="20" t="s">
        <v>171</v>
      </c>
      <c r="C150" s="24" t="s">
        <v>181</v>
      </c>
      <c r="D150" s="24">
        <v>41</v>
      </c>
      <c r="E150" s="20" t="s">
        <v>149</v>
      </c>
      <c r="F150" s="20" t="s">
        <v>500</v>
      </c>
      <c r="G150" s="22"/>
      <c r="H150" s="276">
        <v>0.1</v>
      </c>
      <c r="I150" s="23">
        <v>0.1</v>
      </c>
      <c r="J150" s="198">
        <v>1</v>
      </c>
      <c r="K150" s="198"/>
      <c r="L150" s="226">
        <v>1</v>
      </c>
      <c r="M150" s="23">
        <v>0.5</v>
      </c>
      <c r="N150" s="198"/>
      <c r="O150" s="198"/>
      <c r="Q150" s="65"/>
      <c r="R150" s="65"/>
    </row>
    <row r="151" spans="1:20" ht="14.25" x14ac:dyDescent="0.15">
      <c r="A151" s="20" t="s">
        <v>176</v>
      </c>
      <c r="B151" s="20" t="s">
        <v>159</v>
      </c>
      <c r="C151" s="24" t="s">
        <v>126</v>
      </c>
      <c r="D151" s="24">
        <v>55</v>
      </c>
      <c r="E151" s="20" t="s">
        <v>149</v>
      </c>
      <c r="F151" s="20" t="s">
        <v>465</v>
      </c>
      <c r="G151" s="22"/>
      <c r="H151" s="276">
        <v>0.1</v>
      </c>
      <c r="I151" s="23">
        <v>0.1</v>
      </c>
      <c r="J151" s="198">
        <v>1</v>
      </c>
      <c r="K151" s="198"/>
      <c r="L151" s="226">
        <v>1</v>
      </c>
      <c r="M151" s="23">
        <v>0.5</v>
      </c>
      <c r="N151" s="198"/>
      <c r="O151" s="198"/>
      <c r="Q151" s="65"/>
      <c r="R151" s="65"/>
    </row>
    <row r="152" spans="1:20" ht="14.25" x14ac:dyDescent="0.15">
      <c r="A152" s="20" t="s">
        <v>168</v>
      </c>
      <c r="B152" s="20" t="s">
        <v>160</v>
      </c>
      <c r="C152" s="24" t="s">
        <v>126</v>
      </c>
      <c r="D152" s="24">
        <v>38</v>
      </c>
      <c r="E152" s="20" t="s">
        <v>155</v>
      </c>
      <c r="F152" s="20" t="s">
        <v>477</v>
      </c>
      <c r="G152" s="22"/>
      <c r="H152" s="278">
        <v>0.2</v>
      </c>
      <c r="I152" s="23">
        <v>0.2</v>
      </c>
      <c r="J152" s="198">
        <v>1</v>
      </c>
      <c r="K152" s="198"/>
      <c r="L152" s="226">
        <v>1</v>
      </c>
      <c r="M152" s="23">
        <v>0.5</v>
      </c>
      <c r="N152" s="198"/>
      <c r="O152" s="198"/>
    </row>
    <row r="153" spans="1:20" ht="14.25" x14ac:dyDescent="0.15">
      <c r="A153" s="20" t="s">
        <v>171</v>
      </c>
      <c r="B153" s="20" t="s">
        <v>161</v>
      </c>
      <c r="C153" s="24" t="s">
        <v>158</v>
      </c>
      <c r="D153" s="24">
        <v>43</v>
      </c>
      <c r="E153" s="20" t="s">
        <v>149</v>
      </c>
      <c r="F153" s="20" t="s">
        <v>461</v>
      </c>
      <c r="G153" s="22" t="s">
        <v>151</v>
      </c>
      <c r="H153" s="49">
        <v>0</v>
      </c>
      <c r="I153" s="22"/>
      <c r="J153" s="198">
        <v>1</v>
      </c>
      <c r="K153" s="198"/>
      <c r="L153" s="226">
        <v>1</v>
      </c>
      <c r="M153" s="23">
        <v>0.5</v>
      </c>
      <c r="N153" s="198"/>
      <c r="O153" s="198"/>
    </row>
    <row r="154" spans="1:20" ht="14.25" x14ac:dyDescent="0.15">
      <c r="A154" s="20" t="s">
        <v>159</v>
      </c>
      <c r="B154" s="20" t="s">
        <v>163</v>
      </c>
      <c r="C154" s="24" t="s">
        <v>158</v>
      </c>
      <c r="D154" s="24">
        <v>15</v>
      </c>
      <c r="E154" s="20" t="s">
        <v>155</v>
      </c>
      <c r="F154" s="20" t="s">
        <v>473</v>
      </c>
      <c r="G154" s="22" t="s">
        <v>151</v>
      </c>
      <c r="H154" s="49">
        <v>0</v>
      </c>
      <c r="I154" s="23">
        <v>0.1</v>
      </c>
      <c r="J154" s="198">
        <v>1</v>
      </c>
      <c r="K154" s="198"/>
      <c r="L154" s="226">
        <v>1</v>
      </c>
      <c r="M154" s="23">
        <v>0.5</v>
      </c>
      <c r="N154" s="198"/>
      <c r="O154" s="198"/>
    </row>
    <row r="155" spans="1:20" ht="14.25" x14ac:dyDescent="0.15">
      <c r="A155" s="20" t="s">
        <v>160</v>
      </c>
      <c r="B155" s="20" t="s">
        <v>164</v>
      </c>
      <c r="C155" s="24" t="s">
        <v>165</v>
      </c>
      <c r="D155" s="24">
        <v>33</v>
      </c>
      <c r="E155" s="20" t="s">
        <v>149</v>
      </c>
      <c r="F155" s="20" t="s">
        <v>378</v>
      </c>
      <c r="G155" s="22"/>
      <c r="H155" s="276">
        <v>0.1</v>
      </c>
      <c r="I155" s="23">
        <v>0.1</v>
      </c>
      <c r="J155" s="198">
        <v>1</v>
      </c>
      <c r="K155" s="198"/>
      <c r="L155" s="226">
        <v>1</v>
      </c>
      <c r="M155" s="23">
        <v>0.5</v>
      </c>
      <c r="N155" s="198"/>
      <c r="O155" s="198"/>
    </row>
    <row r="156" spans="1:20" ht="14.25" x14ac:dyDescent="0.15">
      <c r="A156" s="20" t="s">
        <v>161</v>
      </c>
      <c r="B156" s="20" t="s">
        <v>166</v>
      </c>
      <c r="C156" s="24" t="s">
        <v>181</v>
      </c>
      <c r="D156" s="24">
        <v>32</v>
      </c>
      <c r="E156" s="20" t="s">
        <v>149</v>
      </c>
      <c r="F156" s="20" t="s">
        <v>494</v>
      </c>
      <c r="G156" s="22"/>
      <c r="H156" s="276">
        <v>0.1</v>
      </c>
      <c r="I156" s="23">
        <v>0.1</v>
      </c>
      <c r="J156" s="198">
        <v>1</v>
      </c>
      <c r="K156" s="198"/>
      <c r="L156" s="226">
        <v>1</v>
      </c>
      <c r="M156" s="23">
        <v>0.5</v>
      </c>
      <c r="N156" s="198"/>
      <c r="O156" s="198"/>
    </row>
    <row r="157" spans="1:20" ht="14.25" x14ac:dyDescent="0.15">
      <c r="A157" s="20" t="s">
        <v>163</v>
      </c>
      <c r="B157" s="20" t="s">
        <v>188</v>
      </c>
      <c r="C157" s="24" t="s">
        <v>165</v>
      </c>
      <c r="D157" s="24">
        <v>39</v>
      </c>
      <c r="E157" s="20" t="s">
        <v>149</v>
      </c>
      <c r="F157" s="20" t="s">
        <v>393</v>
      </c>
      <c r="G157" s="22" t="s">
        <v>151</v>
      </c>
      <c r="H157" s="49">
        <v>0</v>
      </c>
      <c r="I157" s="22"/>
      <c r="J157" s="198">
        <v>1</v>
      </c>
      <c r="K157" s="198"/>
      <c r="L157" s="226">
        <v>1</v>
      </c>
      <c r="M157" s="23">
        <v>0.5</v>
      </c>
      <c r="N157" s="198"/>
      <c r="O157" s="198"/>
    </row>
    <row r="158" spans="1:20" ht="14.25" x14ac:dyDescent="0.15">
      <c r="A158" s="20" t="s">
        <v>164</v>
      </c>
      <c r="B158" s="20" t="s">
        <v>196</v>
      </c>
      <c r="C158" s="24" t="s">
        <v>165</v>
      </c>
      <c r="D158" s="24">
        <v>26</v>
      </c>
      <c r="E158" s="20" t="s">
        <v>149</v>
      </c>
      <c r="F158" s="20" t="s">
        <v>437</v>
      </c>
      <c r="G158" s="22" t="s">
        <v>151</v>
      </c>
      <c r="H158" s="49">
        <v>0</v>
      </c>
      <c r="I158" s="22"/>
      <c r="J158" s="198">
        <v>1</v>
      </c>
      <c r="K158" s="198"/>
      <c r="L158" s="226">
        <v>1</v>
      </c>
      <c r="M158" s="23">
        <v>0.5</v>
      </c>
      <c r="N158" s="198"/>
      <c r="O158" s="198"/>
    </row>
    <row r="159" spans="1:20" ht="14.25" x14ac:dyDescent="0.15">
      <c r="A159" s="20" t="s">
        <v>166</v>
      </c>
      <c r="B159" s="20" t="s">
        <v>76</v>
      </c>
      <c r="C159" s="24" t="s">
        <v>126</v>
      </c>
      <c r="D159" s="24">
        <v>38</v>
      </c>
      <c r="E159" s="20" t="s">
        <v>149</v>
      </c>
      <c r="F159" s="20" t="s">
        <v>470</v>
      </c>
      <c r="G159" s="22"/>
      <c r="H159" s="276">
        <v>0.1</v>
      </c>
      <c r="I159" s="23">
        <v>0.1</v>
      </c>
      <c r="J159" s="198">
        <v>1</v>
      </c>
      <c r="K159" s="198"/>
      <c r="L159" s="226">
        <v>1</v>
      </c>
      <c r="M159" s="23">
        <v>0.5</v>
      </c>
      <c r="N159" s="198"/>
      <c r="O159" s="198"/>
    </row>
    <row r="160" spans="1:20" ht="14.25" x14ac:dyDescent="0.15">
      <c r="A160" s="20" t="s">
        <v>188</v>
      </c>
      <c r="B160" s="20" t="s">
        <v>77</v>
      </c>
      <c r="C160" s="24" t="s">
        <v>181</v>
      </c>
      <c r="D160" s="24">
        <v>28</v>
      </c>
      <c r="E160" s="20" t="s">
        <v>155</v>
      </c>
      <c r="F160" s="20" t="s">
        <v>367</v>
      </c>
      <c r="G160" s="22"/>
      <c r="H160" s="278">
        <v>0.2</v>
      </c>
      <c r="I160" s="23">
        <v>0.2</v>
      </c>
      <c r="J160" s="198">
        <v>1</v>
      </c>
      <c r="K160" s="198"/>
      <c r="L160" s="226">
        <v>1</v>
      </c>
      <c r="M160" s="23">
        <v>0.5</v>
      </c>
      <c r="N160" s="198"/>
      <c r="O160" s="198"/>
    </row>
    <row r="161" spans="1:15" ht="14.25" x14ac:dyDescent="0.15">
      <c r="A161" s="20" t="s">
        <v>196</v>
      </c>
      <c r="B161" s="20" t="s">
        <v>72</v>
      </c>
      <c r="C161" s="24" t="s">
        <v>158</v>
      </c>
      <c r="D161" s="24">
        <v>28</v>
      </c>
      <c r="E161" s="20" t="s">
        <v>155</v>
      </c>
      <c r="F161" s="20" t="s">
        <v>454</v>
      </c>
      <c r="G161" s="22" t="s">
        <v>151</v>
      </c>
      <c r="H161" s="49">
        <v>0</v>
      </c>
      <c r="I161" s="23">
        <v>0.1</v>
      </c>
      <c r="J161" s="198">
        <v>1</v>
      </c>
      <c r="K161" s="198"/>
      <c r="L161" s="226">
        <v>1</v>
      </c>
      <c r="M161" s="23">
        <v>0.5</v>
      </c>
      <c r="N161" s="198"/>
      <c r="O161" s="198"/>
    </row>
    <row r="162" spans="1:15" ht="14.25" x14ac:dyDescent="0.15">
      <c r="A162" s="20" t="s">
        <v>76</v>
      </c>
      <c r="B162" s="20" t="s">
        <v>78</v>
      </c>
      <c r="C162" s="24" t="s">
        <v>181</v>
      </c>
      <c r="D162" s="24">
        <v>30</v>
      </c>
      <c r="E162" s="20" t="s">
        <v>155</v>
      </c>
      <c r="F162" s="20" t="s">
        <v>230</v>
      </c>
      <c r="G162" s="22"/>
      <c r="H162" s="278">
        <v>0.2</v>
      </c>
      <c r="I162" s="23">
        <v>0.2</v>
      </c>
      <c r="J162" s="198">
        <v>1</v>
      </c>
      <c r="K162" s="198"/>
      <c r="L162" s="226">
        <v>1</v>
      </c>
      <c r="M162" s="23">
        <v>0.5</v>
      </c>
      <c r="N162" s="198"/>
      <c r="O162" s="198"/>
    </row>
    <row r="163" spans="1:15" ht="14.25" x14ac:dyDescent="0.15">
      <c r="A163" s="20" t="s">
        <v>77</v>
      </c>
      <c r="B163" s="20" t="s">
        <v>89</v>
      </c>
      <c r="C163" s="24" t="s">
        <v>158</v>
      </c>
      <c r="D163" s="24">
        <v>26</v>
      </c>
      <c r="E163" s="20" t="s">
        <v>155</v>
      </c>
      <c r="F163" s="20" t="s">
        <v>249</v>
      </c>
      <c r="G163" s="22" t="s">
        <v>151</v>
      </c>
      <c r="H163" s="49">
        <v>0</v>
      </c>
      <c r="I163" s="23">
        <v>0.1</v>
      </c>
      <c r="J163" s="198">
        <v>1</v>
      </c>
      <c r="K163" s="198"/>
      <c r="L163" s="226">
        <v>1</v>
      </c>
      <c r="M163" s="23">
        <v>0.5</v>
      </c>
      <c r="N163" s="198"/>
      <c r="O163" s="198"/>
    </row>
    <row r="164" spans="1:15" ht="14.25" x14ac:dyDescent="0.15">
      <c r="A164" s="20" t="s">
        <v>72</v>
      </c>
      <c r="B164" s="20" t="s">
        <v>67</v>
      </c>
      <c r="C164" s="24" t="s">
        <v>181</v>
      </c>
      <c r="D164" s="24">
        <v>38</v>
      </c>
      <c r="E164" s="20" t="s">
        <v>155</v>
      </c>
      <c r="F164" s="20" t="s">
        <v>216</v>
      </c>
      <c r="G164" s="22"/>
      <c r="H164" s="278">
        <v>0.2</v>
      </c>
      <c r="I164" s="23">
        <v>0.2</v>
      </c>
      <c r="J164" s="198">
        <v>1</v>
      </c>
      <c r="K164" s="198"/>
      <c r="L164" s="226">
        <v>1</v>
      </c>
      <c r="M164" s="23">
        <v>0.5</v>
      </c>
      <c r="N164" s="198"/>
      <c r="O164" s="198"/>
    </row>
    <row r="165" spans="1:15" ht="14.25" x14ac:dyDescent="0.15">
      <c r="A165" s="20" t="s">
        <v>78</v>
      </c>
      <c r="B165" s="20" t="s">
        <v>81</v>
      </c>
      <c r="C165" s="24" t="s">
        <v>158</v>
      </c>
      <c r="D165" s="24">
        <v>26</v>
      </c>
      <c r="E165" s="20" t="s">
        <v>155</v>
      </c>
      <c r="F165" s="20" t="s">
        <v>302</v>
      </c>
      <c r="G165" s="22" t="s">
        <v>151</v>
      </c>
      <c r="H165" s="49">
        <v>0</v>
      </c>
      <c r="I165" s="23">
        <v>0.1</v>
      </c>
      <c r="J165" s="198">
        <v>1</v>
      </c>
      <c r="K165" s="198"/>
      <c r="L165" s="226">
        <v>1</v>
      </c>
      <c r="M165" s="23">
        <v>0.5</v>
      </c>
      <c r="N165" s="198"/>
      <c r="O165" s="198"/>
    </row>
    <row r="166" spans="1:15" ht="14.25" x14ac:dyDescent="0.15">
      <c r="A166" s="20" t="s">
        <v>89</v>
      </c>
      <c r="B166" s="20" t="s">
        <v>90</v>
      </c>
      <c r="C166" s="24" t="s">
        <v>158</v>
      </c>
      <c r="D166" s="24">
        <v>30</v>
      </c>
      <c r="E166" s="20" t="s">
        <v>155</v>
      </c>
      <c r="F166" s="20" t="s">
        <v>332</v>
      </c>
      <c r="G166" s="198" t="s">
        <v>151</v>
      </c>
      <c r="H166" s="49">
        <v>0</v>
      </c>
      <c r="I166" s="23">
        <v>0.1</v>
      </c>
      <c r="J166" s="198">
        <v>1</v>
      </c>
      <c r="K166" s="198"/>
      <c r="L166" s="226">
        <v>1</v>
      </c>
      <c r="M166" s="23">
        <v>0.5</v>
      </c>
      <c r="N166" s="198"/>
      <c r="O166" s="198"/>
    </row>
    <row r="167" spans="1:15" ht="14.25" x14ac:dyDescent="0.15">
      <c r="A167" s="20" t="s">
        <v>67</v>
      </c>
      <c r="B167" s="20" t="s">
        <v>91</v>
      </c>
      <c r="C167" s="24" t="s">
        <v>165</v>
      </c>
      <c r="D167" s="24">
        <v>33</v>
      </c>
      <c r="E167" s="20" t="s">
        <v>149</v>
      </c>
      <c r="F167" s="20" t="s">
        <v>276</v>
      </c>
      <c r="G167" s="198" t="s">
        <v>151</v>
      </c>
      <c r="H167" s="49">
        <v>0</v>
      </c>
      <c r="I167" s="198"/>
      <c r="J167" s="198">
        <v>1</v>
      </c>
      <c r="K167" s="198"/>
      <c r="L167" s="226">
        <v>1</v>
      </c>
      <c r="M167" s="23">
        <v>0.5</v>
      </c>
      <c r="N167" s="198"/>
      <c r="O167" s="198"/>
    </row>
    <row r="168" spans="1:15" ht="14.25" x14ac:dyDescent="0.15">
      <c r="A168" s="20" t="s">
        <v>81</v>
      </c>
      <c r="B168" s="20" t="s">
        <v>82</v>
      </c>
      <c r="C168" s="24" t="s">
        <v>158</v>
      </c>
      <c r="D168" s="24">
        <v>19</v>
      </c>
      <c r="E168" s="20" t="s">
        <v>155</v>
      </c>
      <c r="F168" s="20" t="s">
        <v>330</v>
      </c>
      <c r="G168" s="22" t="s">
        <v>151</v>
      </c>
      <c r="H168" s="49">
        <v>0</v>
      </c>
      <c r="I168" s="23">
        <v>0.1</v>
      </c>
      <c r="J168" s="198">
        <v>1</v>
      </c>
      <c r="K168" s="198"/>
      <c r="L168" s="226">
        <v>1</v>
      </c>
      <c r="M168" s="23">
        <v>0.5</v>
      </c>
      <c r="N168" s="198"/>
      <c r="O168" s="198"/>
    </row>
    <row r="169" spans="1:15" ht="14.25" x14ac:dyDescent="0.15">
      <c r="A169" s="20" t="s">
        <v>90</v>
      </c>
      <c r="B169" s="20" t="s">
        <v>83</v>
      </c>
      <c r="C169" s="24" t="s">
        <v>181</v>
      </c>
      <c r="D169" s="24">
        <v>29</v>
      </c>
      <c r="E169" s="20" t="s">
        <v>149</v>
      </c>
      <c r="F169" s="20" t="s">
        <v>226</v>
      </c>
      <c r="G169" s="22"/>
      <c r="H169" s="276">
        <v>0.1</v>
      </c>
      <c r="I169" s="23">
        <v>0.1</v>
      </c>
      <c r="J169" s="198">
        <v>1</v>
      </c>
      <c r="K169" s="198"/>
      <c r="L169" s="226">
        <v>1</v>
      </c>
      <c r="M169" s="23">
        <v>0.5</v>
      </c>
      <c r="N169" s="198"/>
      <c r="O169" s="198"/>
    </row>
    <row r="170" spans="1:15" ht="14.25" x14ac:dyDescent="0.15">
      <c r="A170" s="20" t="s">
        <v>91</v>
      </c>
      <c r="B170" s="20" t="s">
        <v>195</v>
      </c>
      <c r="C170" s="24" t="s">
        <v>165</v>
      </c>
      <c r="D170" s="24">
        <v>22</v>
      </c>
      <c r="E170" s="20" t="s">
        <v>149</v>
      </c>
      <c r="F170" s="20" t="s">
        <v>220</v>
      </c>
      <c r="G170" s="22" t="s">
        <v>151</v>
      </c>
      <c r="H170" s="49">
        <v>0</v>
      </c>
      <c r="I170" s="22"/>
      <c r="J170" s="198">
        <v>1</v>
      </c>
      <c r="K170" s="198"/>
      <c r="L170" s="226">
        <v>1</v>
      </c>
      <c r="M170" s="23">
        <v>0.5</v>
      </c>
      <c r="N170" s="198"/>
      <c r="O170" s="198"/>
    </row>
    <row r="171" spans="1:15" ht="14.25" x14ac:dyDescent="0.15">
      <c r="A171" s="20" t="s">
        <v>82</v>
      </c>
      <c r="B171" s="20" t="s">
        <v>84</v>
      </c>
      <c r="C171" s="24" t="s">
        <v>126</v>
      </c>
      <c r="D171" s="24">
        <v>20</v>
      </c>
      <c r="E171" s="20" t="s">
        <v>149</v>
      </c>
      <c r="F171" s="20" t="s">
        <v>277</v>
      </c>
      <c r="G171" s="22"/>
      <c r="H171" s="276">
        <v>0.1</v>
      </c>
      <c r="I171" s="23">
        <v>0.1</v>
      </c>
      <c r="J171" s="198">
        <v>1</v>
      </c>
      <c r="K171" s="198"/>
      <c r="L171" s="226">
        <v>1</v>
      </c>
      <c r="M171" s="23">
        <v>0.5</v>
      </c>
      <c r="N171" s="198"/>
      <c r="O171" s="198"/>
    </row>
    <row r="172" spans="1:15" ht="14.25" x14ac:dyDescent="0.15">
      <c r="A172" s="20" t="s">
        <v>83</v>
      </c>
      <c r="B172" s="20" t="s">
        <v>85</v>
      </c>
      <c r="C172" s="24" t="s">
        <v>165</v>
      </c>
      <c r="D172" s="24">
        <v>23</v>
      </c>
      <c r="E172" s="20" t="s">
        <v>149</v>
      </c>
      <c r="F172" s="20" t="s">
        <v>273</v>
      </c>
      <c r="G172" s="22" t="s">
        <v>151</v>
      </c>
      <c r="H172" s="49">
        <v>0</v>
      </c>
      <c r="I172" s="22"/>
      <c r="J172" s="198">
        <v>1</v>
      </c>
      <c r="K172" s="198"/>
      <c r="L172" s="226">
        <v>1</v>
      </c>
      <c r="M172" s="23">
        <v>0.5</v>
      </c>
      <c r="N172" s="198"/>
      <c r="O172" s="198"/>
    </row>
    <row r="173" spans="1:15" ht="14.25" x14ac:dyDescent="0.15">
      <c r="A173" s="20" t="s">
        <v>195</v>
      </c>
      <c r="B173" s="20" t="s">
        <v>92</v>
      </c>
      <c r="C173" s="24" t="s">
        <v>181</v>
      </c>
      <c r="D173" s="24">
        <v>19</v>
      </c>
      <c r="E173" s="20" t="s">
        <v>155</v>
      </c>
      <c r="F173" s="20" t="s">
        <v>405</v>
      </c>
      <c r="G173" s="22"/>
      <c r="H173" s="278">
        <v>0.2</v>
      </c>
      <c r="I173" s="23">
        <v>0.2</v>
      </c>
      <c r="J173" s="198">
        <v>1</v>
      </c>
      <c r="K173" s="198"/>
      <c r="L173" s="226">
        <v>1</v>
      </c>
      <c r="M173" s="23">
        <v>0.5</v>
      </c>
      <c r="N173" s="198"/>
      <c r="O173" s="198"/>
    </row>
    <row r="174" spans="1:15" ht="14.25" x14ac:dyDescent="0.15">
      <c r="A174" s="20" t="s">
        <v>84</v>
      </c>
      <c r="B174" s="20" t="s">
        <v>197</v>
      </c>
      <c r="C174" s="24" t="s">
        <v>165</v>
      </c>
      <c r="D174" s="24">
        <v>21</v>
      </c>
      <c r="E174" s="20" t="s">
        <v>149</v>
      </c>
      <c r="F174" s="20" t="s">
        <v>348</v>
      </c>
      <c r="G174" s="22" t="s">
        <v>151</v>
      </c>
      <c r="H174" s="49">
        <v>0</v>
      </c>
      <c r="I174" s="22"/>
      <c r="J174" s="198">
        <v>1</v>
      </c>
      <c r="K174" s="198"/>
      <c r="L174" s="226">
        <v>1</v>
      </c>
      <c r="M174" s="23">
        <v>0.5</v>
      </c>
      <c r="N174" s="198"/>
      <c r="O174" s="198"/>
    </row>
    <row r="175" spans="1:15" ht="14.25" x14ac:dyDescent="0.15">
      <c r="A175" s="20" t="s">
        <v>85</v>
      </c>
      <c r="B175" s="20" t="s">
        <v>198</v>
      </c>
      <c r="C175" s="24" t="s">
        <v>165</v>
      </c>
      <c r="D175" s="24">
        <v>45</v>
      </c>
      <c r="E175" s="20" t="s">
        <v>149</v>
      </c>
      <c r="F175" s="20" t="s">
        <v>334</v>
      </c>
      <c r="G175" s="22" t="s">
        <v>151</v>
      </c>
      <c r="H175" s="49">
        <v>0</v>
      </c>
      <c r="I175" s="22"/>
      <c r="J175" s="198">
        <v>1</v>
      </c>
      <c r="K175" s="198"/>
      <c r="L175" s="226">
        <v>1</v>
      </c>
      <c r="M175" s="23">
        <v>0.5</v>
      </c>
      <c r="N175" s="198"/>
      <c r="O175" s="198"/>
    </row>
    <row r="176" spans="1:15" ht="14.25" x14ac:dyDescent="0.15">
      <c r="A176" s="20" t="s">
        <v>92</v>
      </c>
      <c r="B176" s="20" t="s">
        <v>193</v>
      </c>
      <c r="C176" s="24" t="s">
        <v>158</v>
      </c>
      <c r="D176" s="24">
        <v>53</v>
      </c>
      <c r="E176" s="20" t="s">
        <v>155</v>
      </c>
      <c r="F176" s="20" t="s">
        <v>327</v>
      </c>
      <c r="G176" s="22"/>
      <c r="H176" s="278">
        <v>0.2</v>
      </c>
      <c r="I176" s="23">
        <v>0.2</v>
      </c>
      <c r="J176" s="198">
        <v>1</v>
      </c>
      <c r="K176" s="198"/>
      <c r="L176" s="226">
        <v>1</v>
      </c>
      <c r="M176" s="23">
        <v>0.5</v>
      </c>
      <c r="N176" s="198"/>
      <c r="O176" s="198"/>
    </row>
    <row r="177" spans="1:15" ht="14.25" x14ac:dyDescent="0.15">
      <c r="A177" s="20" t="s">
        <v>197</v>
      </c>
      <c r="B177" s="20" t="s">
        <v>185</v>
      </c>
      <c r="C177" s="24" t="s">
        <v>158</v>
      </c>
      <c r="D177" s="24">
        <v>37</v>
      </c>
      <c r="E177" s="20" t="s">
        <v>155</v>
      </c>
      <c r="F177" s="20" t="s">
        <v>429</v>
      </c>
      <c r="G177" s="22"/>
      <c r="H177" s="278">
        <v>0.2</v>
      </c>
      <c r="I177" s="23">
        <v>0.2</v>
      </c>
      <c r="J177" s="198">
        <v>1</v>
      </c>
      <c r="K177" s="198"/>
      <c r="L177" s="226">
        <v>1</v>
      </c>
      <c r="M177" s="23">
        <v>0.5</v>
      </c>
      <c r="N177" s="198"/>
      <c r="O177" s="198"/>
    </row>
    <row r="178" spans="1:15" ht="14.25" x14ac:dyDescent="0.15">
      <c r="A178" s="20" t="s">
        <v>198</v>
      </c>
      <c r="B178" s="20" t="s">
        <v>186</v>
      </c>
      <c r="C178" s="24" t="s">
        <v>158</v>
      </c>
      <c r="D178" s="24">
        <v>20</v>
      </c>
      <c r="E178" s="20" t="s">
        <v>155</v>
      </c>
      <c r="F178" s="20" t="s">
        <v>374</v>
      </c>
      <c r="G178" s="22" t="s">
        <v>151</v>
      </c>
      <c r="H178" s="49">
        <v>0</v>
      </c>
      <c r="I178" s="23">
        <v>0.1</v>
      </c>
      <c r="J178" s="198">
        <v>1</v>
      </c>
      <c r="K178" s="198"/>
      <c r="L178" s="226">
        <v>1</v>
      </c>
      <c r="M178" s="23">
        <v>0.5</v>
      </c>
      <c r="N178" s="198"/>
      <c r="O178" s="198"/>
    </row>
    <row r="179" spans="1:15" ht="14.25" x14ac:dyDescent="0.15">
      <c r="A179" s="20" t="s">
        <v>193</v>
      </c>
      <c r="B179" s="20" t="s">
        <v>187</v>
      </c>
      <c r="C179" s="24" t="s">
        <v>126</v>
      </c>
      <c r="D179" s="24">
        <v>37</v>
      </c>
      <c r="E179" s="20" t="s">
        <v>155</v>
      </c>
      <c r="F179" s="20" t="s">
        <v>376</v>
      </c>
      <c r="G179" s="22"/>
      <c r="H179" s="278">
        <v>0.2</v>
      </c>
      <c r="I179" s="23">
        <v>0.2</v>
      </c>
      <c r="J179" s="198">
        <v>1</v>
      </c>
      <c r="K179" s="198"/>
      <c r="L179" s="226">
        <v>1</v>
      </c>
      <c r="M179" s="23">
        <v>0.5</v>
      </c>
      <c r="N179" s="198"/>
      <c r="O179" s="198"/>
    </row>
    <row r="180" spans="1:15" ht="14.25" x14ac:dyDescent="0.15">
      <c r="A180" s="20" t="s">
        <v>185</v>
      </c>
      <c r="B180" s="20" t="s">
        <v>189</v>
      </c>
      <c r="C180" s="24" t="s">
        <v>181</v>
      </c>
      <c r="D180" s="24">
        <v>16</v>
      </c>
      <c r="E180" s="20" t="s">
        <v>155</v>
      </c>
      <c r="F180" s="20" t="s">
        <v>412</v>
      </c>
      <c r="G180" s="22"/>
      <c r="H180" s="278">
        <v>0.2</v>
      </c>
      <c r="I180" s="23">
        <v>0.2</v>
      </c>
      <c r="J180" s="198">
        <v>1</v>
      </c>
      <c r="K180" s="198"/>
      <c r="L180" s="226">
        <v>1</v>
      </c>
      <c r="M180" s="23">
        <v>0.5</v>
      </c>
      <c r="N180" s="198"/>
      <c r="O180" s="198"/>
    </row>
    <row r="181" spans="1:15" ht="14.25" x14ac:dyDescent="0.15">
      <c r="A181" s="20" t="s">
        <v>186</v>
      </c>
      <c r="B181" s="20" t="s">
        <v>194</v>
      </c>
      <c r="C181" s="24" t="s">
        <v>158</v>
      </c>
      <c r="D181" s="24">
        <v>28</v>
      </c>
      <c r="E181" s="20" t="s">
        <v>155</v>
      </c>
      <c r="F181" s="20" t="s">
        <v>368</v>
      </c>
      <c r="G181" s="22" t="s">
        <v>151</v>
      </c>
      <c r="H181" s="49">
        <v>0</v>
      </c>
      <c r="I181" s="23">
        <v>0.1</v>
      </c>
      <c r="J181" s="198">
        <v>1</v>
      </c>
      <c r="K181" s="198"/>
      <c r="L181" s="226">
        <v>1</v>
      </c>
      <c r="M181" s="23">
        <v>0.5</v>
      </c>
      <c r="N181" s="198"/>
      <c r="O181" s="198"/>
    </row>
    <row r="182" spans="1:15" ht="14.25" x14ac:dyDescent="0.15">
      <c r="A182" s="20" t="s">
        <v>187</v>
      </c>
      <c r="B182" s="20" t="s">
        <v>191</v>
      </c>
      <c r="C182" s="24" t="s">
        <v>126</v>
      </c>
      <c r="D182" s="24">
        <v>54</v>
      </c>
      <c r="E182" s="20" t="s">
        <v>149</v>
      </c>
      <c r="F182" s="20" t="s">
        <v>436</v>
      </c>
      <c r="G182" s="22"/>
      <c r="H182" s="276">
        <v>0.1</v>
      </c>
      <c r="I182" s="23">
        <v>0.1</v>
      </c>
      <c r="J182" s="198">
        <v>1</v>
      </c>
      <c r="K182" s="198"/>
      <c r="L182" s="226">
        <v>1</v>
      </c>
      <c r="M182" s="23">
        <v>0.5</v>
      </c>
      <c r="N182" s="198"/>
      <c r="O182" s="198"/>
    </row>
    <row r="183" spans="1:15" ht="14.25" x14ac:dyDescent="0.15">
      <c r="A183" s="20" t="s">
        <v>189</v>
      </c>
      <c r="B183" s="20" t="s">
        <v>190</v>
      </c>
      <c r="C183" s="24" t="s">
        <v>165</v>
      </c>
      <c r="D183" s="24">
        <v>41</v>
      </c>
      <c r="E183" s="20" t="s">
        <v>149</v>
      </c>
      <c r="F183" s="20" t="s">
        <v>424</v>
      </c>
      <c r="G183" s="22" t="s">
        <v>151</v>
      </c>
      <c r="H183" s="49">
        <v>0</v>
      </c>
      <c r="I183" s="22"/>
      <c r="J183" s="198">
        <v>1</v>
      </c>
      <c r="K183" s="198"/>
      <c r="L183" s="226">
        <v>1</v>
      </c>
      <c r="M183" s="23">
        <v>0.5</v>
      </c>
      <c r="N183" s="198"/>
      <c r="O183" s="198"/>
    </row>
    <row r="184" spans="1:15" ht="14.25" x14ac:dyDescent="0.15">
      <c r="A184" s="20" t="s">
        <v>194</v>
      </c>
      <c r="B184" s="20" t="s">
        <v>192</v>
      </c>
      <c r="C184" s="24" t="s">
        <v>126</v>
      </c>
      <c r="D184" s="24">
        <v>10</v>
      </c>
      <c r="E184" s="20" t="s">
        <v>149</v>
      </c>
      <c r="F184" s="20" t="s">
        <v>382</v>
      </c>
      <c r="G184" s="22"/>
      <c r="H184" s="276">
        <v>0.1</v>
      </c>
      <c r="I184" s="23">
        <v>0.1</v>
      </c>
      <c r="J184" s="198">
        <v>1</v>
      </c>
      <c r="K184" s="198"/>
      <c r="L184" s="226">
        <v>1</v>
      </c>
      <c r="M184" s="23">
        <v>0.5</v>
      </c>
      <c r="N184" s="198"/>
      <c r="O184" s="198"/>
    </row>
    <row r="185" spans="1:15" ht="14.25" x14ac:dyDescent="0.15">
      <c r="A185" s="20" t="s">
        <v>191</v>
      </c>
      <c r="C185" s="24" t="s">
        <v>165</v>
      </c>
      <c r="D185" s="24">
        <v>18</v>
      </c>
      <c r="E185" s="20" t="s">
        <v>149</v>
      </c>
      <c r="F185" s="20" t="s">
        <v>388</v>
      </c>
      <c r="G185" s="22"/>
      <c r="H185" s="276">
        <v>0.1</v>
      </c>
      <c r="I185" s="23">
        <v>0.1</v>
      </c>
      <c r="J185" s="198">
        <v>1</v>
      </c>
      <c r="K185" s="198"/>
      <c r="L185" s="226">
        <v>1</v>
      </c>
      <c r="M185" s="23">
        <v>0.5</v>
      </c>
      <c r="N185" s="198"/>
      <c r="O185" s="198"/>
    </row>
    <row r="186" spans="1:15" ht="14.25" x14ac:dyDescent="0.15">
      <c r="A186" s="20" t="s">
        <v>190</v>
      </c>
      <c r="C186" s="24" t="s">
        <v>126</v>
      </c>
      <c r="D186" s="24">
        <v>59</v>
      </c>
      <c r="E186" s="20" t="s">
        <v>149</v>
      </c>
      <c r="F186" s="20" t="s">
        <v>419</v>
      </c>
      <c r="G186" s="22"/>
      <c r="H186" s="276">
        <v>0.1</v>
      </c>
      <c r="I186" s="23">
        <v>0.1</v>
      </c>
      <c r="J186" s="198">
        <v>1</v>
      </c>
      <c r="K186" s="198"/>
      <c r="L186" s="226">
        <v>1</v>
      </c>
      <c r="M186" s="23">
        <v>0.5</v>
      </c>
      <c r="N186" s="198"/>
      <c r="O186" s="198"/>
    </row>
    <row r="187" spans="1:15" ht="14.25" x14ac:dyDescent="0.15">
      <c r="A187" s="20" t="s">
        <v>192</v>
      </c>
      <c r="C187" s="24" t="s">
        <v>158</v>
      </c>
      <c r="D187" s="24">
        <v>47</v>
      </c>
      <c r="E187" s="20" t="s">
        <v>149</v>
      </c>
      <c r="F187" s="20" t="s">
        <v>441</v>
      </c>
      <c r="G187" s="22" t="s">
        <v>151</v>
      </c>
      <c r="H187" s="49">
        <v>0</v>
      </c>
      <c r="I187" s="22"/>
      <c r="J187" s="198">
        <v>1</v>
      </c>
      <c r="K187" s="198"/>
      <c r="L187" s="226">
        <v>1</v>
      </c>
      <c r="M187" s="23">
        <v>0.5</v>
      </c>
      <c r="N187" s="198"/>
      <c r="O187" s="198"/>
    </row>
    <row r="188" spans="1:15" ht="14.25" x14ac:dyDescent="0.15">
      <c r="A188" s="145" t="s">
        <v>467</v>
      </c>
      <c r="B188" s="145"/>
      <c r="C188" s="146" t="s">
        <v>165</v>
      </c>
      <c r="D188" s="146">
        <v>7</v>
      </c>
      <c r="E188" s="145" t="s">
        <v>173</v>
      </c>
      <c r="F188" s="20" t="s">
        <v>366</v>
      </c>
      <c r="G188" s="147" t="s">
        <v>173</v>
      </c>
      <c r="H188" s="148">
        <v>0</v>
      </c>
      <c r="I188" s="149">
        <v>0.3</v>
      </c>
      <c r="J188" s="147">
        <v>1</v>
      </c>
      <c r="K188" s="147"/>
      <c r="L188" s="227">
        <v>1</v>
      </c>
      <c r="M188" s="149">
        <v>0.5</v>
      </c>
      <c r="N188" s="147"/>
      <c r="O188" s="147"/>
    </row>
    <row r="189" spans="1:15" ht="14.25" x14ac:dyDescent="0.15">
      <c r="A189" s="145" t="s">
        <v>434</v>
      </c>
      <c r="B189" s="145"/>
      <c r="C189" s="146" t="s">
        <v>165</v>
      </c>
      <c r="D189" s="146">
        <v>6</v>
      </c>
      <c r="E189" s="145" t="s">
        <v>173</v>
      </c>
      <c r="F189" s="20" t="s">
        <v>364</v>
      </c>
      <c r="G189" s="147" t="s">
        <v>173</v>
      </c>
      <c r="H189" s="148">
        <v>0</v>
      </c>
      <c r="I189" s="149">
        <v>0.3</v>
      </c>
      <c r="J189" s="147">
        <v>1</v>
      </c>
      <c r="K189" s="147"/>
      <c r="L189" s="227">
        <v>1</v>
      </c>
      <c r="M189" s="149">
        <v>0.5</v>
      </c>
      <c r="N189" s="147"/>
      <c r="O189" s="147"/>
    </row>
    <row r="190" spans="1:15" ht="14.25" x14ac:dyDescent="0.15">
      <c r="A190" s="145" t="s">
        <v>435</v>
      </c>
      <c r="B190" s="145"/>
      <c r="C190" s="146" t="s">
        <v>165</v>
      </c>
      <c r="D190" s="146">
        <v>6</v>
      </c>
      <c r="E190" s="145" t="s">
        <v>173</v>
      </c>
      <c r="F190" s="20" t="s">
        <v>444</v>
      </c>
      <c r="G190" s="147" t="s">
        <v>173</v>
      </c>
      <c r="H190" s="148">
        <v>0</v>
      </c>
      <c r="I190" s="149">
        <v>0.3</v>
      </c>
      <c r="J190" s="147">
        <v>1</v>
      </c>
      <c r="K190" s="147"/>
      <c r="L190" s="227">
        <v>1</v>
      </c>
      <c r="M190" s="149">
        <v>0.5</v>
      </c>
      <c r="N190" s="147"/>
      <c r="O190" s="147"/>
    </row>
    <row r="191" spans="1:15" ht="14.25" x14ac:dyDescent="0.15">
      <c r="A191" s="145" t="s">
        <v>410</v>
      </c>
      <c r="B191" s="145"/>
      <c r="C191" s="146" t="s">
        <v>126</v>
      </c>
      <c r="D191" s="146">
        <v>18</v>
      </c>
      <c r="E191" s="145" t="s">
        <v>155</v>
      </c>
      <c r="F191" s="20" t="s">
        <v>381</v>
      </c>
      <c r="G191" s="147"/>
      <c r="H191" s="279">
        <v>0.2</v>
      </c>
      <c r="I191" s="149">
        <v>0.2</v>
      </c>
      <c r="J191" s="147">
        <v>1</v>
      </c>
      <c r="K191" s="147"/>
      <c r="L191" s="227">
        <v>1</v>
      </c>
      <c r="M191" s="149">
        <v>0.5</v>
      </c>
      <c r="N191" s="147"/>
      <c r="O191" s="147"/>
    </row>
    <row r="192" spans="1:15" ht="14.25" x14ac:dyDescent="0.15">
      <c r="A192" s="145" t="s">
        <v>403</v>
      </c>
      <c r="B192" s="145"/>
      <c r="C192" s="146" t="s">
        <v>126</v>
      </c>
      <c r="D192" s="146">
        <v>38</v>
      </c>
      <c r="E192" s="145" t="s">
        <v>149</v>
      </c>
      <c r="F192" s="20" t="s">
        <v>411</v>
      </c>
      <c r="G192" s="147"/>
      <c r="H192" s="277">
        <v>0.1</v>
      </c>
      <c r="I192" s="149">
        <v>0.1</v>
      </c>
      <c r="J192" s="147">
        <v>1</v>
      </c>
      <c r="K192" s="147"/>
      <c r="L192" s="227">
        <v>1</v>
      </c>
      <c r="M192" s="149">
        <v>0.5</v>
      </c>
      <c r="N192" s="147"/>
      <c r="O192" s="147"/>
    </row>
    <row r="193" spans="1:15" ht="14.25" x14ac:dyDescent="0.15">
      <c r="A193" s="145" t="s">
        <v>398</v>
      </c>
      <c r="B193" s="145"/>
      <c r="C193" s="146" t="s">
        <v>158</v>
      </c>
      <c r="D193" s="146">
        <v>28</v>
      </c>
      <c r="E193" s="145" t="s">
        <v>149</v>
      </c>
      <c r="F193" s="20" t="s">
        <v>371</v>
      </c>
      <c r="G193" s="147" t="s">
        <v>151</v>
      </c>
      <c r="H193" s="148">
        <v>0</v>
      </c>
      <c r="I193" s="149"/>
      <c r="J193" s="147">
        <v>1</v>
      </c>
      <c r="K193" s="147"/>
      <c r="L193" s="227">
        <v>1</v>
      </c>
      <c r="M193" s="149">
        <v>0.5</v>
      </c>
      <c r="N193" s="147"/>
      <c r="O193" s="147"/>
    </row>
    <row r="194" spans="1:15" ht="14.25" x14ac:dyDescent="0.15">
      <c r="A194" s="145" t="s">
        <v>283</v>
      </c>
      <c r="B194" s="145"/>
      <c r="C194" s="146" t="s">
        <v>158</v>
      </c>
      <c r="D194" s="146">
        <v>26</v>
      </c>
      <c r="E194" s="145" t="s">
        <v>149</v>
      </c>
      <c r="F194" s="20" t="s">
        <v>258</v>
      </c>
      <c r="G194" s="147" t="s">
        <v>151</v>
      </c>
      <c r="H194" s="148">
        <v>0</v>
      </c>
      <c r="I194" s="149"/>
      <c r="J194" s="147">
        <v>1</v>
      </c>
      <c r="K194" s="147"/>
      <c r="L194" s="227">
        <v>1</v>
      </c>
      <c r="M194" s="149">
        <v>0.5</v>
      </c>
      <c r="N194" s="147"/>
      <c r="O194" s="147"/>
    </row>
    <row r="195" spans="1:15" ht="14.25" x14ac:dyDescent="0.15">
      <c r="A195" s="145" t="s">
        <v>282</v>
      </c>
      <c r="B195" s="145"/>
      <c r="C195" s="146" t="s">
        <v>158</v>
      </c>
      <c r="D195" s="146">
        <v>19</v>
      </c>
      <c r="E195" s="145" t="s">
        <v>149</v>
      </c>
      <c r="F195" s="20" t="s">
        <v>242</v>
      </c>
      <c r="G195" s="147" t="s">
        <v>151</v>
      </c>
      <c r="H195" s="148">
        <v>0</v>
      </c>
      <c r="I195" s="149"/>
      <c r="J195" s="147">
        <v>1</v>
      </c>
      <c r="K195" s="147"/>
      <c r="L195" s="227">
        <v>1</v>
      </c>
      <c r="M195" s="149">
        <v>0.5</v>
      </c>
      <c r="N195" s="147"/>
      <c r="O195" s="147"/>
    </row>
    <row r="196" spans="1:15" ht="14.25" x14ac:dyDescent="0.15">
      <c r="A196" s="145" t="s">
        <v>293</v>
      </c>
      <c r="B196" s="145"/>
      <c r="C196" s="146" t="s">
        <v>126</v>
      </c>
      <c r="D196" s="146">
        <v>20</v>
      </c>
      <c r="E196" s="145" t="s">
        <v>155</v>
      </c>
      <c r="F196" s="20" t="s">
        <v>241</v>
      </c>
      <c r="G196" s="147"/>
      <c r="H196" s="279">
        <v>0.2</v>
      </c>
      <c r="I196" s="149">
        <v>0.2</v>
      </c>
      <c r="J196" s="147">
        <v>1</v>
      </c>
      <c r="K196" s="147"/>
      <c r="L196" s="227">
        <v>1</v>
      </c>
      <c r="M196" s="149">
        <v>0.5</v>
      </c>
      <c r="N196" s="147"/>
      <c r="O196" s="147"/>
    </row>
    <row r="197" spans="1:15" ht="14.25" x14ac:dyDescent="0.15">
      <c r="A197" s="145" t="s">
        <v>432</v>
      </c>
      <c r="B197" s="145"/>
      <c r="C197" s="146" t="s">
        <v>158</v>
      </c>
      <c r="D197" s="146">
        <v>20</v>
      </c>
      <c r="E197" s="145" t="s">
        <v>149</v>
      </c>
      <c r="F197" s="20" t="s">
        <v>490</v>
      </c>
      <c r="G197" s="147" t="s">
        <v>151</v>
      </c>
      <c r="H197" s="148">
        <v>0</v>
      </c>
      <c r="I197" s="149"/>
      <c r="J197" s="147">
        <v>1</v>
      </c>
      <c r="K197" s="147"/>
      <c r="L197" s="227">
        <v>1</v>
      </c>
      <c r="M197" s="149">
        <v>0.5</v>
      </c>
      <c r="N197" s="147"/>
      <c r="O197" s="147"/>
    </row>
    <row r="198" spans="1:15" ht="14.25" x14ac:dyDescent="0.15">
      <c r="A198" s="145" t="s">
        <v>422</v>
      </c>
      <c r="B198" s="145"/>
      <c r="C198" s="146" t="s">
        <v>158</v>
      </c>
      <c r="D198" s="146">
        <v>28</v>
      </c>
      <c r="E198" s="145" t="s">
        <v>149</v>
      </c>
      <c r="F198" s="20" t="s">
        <v>416</v>
      </c>
      <c r="G198" s="147" t="s">
        <v>151</v>
      </c>
      <c r="H198" s="148">
        <v>0</v>
      </c>
      <c r="I198" s="149"/>
      <c r="J198" s="147">
        <v>1</v>
      </c>
      <c r="K198" s="147"/>
      <c r="L198" s="227">
        <v>1</v>
      </c>
      <c r="M198" s="149">
        <v>0.5</v>
      </c>
      <c r="N198" s="147"/>
      <c r="O198" s="147"/>
    </row>
    <row r="199" spans="1:15" ht="14.25" x14ac:dyDescent="0.15">
      <c r="A199" s="145" t="s">
        <v>365</v>
      </c>
      <c r="B199" s="145"/>
      <c r="C199" s="146" t="s">
        <v>126</v>
      </c>
      <c r="D199" s="146">
        <v>10</v>
      </c>
      <c r="E199" s="145" t="s">
        <v>155</v>
      </c>
      <c r="F199" s="20" t="s">
        <v>495</v>
      </c>
      <c r="G199" s="147"/>
      <c r="H199" s="279">
        <v>0.2</v>
      </c>
      <c r="I199" s="149">
        <v>0.2</v>
      </c>
      <c r="J199" s="147">
        <v>1</v>
      </c>
      <c r="K199" s="147"/>
      <c r="L199" s="227">
        <v>1</v>
      </c>
      <c r="M199" s="149">
        <v>0.5</v>
      </c>
      <c r="N199" s="147"/>
      <c r="O199" s="147"/>
    </row>
    <row r="200" spans="1:15" x14ac:dyDescent="0.15">
      <c r="J200" s="19">
        <v>1</v>
      </c>
      <c r="L200" s="228">
        <v>1</v>
      </c>
      <c r="M200" s="225">
        <v>0.5</v>
      </c>
    </row>
    <row r="201" spans="1:15" ht="14.25" x14ac:dyDescent="0.15">
      <c r="A201" s="20" t="s">
        <v>355</v>
      </c>
      <c r="B201" s="20" t="s">
        <v>355</v>
      </c>
      <c r="C201" s="24" t="s">
        <v>126</v>
      </c>
      <c r="D201" s="24">
        <v>29</v>
      </c>
      <c r="E201" s="20" t="s">
        <v>149</v>
      </c>
      <c r="F201" s="69" t="s">
        <v>294</v>
      </c>
      <c r="G201" s="22"/>
      <c r="H201" s="276">
        <v>0.1</v>
      </c>
      <c r="I201" s="23">
        <v>0.1</v>
      </c>
      <c r="J201" s="23">
        <v>1</v>
      </c>
      <c r="K201" s="23"/>
      <c r="L201" s="228">
        <v>1</v>
      </c>
      <c r="M201" s="225">
        <v>0.5</v>
      </c>
    </row>
    <row r="202" spans="1:15" ht="14.25" x14ac:dyDescent="0.15">
      <c r="A202" s="20" t="s">
        <v>322</v>
      </c>
      <c r="B202" s="20" t="s">
        <v>322</v>
      </c>
      <c r="C202" s="24" t="s">
        <v>181</v>
      </c>
      <c r="D202" s="24">
        <v>19</v>
      </c>
      <c r="E202" s="20" t="s">
        <v>149</v>
      </c>
      <c r="F202" s="69" t="s">
        <v>237</v>
      </c>
      <c r="G202" s="22"/>
      <c r="H202" s="276">
        <v>0.1</v>
      </c>
      <c r="I202" s="23">
        <v>0.1</v>
      </c>
      <c r="J202" s="23">
        <v>1</v>
      </c>
      <c r="K202" s="23"/>
      <c r="L202" s="228">
        <v>1</v>
      </c>
      <c r="M202" s="225">
        <v>0.5</v>
      </c>
    </row>
    <row r="203" spans="1:15" ht="14.25" x14ac:dyDescent="0.15">
      <c r="A203" s="20" t="s">
        <v>245</v>
      </c>
      <c r="B203" s="20" t="s">
        <v>245</v>
      </c>
      <c r="C203" s="24" t="s">
        <v>181</v>
      </c>
      <c r="D203" s="24">
        <v>38</v>
      </c>
      <c r="E203" s="20" t="s">
        <v>149</v>
      </c>
      <c r="F203" s="69" t="s">
        <v>271</v>
      </c>
      <c r="G203" s="22" t="s">
        <v>151</v>
      </c>
      <c r="H203" s="49">
        <v>0</v>
      </c>
      <c r="I203" s="22"/>
      <c r="J203" s="198">
        <v>1</v>
      </c>
      <c r="K203" s="198"/>
      <c r="L203" s="228">
        <v>1</v>
      </c>
      <c r="M203" s="225">
        <v>0.5</v>
      </c>
    </row>
    <row r="204" spans="1:15" ht="14.25" x14ac:dyDescent="0.15">
      <c r="A204" s="20" t="s">
        <v>326</v>
      </c>
      <c r="B204" s="20" t="s">
        <v>326</v>
      </c>
      <c r="C204" s="24" t="s">
        <v>158</v>
      </c>
      <c r="D204" s="24">
        <v>38</v>
      </c>
      <c r="E204" s="20" t="s">
        <v>149</v>
      </c>
      <c r="F204" s="69" t="s">
        <v>263</v>
      </c>
      <c r="G204" s="198" t="s">
        <v>151</v>
      </c>
      <c r="H204" s="49">
        <v>0</v>
      </c>
      <c r="I204" s="198"/>
      <c r="J204" s="198">
        <v>1</v>
      </c>
      <c r="K204" s="198"/>
      <c r="L204" s="228">
        <v>1</v>
      </c>
      <c r="M204" s="225">
        <v>0.5</v>
      </c>
    </row>
    <row r="205" spans="1:15" ht="14.25" x14ac:dyDescent="0.15">
      <c r="A205" s="20" t="s">
        <v>232</v>
      </c>
      <c r="B205" s="20" t="s">
        <v>232</v>
      </c>
      <c r="C205" s="24" t="s">
        <v>158</v>
      </c>
      <c r="D205" s="24">
        <v>7</v>
      </c>
      <c r="E205" s="20" t="s">
        <v>155</v>
      </c>
      <c r="F205" s="69" t="s">
        <v>246</v>
      </c>
      <c r="G205" s="198" t="s">
        <v>151</v>
      </c>
      <c r="H205" s="49">
        <v>0</v>
      </c>
      <c r="I205" s="23">
        <v>0.1</v>
      </c>
      <c r="J205" s="23">
        <v>1</v>
      </c>
      <c r="K205" s="23"/>
      <c r="L205" s="228">
        <v>1</v>
      </c>
      <c r="M205" s="225">
        <v>0.5</v>
      </c>
    </row>
    <row r="206" spans="1:15" ht="14.25" x14ac:dyDescent="0.15">
      <c r="A206" s="20" t="s">
        <v>264</v>
      </c>
      <c r="B206" s="20" t="s">
        <v>264</v>
      </c>
      <c r="C206" s="24" t="s">
        <v>165</v>
      </c>
      <c r="D206" s="24">
        <v>7</v>
      </c>
      <c r="E206" s="20" t="s">
        <v>155</v>
      </c>
      <c r="F206" s="69" t="s">
        <v>239</v>
      </c>
      <c r="G206" s="198" t="s">
        <v>182</v>
      </c>
      <c r="H206" s="49">
        <v>0</v>
      </c>
      <c r="I206" s="23">
        <v>0.3</v>
      </c>
      <c r="J206" s="23">
        <v>1</v>
      </c>
      <c r="K206" s="23"/>
      <c r="L206" s="228">
        <v>1</v>
      </c>
      <c r="M206" s="225">
        <v>0.5</v>
      </c>
    </row>
    <row r="207" spans="1:15" ht="14.25" x14ac:dyDescent="0.15">
      <c r="A207" s="20" t="s">
        <v>594</v>
      </c>
      <c r="B207" s="20" t="s">
        <v>594</v>
      </c>
      <c r="C207" s="24" t="s">
        <v>165</v>
      </c>
      <c r="D207" s="24">
        <v>1</v>
      </c>
      <c r="E207" s="20" t="s">
        <v>173</v>
      </c>
      <c r="F207" s="69" t="s">
        <v>560</v>
      </c>
      <c r="G207" s="198" t="s">
        <v>169</v>
      </c>
      <c r="H207" s="49">
        <v>0</v>
      </c>
      <c r="I207" s="23">
        <v>0.6</v>
      </c>
      <c r="J207" s="23">
        <v>1</v>
      </c>
      <c r="K207" s="23"/>
      <c r="L207" s="228">
        <v>1</v>
      </c>
      <c r="M207" s="225">
        <v>0.5</v>
      </c>
    </row>
    <row r="208" spans="1:15" ht="14.25" x14ac:dyDescent="0.15">
      <c r="A208" s="20" t="s">
        <v>228</v>
      </c>
      <c r="B208" s="20" t="s">
        <v>228</v>
      </c>
      <c r="C208" s="24" t="s">
        <v>165</v>
      </c>
      <c r="D208" s="24">
        <v>6</v>
      </c>
      <c r="E208" s="20" t="s">
        <v>155</v>
      </c>
      <c r="F208" s="69" t="s">
        <v>280</v>
      </c>
      <c r="G208" s="198" t="s">
        <v>182</v>
      </c>
      <c r="H208" s="49">
        <v>0</v>
      </c>
      <c r="I208" s="23">
        <v>0.3</v>
      </c>
      <c r="J208" s="23">
        <v>1</v>
      </c>
      <c r="K208" s="23"/>
      <c r="L208" s="228">
        <v>1</v>
      </c>
      <c r="M208" s="225">
        <v>0.5</v>
      </c>
    </row>
    <row r="209" spans="1:13" ht="14.25" x14ac:dyDescent="0.15">
      <c r="A209" s="20" t="s">
        <v>236</v>
      </c>
      <c r="B209" s="20" t="s">
        <v>236</v>
      </c>
      <c r="C209" s="24" t="s">
        <v>165</v>
      </c>
      <c r="D209" s="24">
        <v>6</v>
      </c>
      <c r="E209" s="20" t="s">
        <v>155</v>
      </c>
      <c r="F209" s="69" t="s">
        <v>267</v>
      </c>
      <c r="G209" s="22" t="s">
        <v>182</v>
      </c>
      <c r="H209" s="49">
        <v>0</v>
      </c>
      <c r="I209" s="23">
        <v>0.3</v>
      </c>
      <c r="J209" s="23">
        <v>1</v>
      </c>
      <c r="K209" s="23"/>
      <c r="L209" s="228">
        <v>1</v>
      </c>
      <c r="M209" s="225">
        <v>0.5</v>
      </c>
    </row>
    <row r="210" spans="1:13" ht="14.25" x14ac:dyDescent="0.15">
      <c r="A210" s="20" t="s">
        <v>254</v>
      </c>
      <c r="B210" s="20" t="s">
        <v>254</v>
      </c>
      <c r="C210" s="24" t="s">
        <v>181</v>
      </c>
      <c r="D210" s="24">
        <v>27</v>
      </c>
      <c r="E210" s="20" t="s">
        <v>149</v>
      </c>
      <c r="F210" s="69" t="s">
        <v>315</v>
      </c>
      <c r="G210" s="22"/>
      <c r="H210" s="276">
        <v>0.1</v>
      </c>
      <c r="I210" s="23">
        <v>0.1</v>
      </c>
      <c r="J210" s="23">
        <v>1</v>
      </c>
      <c r="K210" s="23"/>
      <c r="L210" s="228">
        <v>1</v>
      </c>
      <c r="M210" s="225">
        <v>0.5</v>
      </c>
    </row>
    <row r="211" spans="1:13" ht="14.25" x14ac:dyDescent="0.15">
      <c r="A211" s="20" t="s">
        <v>229</v>
      </c>
      <c r="B211" s="20" t="s">
        <v>229</v>
      </c>
      <c r="C211" s="24" t="s">
        <v>126</v>
      </c>
      <c r="D211" s="24">
        <v>34</v>
      </c>
      <c r="E211" s="21" t="s">
        <v>149</v>
      </c>
      <c r="F211" s="69" t="s">
        <v>350</v>
      </c>
      <c r="G211" s="22"/>
      <c r="H211" s="276">
        <v>0.1</v>
      </c>
      <c r="I211" s="23">
        <v>0.1</v>
      </c>
      <c r="J211" s="23">
        <v>1</v>
      </c>
      <c r="K211" s="23"/>
      <c r="L211" s="228">
        <v>1</v>
      </c>
      <c r="M211" s="225">
        <v>0.5</v>
      </c>
    </row>
    <row r="212" spans="1:13" ht="14.25" x14ac:dyDescent="0.15">
      <c r="A212" s="20" t="s">
        <v>314</v>
      </c>
      <c r="B212" s="20" t="s">
        <v>314</v>
      </c>
      <c r="C212" s="24" t="s">
        <v>126</v>
      </c>
      <c r="D212" s="24">
        <v>18</v>
      </c>
      <c r="E212" s="20" t="s">
        <v>149</v>
      </c>
      <c r="F212" s="69" t="s">
        <v>300</v>
      </c>
      <c r="G212" s="22"/>
      <c r="H212" s="276">
        <v>0.1</v>
      </c>
      <c r="I212" s="23">
        <v>0.1</v>
      </c>
      <c r="J212" s="23">
        <v>1</v>
      </c>
      <c r="K212" s="23"/>
      <c r="L212" s="228">
        <v>1</v>
      </c>
      <c r="M212" s="225">
        <v>0.5</v>
      </c>
    </row>
    <row r="213" spans="1:13" ht="14.25" x14ac:dyDescent="0.15">
      <c r="A213" s="21" t="s">
        <v>328</v>
      </c>
      <c r="B213" s="21" t="s">
        <v>328</v>
      </c>
      <c r="C213" s="24" t="s">
        <v>165</v>
      </c>
      <c r="D213" s="24">
        <v>31</v>
      </c>
      <c r="E213" s="20" t="s">
        <v>149</v>
      </c>
      <c r="F213" s="69" t="s">
        <v>357</v>
      </c>
      <c r="G213" s="22" t="s">
        <v>151</v>
      </c>
      <c r="H213" s="49">
        <v>0</v>
      </c>
      <c r="I213" s="22"/>
      <c r="J213" s="198">
        <v>1</v>
      </c>
      <c r="K213" s="198"/>
      <c r="L213" s="228">
        <v>1</v>
      </c>
      <c r="M213" s="225">
        <v>0.5</v>
      </c>
    </row>
    <row r="214" spans="1:13" ht="14.25" x14ac:dyDescent="0.15">
      <c r="A214" s="20" t="s">
        <v>305</v>
      </c>
      <c r="B214" s="20" t="s">
        <v>305</v>
      </c>
      <c r="C214" s="24" t="s">
        <v>126</v>
      </c>
      <c r="D214" s="24">
        <v>42</v>
      </c>
      <c r="E214" s="20" t="s">
        <v>149</v>
      </c>
      <c r="F214" s="69" t="s">
        <v>235</v>
      </c>
      <c r="G214" s="22"/>
      <c r="H214" s="276">
        <v>0.1</v>
      </c>
      <c r="I214" s="23">
        <v>0.1</v>
      </c>
      <c r="J214" s="23">
        <v>1</v>
      </c>
      <c r="K214" s="23"/>
      <c r="L214" s="228">
        <v>1</v>
      </c>
      <c r="M214" s="225">
        <v>0.5</v>
      </c>
    </row>
    <row r="215" spans="1:13" ht="14.25" x14ac:dyDescent="0.15">
      <c r="A215" s="20" t="s">
        <v>240</v>
      </c>
      <c r="B215" s="20" t="s">
        <v>240</v>
      </c>
      <c r="C215" s="24" t="s">
        <v>126</v>
      </c>
      <c r="D215" s="24">
        <v>38</v>
      </c>
      <c r="E215" s="20" t="s">
        <v>155</v>
      </c>
      <c r="F215" s="69" t="s">
        <v>341</v>
      </c>
      <c r="G215" s="22"/>
      <c r="H215" s="278">
        <v>0.2</v>
      </c>
      <c r="I215" s="23">
        <v>0.2</v>
      </c>
      <c r="J215" s="23">
        <v>1</v>
      </c>
      <c r="K215" s="23"/>
      <c r="L215" s="228">
        <v>1</v>
      </c>
      <c r="M215" s="225">
        <v>0.5</v>
      </c>
    </row>
    <row r="216" spans="1:13" ht="14.25" x14ac:dyDescent="0.15">
      <c r="A216" s="20" t="s">
        <v>227</v>
      </c>
      <c r="B216" s="20" t="s">
        <v>227</v>
      </c>
      <c r="C216" s="24" t="s">
        <v>158</v>
      </c>
      <c r="D216" s="24">
        <v>15</v>
      </c>
      <c r="E216" s="20" t="s">
        <v>155</v>
      </c>
      <c r="F216" s="69" t="s">
        <v>325</v>
      </c>
      <c r="G216" s="22" t="s">
        <v>151</v>
      </c>
      <c r="H216" s="49">
        <v>0</v>
      </c>
      <c r="I216" s="23">
        <v>0.1</v>
      </c>
      <c r="J216" s="23">
        <v>1</v>
      </c>
      <c r="K216" s="23"/>
      <c r="L216" s="228">
        <v>1</v>
      </c>
      <c r="M216" s="225">
        <v>0.5</v>
      </c>
    </row>
    <row r="217" spans="1:13" ht="14.25" x14ac:dyDescent="0.15">
      <c r="A217" s="20" t="s">
        <v>317</v>
      </c>
      <c r="B217" s="20" t="s">
        <v>317</v>
      </c>
      <c r="C217" s="24" t="s">
        <v>165</v>
      </c>
      <c r="D217" s="24">
        <v>33</v>
      </c>
      <c r="E217" s="20" t="s">
        <v>149</v>
      </c>
      <c r="F217" s="69" t="s">
        <v>286</v>
      </c>
      <c r="G217" s="22"/>
      <c r="H217" s="276">
        <v>0.1</v>
      </c>
      <c r="I217" s="23">
        <v>0.1</v>
      </c>
      <c r="J217" s="23">
        <v>1</v>
      </c>
      <c r="K217" s="23"/>
      <c r="L217" s="228">
        <v>1</v>
      </c>
      <c r="M217" s="225">
        <v>0.5</v>
      </c>
    </row>
    <row r="218" spans="1:13" ht="14.25" x14ac:dyDescent="0.15">
      <c r="A218" s="20" t="s">
        <v>343</v>
      </c>
      <c r="B218" s="20" t="s">
        <v>343</v>
      </c>
      <c r="C218" s="24" t="s">
        <v>165</v>
      </c>
      <c r="D218" s="24">
        <v>39</v>
      </c>
      <c r="E218" s="20" t="s">
        <v>149</v>
      </c>
      <c r="F218" s="69" t="s">
        <v>339</v>
      </c>
      <c r="G218" s="22" t="s">
        <v>151</v>
      </c>
      <c r="H218" s="49">
        <v>0</v>
      </c>
      <c r="I218" s="22"/>
      <c r="J218" s="198">
        <v>1</v>
      </c>
      <c r="K218" s="198"/>
      <c r="L218" s="228">
        <v>1</v>
      </c>
      <c r="M218" s="225">
        <v>0.5</v>
      </c>
    </row>
    <row r="219" spans="1:13" ht="14.25" x14ac:dyDescent="0.15">
      <c r="A219" s="20" t="s">
        <v>353</v>
      </c>
      <c r="B219" s="20" t="s">
        <v>353</v>
      </c>
      <c r="C219" s="24" t="s">
        <v>165</v>
      </c>
      <c r="D219" s="24">
        <v>26</v>
      </c>
      <c r="E219" s="20" t="s">
        <v>149</v>
      </c>
      <c r="F219" s="69" t="s">
        <v>218</v>
      </c>
      <c r="G219" s="22" t="s">
        <v>151</v>
      </c>
      <c r="H219" s="49">
        <v>0</v>
      </c>
      <c r="I219" s="22"/>
      <c r="J219" s="198">
        <v>1</v>
      </c>
      <c r="K219" s="198"/>
      <c r="L219" s="228">
        <v>1</v>
      </c>
      <c r="M219" s="225">
        <v>0.5</v>
      </c>
    </row>
    <row r="220" spans="1:13" ht="14.25" x14ac:dyDescent="0.15">
      <c r="A220" s="20" t="s">
        <v>219</v>
      </c>
      <c r="B220" s="20" t="s">
        <v>219</v>
      </c>
      <c r="C220" s="24" t="s">
        <v>181</v>
      </c>
      <c r="D220" s="24">
        <v>28</v>
      </c>
      <c r="E220" s="20" t="s">
        <v>155</v>
      </c>
      <c r="F220" s="69" t="s">
        <v>362</v>
      </c>
      <c r="G220" s="22"/>
      <c r="H220" s="278">
        <v>0.2</v>
      </c>
      <c r="I220" s="23">
        <v>0.2</v>
      </c>
      <c r="J220" s="23">
        <v>1</v>
      </c>
      <c r="K220" s="23"/>
      <c r="L220" s="228">
        <v>1</v>
      </c>
      <c r="M220" s="225">
        <v>0.5</v>
      </c>
    </row>
    <row r="221" spans="1:13" ht="14.25" x14ac:dyDescent="0.15">
      <c r="A221" s="20" t="s">
        <v>333</v>
      </c>
      <c r="B221" s="20" t="s">
        <v>333</v>
      </c>
      <c r="C221" s="24" t="s">
        <v>158</v>
      </c>
      <c r="D221" s="24">
        <v>28</v>
      </c>
      <c r="E221" s="20" t="s">
        <v>155</v>
      </c>
      <c r="F221" s="69" t="s">
        <v>358</v>
      </c>
      <c r="G221" s="22" t="s">
        <v>151</v>
      </c>
      <c r="H221" s="49">
        <v>0</v>
      </c>
      <c r="I221" s="23">
        <v>0.1</v>
      </c>
      <c r="J221" s="23">
        <v>1</v>
      </c>
      <c r="K221" s="23"/>
      <c r="L221" s="228">
        <v>1</v>
      </c>
      <c r="M221" s="225">
        <v>0.5</v>
      </c>
    </row>
    <row r="222" spans="1:13" ht="14.25" x14ac:dyDescent="0.15">
      <c r="A222" s="20" t="s">
        <v>319</v>
      </c>
      <c r="B222" s="20" t="s">
        <v>319</v>
      </c>
      <c r="C222" s="24" t="s">
        <v>181</v>
      </c>
      <c r="D222" s="24">
        <v>30</v>
      </c>
      <c r="E222" s="20" t="s">
        <v>155</v>
      </c>
      <c r="F222" s="69" t="s">
        <v>268</v>
      </c>
      <c r="G222" s="22"/>
      <c r="H222" s="278">
        <v>0.2</v>
      </c>
      <c r="I222" s="23">
        <v>0.2</v>
      </c>
      <c r="J222" s="23">
        <v>1</v>
      </c>
      <c r="K222" s="23"/>
      <c r="L222" s="228">
        <v>1</v>
      </c>
      <c r="M222" s="225">
        <v>0.5</v>
      </c>
    </row>
    <row r="223" spans="1:13" ht="14.25" x14ac:dyDescent="0.15">
      <c r="A223" s="20" t="s">
        <v>338</v>
      </c>
      <c r="B223" s="20" t="s">
        <v>338</v>
      </c>
      <c r="C223" s="24" t="s">
        <v>158</v>
      </c>
      <c r="D223" s="24">
        <v>26</v>
      </c>
      <c r="E223" s="20" t="s">
        <v>155</v>
      </c>
      <c r="F223" s="69" t="s">
        <v>360</v>
      </c>
      <c r="G223" s="22" t="s">
        <v>151</v>
      </c>
      <c r="H223" s="49">
        <v>0</v>
      </c>
      <c r="I223" s="23">
        <v>0.1</v>
      </c>
      <c r="J223" s="23">
        <v>1</v>
      </c>
      <c r="K223" s="23"/>
      <c r="L223" s="228">
        <v>1</v>
      </c>
      <c r="M223" s="225">
        <v>0.5</v>
      </c>
    </row>
    <row r="224" spans="1:13" ht="14.25" x14ac:dyDescent="0.15">
      <c r="A224" s="20" t="s">
        <v>481</v>
      </c>
      <c r="B224" s="20" t="s">
        <v>481</v>
      </c>
      <c r="C224" s="24" t="s">
        <v>158</v>
      </c>
      <c r="D224" s="24">
        <v>19</v>
      </c>
      <c r="E224" s="20" t="s">
        <v>155</v>
      </c>
      <c r="F224" s="69" t="s">
        <v>344</v>
      </c>
      <c r="G224" s="22" t="s">
        <v>151</v>
      </c>
      <c r="H224" s="49">
        <v>0</v>
      </c>
      <c r="I224" s="23">
        <v>0.1</v>
      </c>
      <c r="J224" s="23">
        <v>1</v>
      </c>
      <c r="K224" s="23"/>
      <c r="L224" s="228">
        <v>1</v>
      </c>
      <c r="M224" s="225">
        <v>0.5</v>
      </c>
    </row>
    <row r="225" spans="1:13" ht="14.25" x14ac:dyDescent="0.15">
      <c r="A225" s="20" t="s">
        <v>400</v>
      </c>
      <c r="B225" s="20" t="s">
        <v>400</v>
      </c>
      <c r="C225" s="24" t="s">
        <v>181</v>
      </c>
      <c r="D225" s="24">
        <v>29</v>
      </c>
      <c r="E225" s="20" t="s">
        <v>149</v>
      </c>
      <c r="F225" s="69" t="s">
        <v>408</v>
      </c>
      <c r="G225" s="22"/>
      <c r="H225" s="276">
        <v>0.1</v>
      </c>
      <c r="I225" s="23">
        <v>0.1</v>
      </c>
      <c r="J225" s="23">
        <v>1</v>
      </c>
      <c r="K225" s="23"/>
      <c r="L225" s="228">
        <v>1</v>
      </c>
      <c r="M225" s="225">
        <v>0.5</v>
      </c>
    </row>
    <row r="226" spans="1:13" ht="14.25" x14ac:dyDescent="0.15">
      <c r="A226" s="20" t="s">
        <v>265</v>
      </c>
      <c r="B226" s="20" t="s">
        <v>265</v>
      </c>
      <c r="C226" s="24" t="s">
        <v>158</v>
      </c>
      <c r="D226" s="24">
        <v>26</v>
      </c>
      <c r="E226" s="20" t="s">
        <v>155</v>
      </c>
      <c r="F226" s="69" t="s">
        <v>269</v>
      </c>
      <c r="G226" s="22" t="s">
        <v>151</v>
      </c>
      <c r="H226" s="49">
        <v>0</v>
      </c>
      <c r="I226" s="23">
        <v>0.1</v>
      </c>
      <c r="J226" s="23">
        <v>1</v>
      </c>
      <c r="K226" s="23"/>
      <c r="L226" s="228">
        <v>1</v>
      </c>
      <c r="M226" s="225">
        <v>0.5</v>
      </c>
    </row>
    <row r="227" spans="1:13" ht="14.25" x14ac:dyDescent="0.15">
      <c r="A227" s="20" t="s">
        <v>359</v>
      </c>
      <c r="B227" s="20" t="s">
        <v>359</v>
      </c>
      <c r="C227" s="24" t="s">
        <v>158</v>
      </c>
      <c r="D227" s="24">
        <v>30</v>
      </c>
      <c r="E227" s="20" t="s">
        <v>155</v>
      </c>
      <c r="F227" s="69" t="s">
        <v>284</v>
      </c>
      <c r="G227" s="198" t="s">
        <v>151</v>
      </c>
      <c r="H227" s="49">
        <v>0</v>
      </c>
      <c r="I227" s="23">
        <v>0.1</v>
      </c>
      <c r="J227" s="23">
        <v>1</v>
      </c>
      <c r="K227" s="23"/>
      <c r="L227" s="228">
        <v>1</v>
      </c>
      <c r="M227" s="225">
        <v>0.5</v>
      </c>
    </row>
    <row r="228" spans="1:13" ht="14.25" x14ac:dyDescent="0.15">
      <c r="A228" s="20" t="s">
        <v>248</v>
      </c>
      <c r="B228" s="20" t="s">
        <v>248</v>
      </c>
      <c r="C228" s="24" t="s">
        <v>165</v>
      </c>
      <c r="D228" s="24">
        <v>33</v>
      </c>
      <c r="E228" s="20" t="s">
        <v>149</v>
      </c>
      <c r="F228" s="69" t="s">
        <v>288</v>
      </c>
      <c r="G228" s="198" t="s">
        <v>151</v>
      </c>
      <c r="H228" s="49">
        <v>0</v>
      </c>
      <c r="I228" s="198"/>
      <c r="J228" s="198">
        <v>1</v>
      </c>
      <c r="K228" s="198"/>
      <c r="L228" s="228">
        <v>1</v>
      </c>
      <c r="M228" s="225">
        <v>0.5</v>
      </c>
    </row>
    <row r="229" spans="1:13" ht="14.25" x14ac:dyDescent="0.15">
      <c r="A229" s="20" t="s">
        <v>297</v>
      </c>
      <c r="B229" s="20" t="s">
        <v>297</v>
      </c>
      <c r="C229" s="24" t="s">
        <v>165</v>
      </c>
      <c r="D229" s="24">
        <v>22</v>
      </c>
      <c r="E229" s="20" t="s">
        <v>149</v>
      </c>
      <c r="F229" s="69" t="s">
        <v>287</v>
      </c>
      <c r="G229" s="22" t="s">
        <v>151</v>
      </c>
      <c r="H229" s="49">
        <v>0</v>
      </c>
      <c r="I229" s="22"/>
      <c r="J229" s="198">
        <v>1</v>
      </c>
      <c r="K229" s="198"/>
      <c r="L229" s="228">
        <v>1</v>
      </c>
      <c r="M229" s="225">
        <v>0.5</v>
      </c>
    </row>
    <row r="230" spans="1:13" ht="14.25" x14ac:dyDescent="0.15">
      <c r="A230" s="20" t="s">
        <v>252</v>
      </c>
      <c r="B230" s="20" t="s">
        <v>252</v>
      </c>
      <c r="C230" s="24" t="s">
        <v>126</v>
      </c>
      <c r="D230" s="24">
        <v>20</v>
      </c>
      <c r="E230" s="20" t="s">
        <v>149</v>
      </c>
      <c r="F230" s="69" t="s">
        <v>323</v>
      </c>
      <c r="G230" s="22"/>
      <c r="H230" s="276">
        <v>0.1</v>
      </c>
      <c r="I230" s="23">
        <v>0.1</v>
      </c>
      <c r="J230" s="23">
        <v>1</v>
      </c>
      <c r="K230" s="23"/>
      <c r="L230" s="228">
        <v>1</v>
      </c>
      <c r="M230" s="225">
        <v>0.5</v>
      </c>
    </row>
    <row r="231" spans="1:13" ht="14.25" x14ac:dyDescent="0.15">
      <c r="A231" s="20" t="s">
        <v>329</v>
      </c>
      <c r="B231" s="20" t="s">
        <v>329</v>
      </c>
      <c r="C231" s="24" t="s">
        <v>181</v>
      </c>
      <c r="D231" s="24">
        <v>19</v>
      </c>
      <c r="E231" s="20" t="s">
        <v>155</v>
      </c>
      <c r="F231" s="69" t="s">
        <v>335</v>
      </c>
      <c r="G231" s="22"/>
      <c r="H231" s="278">
        <v>0.2</v>
      </c>
      <c r="I231" s="23">
        <v>0.2</v>
      </c>
      <c r="J231" s="23">
        <v>1</v>
      </c>
      <c r="K231" s="23"/>
      <c r="L231" s="228">
        <v>1</v>
      </c>
      <c r="M231" s="225">
        <v>0.5</v>
      </c>
    </row>
    <row r="232" spans="1:13" ht="14.25" x14ac:dyDescent="0.15">
      <c r="A232" s="20" t="s">
        <v>336</v>
      </c>
      <c r="B232" s="20" t="s">
        <v>336</v>
      </c>
      <c r="C232" s="24" t="s">
        <v>158</v>
      </c>
      <c r="D232" s="24">
        <v>53</v>
      </c>
      <c r="E232" s="20" t="s">
        <v>155</v>
      </c>
      <c r="F232" s="69" t="s">
        <v>266</v>
      </c>
      <c r="G232" s="22"/>
      <c r="H232" s="278">
        <v>0.2</v>
      </c>
      <c r="I232" s="23">
        <v>0.2</v>
      </c>
      <c r="J232" s="23">
        <v>1</v>
      </c>
      <c r="K232" s="23"/>
      <c r="L232" s="228">
        <v>1</v>
      </c>
      <c r="M232" s="225">
        <v>0.5</v>
      </c>
    </row>
    <row r="233" spans="1:13" ht="14.25" x14ac:dyDescent="0.15">
      <c r="A233" s="20" t="s">
        <v>318</v>
      </c>
      <c r="B233" s="20" t="s">
        <v>318</v>
      </c>
      <c r="C233" s="24" t="s">
        <v>158</v>
      </c>
      <c r="D233" s="24">
        <v>37</v>
      </c>
      <c r="E233" s="20" t="s">
        <v>155</v>
      </c>
      <c r="F233" s="69" t="s">
        <v>354</v>
      </c>
      <c r="G233" s="22"/>
      <c r="H233" s="278">
        <v>0.2</v>
      </c>
      <c r="I233" s="23">
        <v>0.2</v>
      </c>
      <c r="J233" s="23">
        <v>1</v>
      </c>
      <c r="K233" s="23"/>
      <c r="L233" s="228">
        <v>1</v>
      </c>
      <c r="M233" s="225">
        <v>0.5</v>
      </c>
    </row>
    <row r="234" spans="1:13" ht="14.25" x14ac:dyDescent="0.15">
      <c r="A234" s="20" t="s">
        <v>312</v>
      </c>
      <c r="B234" s="20" t="s">
        <v>312</v>
      </c>
      <c r="C234" s="24" t="s">
        <v>158</v>
      </c>
      <c r="D234" s="24">
        <v>20</v>
      </c>
      <c r="E234" s="20" t="s">
        <v>155</v>
      </c>
      <c r="F234" s="69" t="s">
        <v>361</v>
      </c>
      <c r="G234" s="22" t="s">
        <v>151</v>
      </c>
      <c r="H234" s="49">
        <v>0</v>
      </c>
      <c r="I234" s="23">
        <v>0.1</v>
      </c>
      <c r="J234" s="23">
        <v>1</v>
      </c>
      <c r="K234" s="23"/>
      <c r="L234" s="228">
        <v>1</v>
      </c>
      <c r="M234" s="225">
        <v>0.5</v>
      </c>
    </row>
    <row r="235" spans="1:13" ht="14.25" x14ac:dyDescent="0.15">
      <c r="A235" s="20" t="s">
        <v>351</v>
      </c>
      <c r="B235" s="20" t="s">
        <v>351</v>
      </c>
      <c r="C235" s="24" t="s">
        <v>126</v>
      </c>
      <c r="D235" s="24">
        <v>37</v>
      </c>
      <c r="E235" s="20" t="s">
        <v>155</v>
      </c>
      <c r="F235" s="69" t="s">
        <v>296</v>
      </c>
      <c r="G235" s="22"/>
      <c r="H235" s="278">
        <v>0.2</v>
      </c>
      <c r="I235" s="23">
        <v>0.2</v>
      </c>
      <c r="J235" s="23">
        <v>1</v>
      </c>
      <c r="K235" s="23"/>
      <c r="L235" s="228">
        <v>1</v>
      </c>
      <c r="M235" s="225">
        <v>0.5</v>
      </c>
    </row>
    <row r="236" spans="1:13" ht="14.25" x14ac:dyDescent="0.15">
      <c r="A236" s="20" t="s">
        <v>363</v>
      </c>
      <c r="B236" s="20" t="s">
        <v>363</v>
      </c>
      <c r="C236" s="24" t="s">
        <v>158</v>
      </c>
      <c r="D236" s="24">
        <v>28</v>
      </c>
      <c r="E236" s="20" t="s">
        <v>155</v>
      </c>
      <c r="F236" s="69" t="s">
        <v>274</v>
      </c>
      <c r="G236" s="22" t="s">
        <v>151</v>
      </c>
      <c r="H236" s="49">
        <v>0</v>
      </c>
      <c r="I236" s="23">
        <v>0.1</v>
      </c>
      <c r="J236" s="23">
        <v>1</v>
      </c>
      <c r="K236" s="23"/>
      <c r="L236" s="228">
        <v>1</v>
      </c>
      <c r="M236" s="225">
        <v>0.5</v>
      </c>
    </row>
    <row r="237" spans="1:13" ht="14.25" x14ac:dyDescent="0.15">
      <c r="A237" s="20" t="s">
        <v>356</v>
      </c>
      <c r="B237" s="20" t="s">
        <v>356</v>
      </c>
      <c r="C237" s="24" t="s">
        <v>165</v>
      </c>
      <c r="D237" s="24">
        <v>41</v>
      </c>
      <c r="E237" s="20" t="s">
        <v>149</v>
      </c>
      <c r="F237" s="69" t="s">
        <v>345</v>
      </c>
      <c r="G237" s="22" t="s">
        <v>151</v>
      </c>
      <c r="H237" s="49">
        <v>0</v>
      </c>
      <c r="I237" s="22"/>
      <c r="J237" s="198">
        <v>1</v>
      </c>
      <c r="K237" s="198"/>
      <c r="L237" s="228">
        <v>1</v>
      </c>
      <c r="M237" s="225">
        <v>0.5</v>
      </c>
    </row>
    <row r="238" spans="1:13" ht="14.25" x14ac:dyDescent="0.15">
      <c r="A238" s="20" t="s">
        <v>250</v>
      </c>
      <c r="B238" s="20" t="s">
        <v>250</v>
      </c>
      <c r="C238" s="24" t="s">
        <v>126</v>
      </c>
      <c r="D238" s="24">
        <v>10</v>
      </c>
      <c r="E238" s="20" t="s">
        <v>149</v>
      </c>
      <c r="F238" s="69" t="s">
        <v>340</v>
      </c>
      <c r="G238" s="22"/>
      <c r="H238" s="276">
        <v>0.1</v>
      </c>
      <c r="I238" s="23">
        <v>0.1</v>
      </c>
      <c r="J238" s="23">
        <v>1</v>
      </c>
      <c r="K238" s="23"/>
      <c r="L238" s="228">
        <v>1</v>
      </c>
      <c r="M238" s="225">
        <v>0.5</v>
      </c>
    </row>
    <row r="239" spans="1:13" ht="14.25" x14ac:dyDescent="0.15">
      <c r="A239" s="20" t="s">
        <v>347</v>
      </c>
      <c r="B239" s="20" t="s">
        <v>347</v>
      </c>
      <c r="C239" s="24" t="s">
        <v>165</v>
      </c>
      <c r="D239" s="24">
        <v>18</v>
      </c>
      <c r="E239" s="20" t="s">
        <v>149</v>
      </c>
      <c r="F239" s="69" t="s">
        <v>233</v>
      </c>
      <c r="G239" s="22"/>
      <c r="H239" s="276">
        <v>0.1</v>
      </c>
      <c r="I239" s="23">
        <v>0.1</v>
      </c>
      <c r="J239" s="23">
        <v>1</v>
      </c>
      <c r="K239" s="23"/>
      <c r="L239" s="228">
        <v>1</v>
      </c>
      <c r="M239" s="225">
        <v>0.5</v>
      </c>
    </row>
    <row r="240" spans="1:13" ht="14.25" x14ac:dyDescent="0.15">
      <c r="A240" s="20" t="s">
        <v>304</v>
      </c>
      <c r="B240" s="20" t="s">
        <v>304</v>
      </c>
      <c r="C240" s="24" t="s">
        <v>126</v>
      </c>
      <c r="D240" s="24">
        <v>59</v>
      </c>
      <c r="E240" s="20" t="s">
        <v>149</v>
      </c>
      <c r="F240" s="69" t="s">
        <v>289</v>
      </c>
      <c r="G240" s="22"/>
      <c r="H240" s="276">
        <v>0.1</v>
      </c>
      <c r="I240" s="23">
        <v>0.1</v>
      </c>
      <c r="J240" s="23">
        <v>1</v>
      </c>
      <c r="K240" s="23"/>
      <c r="L240" s="228">
        <v>1</v>
      </c>
      <c r="M240" s="225">
        <v>0.5</v>
      </c>
    </row>
    <row r="241" spans="1:13" ht="14.25" x14ac:dyDescent="0.15">
      <c r="A241" s="145" t="s">
        <v>314</v>
      </c>
      <c r="B241" s="145" t="s">
        <v>314</v>
      </c>
      <c r="C241" s="146" t="s">
        <v>126</v>
      </c>
      <c r="D241" s="146">
        <v>18</v>
      </c>
      <c r="E241" s="145" t="s">
        <v>155</v>
      </c>
      <c r="F241" s="203" t="s">
        <v>234</v>
      </c>
      <c r="G241" s="147"/>
      <c r="H241" s="279">
        <v>0.2</v>
      </c>
      <c r="I241" s="149">
        <v>0.2</v>
      </c>
      <c r="J241" s="149">
        <v>1</v>
      </c>
      <c r="K241" s="149"/>
      <c r="L241" s="228">
        <v>1</v>
      </c>
      <c r="M241" s="225">
        <v>0.5</v>
      </c>
    </row>
    <row r="242" spans="1:13" ht="14.25" x14ac:dyDescent="0.15">
      <c r="A242" s="145" t="s">
        <v>240</v>
      </c>
      <c r="B242" s="145" t="s">
        <v>240</v>
      </c>
      <c r="C242" s="146" t="s">
        <v>126</v>
      </c>
      <c r="D242" s="146">
        <v>38</v>
      </c>
      <c r="E242" s="145" t="s">
        <v>149</v>
      </c>
      <c r="F242" s="203" t="s">
        <v>238</v>
      </c>
      <c r="G242" s="147"/>
      <c r="H242" s="277">
        <v>0.1</v>
      </c>
      <c r="I242" s="149">
        <v>0.1</v>
      </c>
      <c r="J242" s="149">
        <v>1</v>
      </c>
      <c r="K242" s="149"/>
      <c r="L242" s="228">
        <v>1</v>
      </c>
      <c r="M242" s="225">
        <v>0.5</v>
      </c>
    </row>
    <row r="243" spans="1:13" ht="14.25" x14ac:dyDescent="0.15">
      <c r="A243" s="145" t="s">
        <v>333</v>
      </c>
      <c r="B243" s="145" t="s">
        <v>333</v>
      </c>
      <c r="C243" s="146" t="s">
        <v>158</v>
      </c>
      <c r="D243" s="146">
        <v>28</v>
      </c>
      <c r="E243" s="145" t="s">
        <v>149</v>
      </c>
      <c r="F243" s="203" t="s">
        <v>285</v>
      </c>
      <c r="G243" s="147" t="s">
        <v>151</v>
      </c>
      <c r="H243" s="148">
        <v>0</v>
      </c>
      <c r="I243" s="149"/>
      <c r="J243" s="149">
        <v>1</v>
      </c>
      <c r="K243" s="149"/>
      <c r="L243" s="228">
        <v>1</v>
      </c>
      <c r="M243" s="225">
        <v>0.5</v>
      </c>
    </row>
    <row r="244" spans="1:13" ht="14.25" x14ac:dyDescent="0.15">
      <c r="A244" s="145" t="s">
        <v>338</v>
      </c>
      <c r="B244" s="145" t="s">
        <v>338</v>
      </c>
      <c r="C244" s="146" t="s">
        <v>158</v>
      </c>
      <c r="D244" s="146">
        <v>26</v>
      </c>
      <c r="E244" s="145" t="s">
        <v>149</v>
      </c>
      <c r="F244" s="203" t="s">
        <v>275</v>
      </c>
      <c r="G244" s="147" t="s">
        <v>151</v>
      </c>
      <c r="H244" s="148">
        <v>0</v>
      </c>
      <c r="I244" s="149"/>
      <c r="J244" s="149">
        <v>1</v>
      </c>
      <c r="K244" s="149"/>
      <c r="L244" s="228">
        <v>1</v>
      </c>
      <c r="M244" s="225">
        <v>0.5</v>
      </c>
    </row>
    <row r="245" spans="1:13" ht="14.25" x14ac:dyDescent="0.15">
      <c r="A245" s="145" t="s">
        <v>481</v>
      </c>
      <c r="B245" s="145" t="s">
        <v>481</v>
      </c>
      <c r="C245" s="146" t="s">
        <v>158</v>
      </c>
      <c r="D245" s="146">
        <v>19</v>
      </c>
      <c r="E245" s="145" t="s">
        <v>149</v>
      </c>
      <c r="F245" s="203" t="s">
        <v>306</v>
      </c>
      <c r="G245" s="147" t="s">
        <v>151</v>
      </c>
      <c r="H245" s="148">
        <v>0</v>
      </c>
      <c r="I245" s="149"/>
      <c r="J245" s="149">
        <v>1</v>
      </c>
      <c r="K245" s="149"/>
      <c r="L245" s="228">
        <v>1</v>
      </c>
      <c r="M245" s="225">
        <v>0.5</v>
      </c>
    </row>
    <row r="246" spans="1:13" ht="14.25" x14ac:dyDescent="0.15">
      <c r="A246" s="145" t="s">
        <v>312</v>
      </c>
      <c r="B246" s="145" t="s">
        <v>312</v>
      </c>
      <c r="C246" s="146" t="s">
        <v>158</v>
      </c>
      <c r="D246" s="146">
        <v>20</v>
      </c>
      <c r="E246" s="145" t="s">
        <v>149</v>
      </c>
      <c r="F246" s="203" t="s">
        <v>308</v>
      </c>
      <c r="G246" s="147" t="s">
        <v>151</v>
      </c>
      <c r="H246" s="148">
        <v>0</v>
      </c>
      <c r="I246" s="149"/>
      <c r="J246" s="149">
        <v>1</v>
      </c>
      <c r="K246" s="149"/>
      <c r="L246" s="228">
        <v>1</v>
      </c>
      <c r="M246" s="225">
        <v>0.5</v>
      </c>
    </row>
    <row r="247" spans="1:13" ht="14.25" x14ac:dyDescent="0.15">
      <c r="A247" s="145" t="s">
        <v>363</v>
      </c>
      <c r="B247" s="145" t="s">
        <v>363</v>
      </c>
      <c r="C247" s="146" t="s">
        <v>158</v>
      </c>
      <c r="D247" s="146">
        <v>28</v>
      </c>
      <c r="E247" s="145" t="s">
        <v>149</v>
      </c>
      <c r="F247" s="203" t="s">
        <v>281</v>
      </c>
      <c r="G247" s="147" t="s">
        <v>151</v>
      </c>
      <c r="H247" s="148">
        <v>0</v>
      </c>
      <c r="I247" s="149"/>
      <c r="J247" s="149">
        <v>1</v>
      </c>
      <c r="K247" s="149"/>
      <c r="L247" s="228">
        <v>1</v>
      </c>
      <c r="M247" s="225">
        <v>0.5</v>
      </c>
    </row>
  </sheetData>
  <autoFilter ref="A132:AB247" xr:uid="{00000000-0009-0000-0000-000005000000}"/>
  <mergeCells count="29">
    <mergeCell ref="T18:T20"/>
    <mergeCell ref="U19:U20"/>
    <mergeCell ref="T23:T24"/>
    <mergeCell ref="U23:U24"/>
    <mergeCell ref="I2:L2"/>
    <mergeCell ref="T26:W26"/>
    <mergeCell ref="T27:W27"/>
    <mergeCell ref="T29:T32"/>
    <mergeCell ref="U29:V29"/>
    <mergeCell ref="A2:A3"/>
    <mergeCell ref="C2:C3"/>
    <mergeCell ref="E2:E3"/>
    <mergeCell ref="F2:F3"/>
    <mergeCell ref="G2:G3"/>
    <mergeCell ref="B2:B3"/>
    <mergeCell ref="T2:T3"/>
    <mergeCell ref="D2:D3"/>
    <mergeCell ref="M2:R2"/>
    <mergeCell ref="U2:V2"/>
    <mergeCell ref="W2:W3"/>
    <mergeCell ref="H2:H3"/>
    <mergeCell ref="F130:F131"/>
    <mergeCell ref="G130:G131"/>
    <mergeCell ref="H130:I130"/>
    <mergeCell ref="A130:A131"/>
    <mergeCell ref="B130:B131"/>
    <mergeCell ref="C130:C131"/>
    <mergeCell ref="D130:D131"/>
    <mergeCell ref="E130:E131"/>
  </mergeCells>
  <phoneticPr fontId="81" type="noConversion"/>
  <pageMargins left="0.69972223043441772" right="0.69972223043441772" top="0.75" bottom="0.75" header="0.30000001192092896" footer="0.30000001192092896"/>
  <pageSetup paperSize="9" scale="37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E49"/>
  <sheetViews>
    <sheetView zoomScaleNormal="100" zoomScaleSheetLayoutView="75" workbookViewId="0">
      <selection activeCell="C46" sqref="C46:E46"/>
    </sheetView>
  </sheetViews>
  <sheetFormatPr defaultColWidth="8.88671875" defaultRowHeight="13.5" x14ac:dyDescent="0.15"/>
  <cols>
    <col min="1" max="1" width="1.33203125" style="205" customWidth="1"/>
    <col min="2" max="2" width="19.5546875" style="205" customWidth="1"/>
    <col min="3" max="3" width="17.109375" style="205" customWidth="1"/>
    <col min="4" max="4" width="20.88671875" style="205" customWidth="1"/>
    <col min="5" max="5" width="28.109375" style="205" customWidth="1"/>
    <col min="6" max="16384" width="8.88671875" style="205"/>
  </cols>
  <sheetData>
    <row r="1" spans="2:5" ht="20.25" x14ac:dyDescent="0.25">
      <c r="B1" s="204" t="s">
        <v>482</v>
      </c>
    </row>
    <row r="2" spans="2:5" ht="2.25" customHeight="1" x14ac:dyDescent="0.15"/>
    <row r="3" spans="2:5" x14ac:dyDescent="0.15">
      <c r="B3" s="823" t="s">
        <v>127</v>
      </c>
      <c r="C3" s="825" t="s">
        <v>123</v>
      </c>
      <c r="D3" s="825"/>
      <c r="E3" s="826" t="s">
        <v>124</v>
      </c>
    </row>
    <row r="4" spans="2:5" x14ac:dyDescent="0.15">
      <c r="B4" s="824"/>
      <c r="C4" s="208" t="s">
        <v>40</v>
      </c>
      <c r="D4" s="208" t="s">
        <v>41</v>
      </c>
      <c r="E4" s="827"/>
    </row>
    <row r="5" spans="2:5" x14ac:dyDescent="0.15">
      <c r="B5" s="209" t="s">
        <v>270</v>
      </c>
      <c r="C5" s="231">
        <v>0</v>
      </c>
      <c r="D5" s="231">
        <v>0</v>
      </c>
      <c r="E5" s="210" t="s">
        <v>223</v>
      </c>
    </row>
    <row r="6" spans="2:5" x14ac:dyDescent="0.15">
      <c r="B6" s="209" t="s">
        <v>292</v>
      </c>
      <c r="C6" s="231">
        <v>0</v>
      </c>
      <c r="D6" s="206">
        <v>0.1</v>
      </c>
      <c r="E6" s="210" t="s">
        <v>223</v>
      </c>
    </row>
    <row r="7" spans="2:5" x14ac:dyDescent="0.15">
      <c r="B7" s="209" t="s">
        <v>307</v>
      </c>
      <c r="C7" s="206">
        <v>0.1</v>
      </c>
      <c r="D7" s="206">
        <v>0.1</v>
      </c>
      <c r="E7" s="210" t="s">
        <v>223</v>
      </c>
    </row>
    <row r="8" spans="2:5" x14ac:dyDescent="0.15">
      <c r="B8" s="209" t="s">
        <v>272</v>
      </c>
      <c r="C8" s="206">
        <v>0.2</v>
      </c>
      <c r="D8" s="206">
        <v>0.2</v>
      </c>
      <c r="E8" s="210" t="s">
        <v>223</v>
      </c>
    </row>
    <row r="9" spans="2:5" x14ac:dyDescent="0.15">
      <c r="B9" s="209" t="s">
        <v>369</v>
      </c>
      <c r="C9" s="231">
        <v>0</v>
      </c>
      <c r="D9" s="206">
        <v>0.3</v>
      </c>
      <c r="E9" s="210" t="s">
        <v>223</v>
      </c>
    </row>
    <row r="10" spans="2:5" x14ac:dyDescent="0.15">
      <c r="B10" s="209" t="s">
        <v>244</v>
      </c>
      <c r="C10" s="231">
        <v>0</v>
      </c>
      <c r="D10" s="206">
        <v>0.6</v>
      </c>
      <c r="E10" s="210" t="s">
        <v>223</v>
      </c>
    </row>
    <row r="11" spans="2:5" x14ac:dyDescent="0.15">
      <c r="B11" s="209" t="s">
        <v>80</v>
      </c>
      <c r="C11" s="101" t="s">
        <v>6</v>
      </c>
      <c r="D11" s="231" t="s">
        <v>6</v>
      </c>
      <c r="E11" s="210" t="s">
        <v>7</v>
      </c>
    </row>
    <row r="12" spans="2:5" x14ac:dyDescent="0.15">
      <c r="B12" s="209" t="s">
        <v>446</v>
      </c>
      <c r="C12" s="101" t="s">
        <v>221</v>
      </c>
      <c r="D12" s="231" t="s">
        <v>221</v>
      </c>
      <c r="E12" s="210" t="s">
        <v>7</v>
      </c>
    </row>
    <row r="13" spans="2:5" x14ac:dyDescent="0.15">
      <c r="B13" s="209" t="s">
        <v>73</v>
      </c>
      <c r="C13" s="101" t="s">
        <v>6</v>
      </c>
      <c r="D13" s="231" t="s">
        <v>6</v>
      </c>
      <c r="E13" s="210" t="s">
        <v>7</v>
      </c>
    </row>
    <row r="14" spans="2:5" x14ac:dyDescent="0.15">
      <c r="B14" s="209" t="s">
        <v>68</v>
      </c>
      <c r="C14" s="101" t="s">
        <v>6</v>
      </c>
      <c r="D14" s="231" t="s">
        <v>6</v>
      </c>
      <c r="E14" s="210" t="s">
        <v>7</v>
      </c>
    </row>
    <row r="15" spans="2:5" x14ac:dyDescent="0.15">
      <c r="B15" s="209" t="s">
        <v>70</v>
      </c>
      <c r="C15" s="101" t="s">
        <v>6</v>
      </c>
      <c r="D15" s="231" t="s">
        <v>6</v>
      </c>
      <c r="E15" s="210" t="s">
        <v>7</v>
      </c>
    </row>
    <row r="16" spans="2:5" x14ac:dyDescent="0.15">
      <c r="B16" s="209" t="s">
        <v>86</v>
      </c>
      <c r="C16" s="101" t="s">
        <v>6</v>
      </c>
      <c r="D16" s="231" t="s">
        <v>6</v>
      </c>
      <c r="E16" s="210" t="s">
        <v>7</v>
      </c>
    </row>
    <row r="17" spans="2:5" x14ac:dyDescent="0.15">
      <c r="B17" s="209" t="s">
        <v>10</v>
      </c>
      <c r="C17" s="101" t="s">
        <v>6</v>
      </c>
      <c r="D17" s="231" t="s">
        <v>6</v>
      </c>
      <c r="E17" s="210" t="s">
        <v>7</v>
      </c>
    </row>
    <row r="18" spans="2:5" x14ac:dyDescent="0.15">
      <c r="B18" s="209" t="s">
        <v>588</v>
      </c>
      <c r="C18" s="24" t="s">
        <v>599</v>
      </c>
      <c r="D18" s="256" t="s">
        <v>599</v>
      </c>
      <c r="E18" s="210"/>
    </row>
    <row r="19" spans="2:5" x14ac:dyDescent="0.15">
      <c r="B19" s="211" t="s">
        <v>377</v>
      </c>
      <c r="C19" s="212" t="s">
        <v>484</v>
      </c>
      <c r="D19" s="232" t="s">
        <v>484</v>
      </c>
      <c r="E19" s="213" t="s">
        <v>534</v>
      </c>
    </row>
    <row r="20" spans="2:5" ht="3" customHeight="1" x14ac:dyDescent="0.15">
      <c r="B20" s="207"/>
      <c r="C20" s="207"/>
      <c r="D20" s="207"/>
      <c r="E20" s="207"/>
    </row>
    <row r="21" spans="2:5" ht="16.5" customHeight="1" x14ac:dyDescent="0.15">
      <c r="B21" s="214" t="s">
        <v>127</v>
      </c>
      <c r="C21" s="215" t="s">
        <v>75</v>
      </c>
      <c r="D21" s="215" t="s">
        <v>40</v>
      </c>
      <c r="E21" s="216" t="s">
        <v>41</v>
      </c>
    </row>
    <row r="22" spans="2:5" ht="18.75" customHeight="1" x14ac:dyDescent="0.15">
      <c r="B22" s="828" t="s">
        <v>464</v>
      </c>
      <c r="C22" s="101" t="s">
        <v>231</v>
      </c>
      <c r="D22" s="101" t="s">
        <v>337</v>
      </c>
      <c r="E22" s="101" t="s">
        <v>337</v>
      </c>
    </row>
    <row r="23" spans="2:5" ht="18.75" customHeight="1" x14ac:dyDescent="0.15">
      <c r="B23" s="831"/>
      <c r="C23" s="101" t="s">
        <v>324</v>
      </c>
      <c r="D23" s="101" t="s">
        <v>217</v>
      </c>
      <c r="E23" s="101" t="s">
        <v>217</v>
      </c>
    </row>
    <row r="24" spans="2:5" ht="18.75" customHeight="1" x14ac:dyDescent="0.15">
      <c r="B24" s="831"/>
      <c r="C24" s="328" t="s">
        <v>290</v>
      </c>
      <c r="D24" s="328" t="s">
        <v>217</v>
      </c>
      <c r="E24" s="328" t="s">
        <v>217</v>
      </c>
    </row>
    <row r="25" spans="2:5" ht="18.75" customHeight="1" x14ac:dyDescent="0.15">
      <c r="B25" s="829"/>
      <c r="C25" s="101" t="s">
        <v>278</v>
      </c>
      <c r="D25" s="328" t="s">
        <v>257</v>
      </c>
      <c r="E25" s="101" t="s">
        <v>257</v>
      </c>
    </row>
    <row r="26" spans="2:5" ht="3" customHeight="1" x14ac:dyDescent="0.15">
      <c r="B26" s="207"/>
      <c r="C26" s="207"/>
      <c r="D26" s="207"/>
      <c r="E26" s="207"/>
    </row>
    <row r="27" spans="2:5" x14ac:dyDescent="0.15">
      <c r="B27" s="214" t="s">
        <v>127</v>
      </c>
      <c r="C27" s="215" t="s">
        <v>75</v>
      </c>
      <c r="D27" s="215" t="s">
        <v>40</v>
      </c>
      <c r="E27" s="216" t="s">
        <v>41</v>
      </c>
    </row>
    <row r="28" spans="2:5" ht="15" customHeight="1" x14ac:dyDescent="0.15">
      <c r="B28" s="828" t="s">
        <v>71</v>
      </c>
      <c r="C28" s="199" t="s">
        <v>9</v>
      </c>
      <c r="D28" s="199" t="s">
        <v>247</v>
      </c>
      <c r="E28" s="210" t="s">
        <v>337</v>
      </c>
    </row>
    <row r="29" spans="2:5" ht="15" customHeight="1" x14ac:dyDescent="0.15">
      <c r="B29" s="828"/>
      <c r="C29" s="822" t="s">
        <v>11</v>
      </c>
      <c r="D29" s="199" t="s">
        <v>243</v>
      </c>
      <c r="E29" s="210" t="s">
        <v>217</v>
      </c>
    </row>
    <row r="30" spans="2:5" ht="15" customHeight="1" x14ac:dyDescent="0.15">
      <c r="B30" s="829"/>
      <c r="C30" s="830"/>
      <c r="D30" s="217" t="s">
        <v>531</v>
      </c>
      <c r="E30" s="218" t="s">
        <v>526</v>
      </c>
    </row>
    <row r="31" spans="2:5" ht="3.75" customHeight="1" x14ac:dyDescent="0.15">
      <c r="B31" s="207"/>
      <c r="C31" s="207"/>
      <c r="D31" s="207"/>
      <c r="E31" s="207"/>
    </row>
    <row r="32" spans="2:5" ht="16.5" customHeight="1" x14ac:dyDescent="0.15">
      <c r="B32" s="214" t="s">
        <v>127</v>
      </c>
      <c r="C32" s="215" t="s">
        <v>75</v>
      </c>
      <c r="D32" s="215" t="s">
        <v>40</v>
      </c>
      <c r="E32" s="216" t="s">
        <v>41</v>
      </c>
    </row>
    <row r="33" spans="2:5" ht="18.75" customHeight="1" x14ac:dyDescent="0.15">
      <c r="B33" s="828" t="s">
        <v>399</v>
      </c>
      <c r="C33" s="199" t="s">
        <v>231</v>
      </c>
      <c r="D33" s="199" t="s">
        <v>310</v>
      </c>
      <c r="E33" s="210" t="s">
        <v>614</v>
      </c>
    </row>
    <row r="34" spans="2:5" ht="18.75" customHeight="1" x14ac:dyDescent="0.15">
      <c r="B34" s="829"/>
      <c r="C34" s="212" t="s">
        <v>324</v>
      </c>
      <c r="D34" s="212" t="s">
        <v>310</v>
      </c>
      <c r="E34" s="213" t="s">
        <v>524</v>
      </c>
    </row>
    <row r="35" spans="2:5" ht="3" customHeight="1" x14ac:dyDescent="0.15">
      <c r="B35" s="207"/>
      <c r="C35" s="207"/>
      <c r="D35" s="207"/>
      <c r="E35" s="207"/>
    </row>
    <row r="36" spans="2:5" x14ac:dyDescent="0.15">
      <c r="B36" s="214" t="s">
        <v>127</v>
      </c>
      <c r="C36" s="215" t="s">
        <v>157</v>
      </c>
      <c r="D36" s="215" t="s">
        <v>40</v>
      </c>
      <c r="E36" s="216" t="s">
        <v>41</v>
      </c>
    </row>
    <row r="37" spans="2:5" ht="16.5" customHeight="1" x14ac:dyDescent="0.15">
      <c r="B37" s="828" t="s">
        <v>556</v>
      </c>
      <c r="C37" s="822" t="s">
        <v>88</v>
      </c>
      <c r="D37" s="199" t="s">
        <v>74</v>
      </c>
      <c r="E37" s="210" t="s">
        <v>79</v>
      </c>
    </row>
    <row r="38" spans="2:5" ht="16.5" customHeight="1" x14ac:dyDescent="0.15">
      <c r="B38" s="829"/>
      <c r="C38" s="830"/>
      <c r="D38" s="219" t="s">
        <v>531</v>
      </c>
      <c r="E38" s="220" t="s">
        <v>526</v>
      </c>
    </row>
    <row r="39" spans="2:5" ht="3" customHeight="1" x14ac:dyDescent="0.15">
      <c r="B39" s="207"/>
      <c r="C39" s="207"/>
      <c r="D39" s="207"/>
      <c r="E39" s="207"/>
    </row>
    <row r="40" spans="2:5" x14ac:dyDescent="0.15">
      <c r="B40" s="214" t="s">
        <v>127</v>
      </c>
      <c r="C40" s="215" t="s">
        <v>510</v>
      </c>
      <c r="D40" s="215" t="s">
        <v>509</v>
      </c>
      <c r="E40" s="216" t="s">
        <v>111</v>
      </c>
    </row>
    <row r="41" spans="2:5" ht="16.5" customHeight="1" x14ac:dyDescent="0.15">
      <c r="B41" s="221" t="s">
        <v>121</v>
      </c>
      <c r="C41" s="212" t="s">
        <v>587</v>
      </c>
      <c r="D41" s="212" t="s">
        <v>550</v>
      </c>
      <c r="E41" s="213" t="s">
        <v>595</v>
      </c>
    </row>
    <row r="42" spans="2:5" ht="3.75" customHeight="1" x14ac:dyDescent="0.15">
      <c r="B42" s="207"/>
      <c r="C42" s="207"/>
      <c r="D42" s="207"/>
      <c r="E42" s="207"/>
    </row>
    <row r="43" spans="2:5" ht="17.25" customHeight="1" x14ac:dyDescent="0.15">
      <c r="B43" s="832" t="s">
        <v>97</v>
      </c>
      <c r="C43" s="833"/>
      <c r="D43" s="833"/>
      <c r="E43" s="834"/>
    </row>
    <row r="44" spans="2:5" ht="17.25" customHeight="1" x14ac:dyDescent="0.15">
      <c r="B44" s="835" t="s">
        <v>18</v>
      </c>
      <c r="C44" s="836"/>
      <c r="D44" s="836"/>
      <c r="E44" s="837"/>
    </row>
    <row r="45" spans="2:5" ht="3.75" customHeight="1" x14ac:dyDescent="0.15">
      <c r="B45" s="207"/>
      <c r="C45" s="207"/>
      <c r="D45" s="207"/>
      <c r="E45" s="207"/>
    </row>
    <row r="46" spans="2:5" x14ac:dyDescent="0.15">
      <c r="B46" s="838" t="s">
        <v>491</v>
      </c>
      <c r="C46" s="841" t="s">
        <v>532</v>
      </c>
      <c r="D46" s="841"/>
      <c r="E46" s="842"/>
    </row>
    <row r="47" spans="2:5" x14ac:dyDescent="0.15">
      <c r="B47" s="839"/>
      <c r="C47" s="843" t="s">
        <v>528</v>
      </c>
      <c r="D47" s="843"/>
      <c r="E47" s="844"/>
    </row>
    <row r="48" spans="2:5" x14ac:dyDescent="0.15">
      <c r="B48" s="839"/>
      <c r="C48" s="843" t="s">
        <v>537</v>
      </c>
      <c r="D48" s="843"/>
      <c r="E48" s="844"/>
    </row>
    <row r="49" spans="2:5" x14ac:dyDescent="0.15">
      <c r="B49" s="840"/>
      <c r="C49" s="845" t="s">
        <v>616</v>
      </c>
      <c r="D49" s="845"/>
      <c r="E49" s="846"/>
    </row>
  </sheetData>
  <sheetProtection password="D54F" sheet="1" objects="1" scenarios="1"/>
  <mergeCells count="16">
    <mergeCell ref="B33:B34"/>
    <mergeCell ref="B43:E43"/>
    <mergeCell ref="B44:E44"/>
    <mergeCell ref="B46:B49"/>
    <mergeCell ref="C46:E46"/>
    <mergeCell ref="C47:E47"/>
    <mergeCell ref="C48:E48"/>
    <mergeCell ref="C49:E49"/>
    <mergeCell ref="B37:B38"/>
    <mergeCell ref="C37:C38"/>
    <mergeCell ref="B3:B4"/>
    <mergeCell ref="C3:D3"/>
    <mergeCell ref="E3:E4"/>
    <mergeCell ref="B28:B30"/>
    <mergeCell ref="C29:C30"/>
    <mergeCell ref="B22:B25"/>
  </mergeCells>
  <phoneticPr fontId="81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pageSetUpPr fitToPage="1"/>
  </sheetPr>
  <dimension ref="A1:AW37"/>
  <sheetViews>
    <sheetView showGridLines="0" view="pageBreakPreview" zoomScaleNormal="70" zoomScaleSheetLayoutView="100" workbookViewId="0">
      <pane ySplit="2" topLeftCell="A3" activePane="bottomLeft" state="frozen"/>
      <selection pane="bottomLeft" activeCell="Q3" sqref="Q3"/>
    </sheetView>
  </sheetViews>
  <sheetFormatPr defaultColWidth="8.88671875" defaultRowHeight="12" x14ac:dyDescent="0.15"/>
  <cols>
    <col min="1" max="1" width="3.5546875" style="14" customWidth="1"/>
    <col min="2" max="2" width="8.21875" style="14" customWidth="1"/>
    <col min="3" max="3" width="4.44140625" style="14" customWidth="1"/>
    <col min="4" max="4" width="8" style="14" customWidth="1"/>
    <col min="5" max="5" width="6.88671875" style="14" customWidth="1"/>
    <col min="6" max="6" width="4.33203125" style="14" customWidth="1"/>
    <col min="7" max="7" width="13" style="11" bestFit="1" customWidth="1"/>
    <col min="8" max="8" width="4.88671875" style="11" customWidth="1"/>
    <col min="9" max="9" width="9.6640625" style="11" customWidth="1"/>
    <col min="10" max="10" width="8.109375" style="18" customWidth="1"/>
    <col min="11" max="15" width="5.33203125" style="15" customWidth="1"/>
    <col min="16" max="16" width="4.21875" style="15" customWidth="1"/>
    <col min="17" max="17" width="4.5546875" style="15" customWidth="1"/>
    <col min="18" max="19" width="5.33203125" style="15" customWidth="1"/>
    <col min="20" max="20" width="4.6640625" style="15" customWidth="1"/>
    <col min="21" max="21" width="6.6640625" style="15" customWidth="1"/>
    <col min="22" max="22" width="6.6640625" style="17" customWidth="1"/>
    <col min="23" max="25" width="6.88671875" style="14" customWidth="1"/>
    <col min="26" max="26" width="15.88671875" style="14" customWidth="1"/>
    <col min="27" max="27" width="14" style="14" customWidth="1"/>
    <col min="28" max="28" width="18.6640625" style="14" customWidth="1"/>
    <col min="29" max="30" width="8.88671875" style="16"/>
    <col min="31" max="31" width="6.21875" style="16" bestFit="1" customWidth="1"/>
    <col min="32" max="32" width="8.88671875" style="16"/>
    <col min="33" max="33" width="6.21875" style="16" bestFit="1" customWidth="1"/>
    <col min="34" max="34" width="8.88671875" style="16"/>
    <col min="35" max="35" width="6.21875" style="16" bestFit="1" customWidth="1"/>
    <col min="36" max="38" width="8.88671875" style="16"/>
    <col min="39" max="16384" width="8.88671875" style="11"/>
  </cols>
  <sheetData>
    <row r="1" spans="1:49" s="351" customFormat="1" ht="27.75" customHeight="1" x14ac:dyDescent="0.15">
      <c r="A1" s="854" t="s">
        <v>140</v>
      </c>
      <c r="B1" s="852" t="s">
        <v>118</v>
      </c>
      <c r="C1" s="852" t="s">
        <v>134</v>
      </c>
      <c r="D1" s="852" t="s">
        <v>115</v>
      </c>
      <c r="E1" s="852" t="s">
        <v>120</v>
      </c>
      <c r="F1" s="858" t="s">
        <v>117</v>
      </c>
      <c r="G1" s="852" t="s">
        <v>28</v>
      </c>
      <c r="H1" s="852" t="s">
        <v>98</v>
      </c>
      <c r="I1" s="852" t="s">
        <v>30</v>
      </c>
      <c r="J1" s="854" t="s">
        <v>23</v>
      </c>
      <c r="K1" s="847" t="s">
        <v>36</v>
      </c>
      <c r="L1" s="857" t="s">
        <v>14</v>
      </c>
      <c r="M1" s="857"/>
      <c r="N1" s="857"/>
      <c r="O1" s="857"/>
      <c r="P1" s="857"/>
      <c r="Q1" s="857"/>
      <c r="R1" s="857"/>
      <c r="S1" s="857"/>
      <c r="T1" s="857"/>
      <c r="U1" s="857"/>
      <c r="V1" s="855" t="s">
        <v>507</v>
      </c>
      <c r="W1" s="849" t="s">
        <v>26</v>
      </c>
      <c r="X1" s="850"/>
      <c r="Y1" s="851"/>
      <c r="Z1" s="852" t="s">
        <v>31</v>
      </c>
      <c r="AA1" s="852" t="s">
        <v>29</v>
      </c>
      <c r="AB1" s="861" t="s">
        <v>13</v>
      </c>
      <c r="AC1" s="863" t="s">
        <v>25</v>
      </c>
      <c r="AD1" s="863" t="s">
        <v>61</v>
      </c>
      <c r="AE1" s="863"/>
      <c r="AF1" s="863"/>
      <c r="AG1" s="863"/>
      <c r="AH1" s="863"/>
      <c r="AI1" s="863"/>
      <c r="AJ1" s="863" t="s">
        <v>122</v>
      </c>
      <c r="AK1" s="863"/>
      <c r="AL1" s="863"/>
      <c r="AM1" s="860" t="s">
        <v>39</v>
      </c>
      <c r="AN1" s="860" t="s">
        <v>56</v>
      </c>
      <c r="AO1" s="860" t="s">
        <v>46</v>
      </c>
      <c r="AP1" s="860" t="s">
        <v>47</v>
      </c>
      <c r="AQ1" s="860" t="s">
        <v>59</v>
      </c>
      <c r="AR1" s="860" t="s">
        <v>38</v>
      </c>
      <c r="AS1" s="860" t="s">
        <v>96</v>
      </c>
      <c r="AT1" s="860" t="s">
        <v>141</v>
      </c>
      <c r="AU1" s="860" t="s">
        <v>99</v>
      </c>
      <c r="AV1" s="860" t="s">
        <v>62</v>
      </c>
      <c r="AW1" s="864" t="s">
        <v>60</v>
      </c>
    </row>
    <row r="2" spans="1:49" s="352" customFormat="1" ht="38.25" customHeight="1" x14ac:dyDescent="0.15">
      <c r="A2" s="854"/>
      <c r="B2" s="853"/>
      <c r="C2" s="853"/>
      <c r="D2" s="853"/>
      <c r="E2" s="853"/>
      <c r="F2" s="859"/>
      <c r="G2" s="853"/>
      <c r="H2" s="853"/>
      <c r="I2" s="853"/>
      <c r="J2" s="854"/>
      <c r="K2" s="848"/>
      <c r="L2" s="354" t="s">
        <v>119</v>
      </c>
      <c r="M2" s="354" t="s">
        <v>121</v>
      </c>
      <c r="N2" s="354" t="s">
        <v>145</v>
      </c>
      <c r="O2" s="355" t="s">
        <v>33</v>
      </c>
      <c r="P2" s="355" t="s">
        <v>32</v>
      </c>
      <c r="Q2" s="355" t="s">
        <v>95</v>
      </c>
      <c r="R2" s="355" t="s">
        <v>37</v>
      </c>
      <c r="S2" s="355" t="s">
        <v>34</v>
      </c>
      <c r="T2" s="355" t="s">
        <v>100</v>
      </c>
      <c r="U2" s="355" t="s">
        <v>380</v>
      </c>
      <c r="V2" s="856"/>
      <c r="W2" s="356" t="s">
        <v>116</v>
      </c>
      <c r="X2" s="356" t="s">
        <v>113</v>
      </c>
      <c r="Y2" s="356" t="s">
        <v>114</v>
      </c>
      <c r="Z2" s="853"/>
      <c r="AA2" s="853"/>
      <c r="AB2" s="862"/>
      <c r="AC2" s="863"/>
      <c r="AD2" s="368" t="s">
        <v>141</v>
      </c>
      <c r="AE2" s="368" t="s">
        <v>62</v>
      </c>
      <c r="AF2" s="368" t="s">
        <v>55</v>
      </c>
      <c r="AG2" s="368" t="s">
        <v>62</v>
      </c>
      <c r="AH2" s="368" t="s">
        <v>45</v>
      </c>
      <c r="AI2" s="368" t="s">
        <v>62</v>
      </c>
      <c r="AJ2" s="368" t="s">
        <v>106</v>
      </c>
      <c r="AK2" s="368" t="s">
        <v>112</v>
      </c>
      <c r="AL2" s="368" t="s">
        <v>42</v>
      </c>
      <c r="AM2" s="860"/>
      <c r="AN2" s="860"/>
      <c r="AO2" s="860"/>
      <c r="AP2" s="860"/>
      <c r="AQ2" s="860"/>
      <c r="AR2" s="860"/>
      <c r="AS2" s="860"/>
      <c r="AT2" s="860"/>
      <c r="AU2" s="860"/>
      <c r="AV2" s="860"/>
      <c r="AW2" s="864"/>
    </row>
    <row r="3" spans="1:49" s="353" customFormat="1" ht="21.95" customHeight="1" x14ac:dyDescent="0.15">
      <c r="A3" s="357">
        <f>ROW()-2</f>
        <v>1</v>
      </c>
      <c r="B3" s="357" t="str">
        <f>개별기초자료!E13</f>
        <v>안산양지초</v>
      </c>
      <c r="C3" s="357" t="str">
        <f>개별기초자료!H13</f>
        <v>갑</v>
      </c>
      <c r="D3" s="357" t="str">
        <f>개별기초자료!E9</f>
        <v>초등교사</v>
      </c>
      <c r="E3" s="357" t="str">
        <f>개별기초자료!E8</f>
        <v>나교사</v>
      </c>
      <c r="F3" s="358" t="str">
        <f>IF(LEFT(RIGHT(G3,7),1)="1","남",IF(LEFT(RIGHT(G3,7),1)="2","여","_"))</f>
        <v>남</v>
      </c>
      <c r="G3" s="359">
        <f>개별기초자료!E10</f>
        <v>7210011234561</v>
      </c>
      <c r="H3" s="359" t="str">
        <f>개별기초자료!H10</f>
        <v>46 세</v>
      </c>
      <c r="I3" s="360">
        <f>개별기초자료!E14</f>
        <v>41699</v>
      </c>
      <c r="J3" s="361" t="str">
        <f>개별기초자료!E18</f>
        <v>학교만기</v>
      </c>
      <c r="K3" s="362">
        <f>개별기초자료!E16</f>
        <v>5</v>
      </c>
      <c r="L3" s="363">
        <f>개별기초자료!K8</f>
        <v>0</v>
      </c>
      <c r="M3" s="362">
        <f>개별기초자료!K9</f>
        <v>0</v>
      </c>
      <c r="N3" s="362">
        <f>개별기초자료!K10</f>
        <v>0</v>
      </c>
      <c r="O3" s="362">
        <f>개별기초자료!K11</f>
        <v>0</v>
      </c>
      <c r="P3" s="362">
        <f>개별기초자료!K12</f>
        <v>0</v>
      </c>
      <c r="Q3" s="362">
        <f>개별기초자료!N11</f>
        <v>0</v>
      </c>
      <c r="R3" s="362">
        <f>개별기초자료!K13</f>
        <v>0</v>
      </c>
      <c r="S3" s="362">
        <f>개별기초자료!K14</f>
        <v>0</v>
      </c>
      <c r="T3" s="362">
        <f>개별기초자료!N9</f>
        <v>0</v>
      </c>
      <c r="U3" s="362">
        <f>개별기초자료!K15</f>
        <v>0</v>
      </c>
      <c r="V3" s="364">
        <f>개별기초자료!N13</f>
        <v>0</v>
      </c>
      <c r="W3" s="357" t="str">
        <f>IF(개별기초자료!E22="","",개별기초자료!E22)</f>
        <v>대남초풍도분교</v>
      </c>
      <c r="X3" s="357" t="str">
        <f>IF(개별기초자료!E23="","",개별기초자료!E23)</f>
        <v>관산초</v>
      </c>
      <c r="Y3" s="357" t="str">
        <f>IF(개별기초자료!E24="","",개별기초자료!E24)</f>
        <v>반월초</v>
      </c>
      <c r="Z3" s="357" t="str">
        <f>LEFT(INDEX(우대조항,개별기초자료!E19,1),11)</f>
        <v/>
      </c>
      <c r="AA3" s="365" t="str">
        <f>IF(개별기초자료!H26=TRUE,개별기초자료!S1&amp;CHAR(10)&amp;"본인의사에 반한 임지변경",개별기초자료!S1)</f>
        <v xml:space="preserve">   </v>
      </c>
      <c r="AB3" s="366" t="str">
        <f>IF((개별기초자료!E29=""),"",개별기초자료!E29)</f>
        <v>OO초 교사 OOO, OO초 교육공무직원 OOO</v>
      </c>
      <c r="AC3" s="369" t="str">
        <f>개별기초자료!E17</f>
        <v>안산시 단원구 초지동</v>
      </c>
      <c r="AD3" s="369" t="str">
        <f>IF((개별기초자료!K18=""),"",개별기초자료!K18)</f>
        <v/>
      </c>
      <c r="AE3" s="369" t="str">
        <f>IF((개별기초자료!L18=""),"",개별기초자료!L18)</f>
        <v/>
      </c>
      <c r="AF3" s="369" t="str">
        <f>IF((개별기초자료!K19=""),"",개별기초자료!K19)</f>
        <v/>
      </c>
      <c r="AG3" s="369" t="str">
        <f>IF((개별기초자료!L19=""),"",개별기초자료!L19)</f>
        <v/>
      </c>
      <c r="AH3" s="369" t="str">
        <f>IF((개별기초자료!K20=""),"",개별기초자료!K20)</f>
        <v/>
      </c>
      <c r="AI3" s="369" t="str">
        <f>IF((개별기초자료!L20=""),"",개별기초자료!L20)</f>
        <v/>
      </c>
      <c r="AJ3" s="369" t="str">
        <f>IF((개별기초자료!K22=""),"",개별기초자료!K22)</f>
        <v>나교장</v>
      </c>
      <c r="AK3" s="369" t="str">
        <f>IF((개별기초자료!K23=""),"",개별기초자료!K23)</f>
        <v>나교감</v>
      </c>
      <c r="AL3" s="369" t="str">
        <f>IF((개별기초자료!K24=""),"",개별기초자료!K24)</f>
        <v>010-0000-0000</v>
      </c>
      <c r="AM3" s="369" t="str">
        <f>개별기초자료!E28</f>
        <v>통합경력증명서1, 교육경력조서1</v>
      </c>
      <c r="AN3" s="369" t="str">
        <f>IF((개별기초자료!E30=""),"",개별기초자료!E30)</f>
        <v>유예1년, 2018.3.1.자 OO초 초빙교사</v>
      </c>
      <c r="AO3" s="369" t="str">
        <f>개별기초자료!E11</f>
        <v>010-1234-1234</v>
      </c>
      <c r="AP3" s="369" t="str">
        <f>개별기초자료!E12</f>
        <v>031-000-0000</v>
      </c>
      <c r="AQ3" s="370">
        <f>IF((개별기초자료!E15=""),"",개별기초자료!E15)</f>
        <v>0</v>
      </c>
      <c r="AR3" s="369" t="str">
        <f>개별기초자료!E20</f>
        <v/>
      </c>
      <c r="AS3" s="371"/>
      <c r="AT3" s="369" t="str">
        <f>IF((개별기초자료!J27=""),"",개별기초자료!J27)</f>
        <v/>
      </c>
      <c r="AU3" s="372" t="str">
        <f>IF((개별기초자료!K27=""),"",개별기초자료!K27)</f>
        <v/>
      </c>
      <c r="AV3" s="373">
        <f>IF((개별기초자료!M27=""),0,개별기초자료!M27)</f>
        <v>0</v>
      </c>
      <c r="AW3" s="367">
        <f>전보내신카드!Y11</f>
        <v>5</v>
      </c>
    </row>
    <row r="4" spans="1:49" s="13" customFormat="1" ht="21.9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49" ht="21.95" customHeight="1" x14ac:dyDescent="0.15"/>
    <row r="6" spans="1:49" ht="21.95" customHeight="1" x14ac:dyDescent="0.15"/>
    <row r="7" spans="1:49" ht="21.95" customHeight="1" x14ac:dyDescent="0.15"/>
    <row r="8" spans="1:49" ht="21.95" customHeight="1" x14ac:dyDescent="0.15"/>
    <row r="9" spans="1:49" ht="21.95" customHeight="1" x14ac:dyDescent="0.15"/>
    <row r="10" spans="1:49" ht="22.9" customHeight="1" x14ac:dyDescent="0.15"/>
    <row r="11" spans="1:49" ht="22.9" customHeight="1" x14ac:dyDescent="0.15"/>
    <row r="12" spans="1:49" ht="22.9" customHeight="1" x14ac:dyDescent="0.15"/>
    <row r="13" spans="1:49" ht="22.9" customHeight="1" x14ac:dyDescent="0.15"/>
    <row r="14" spans="1:49" ht="22.9" customHeight="1" x14ac:dyDescent="0.15"/>
    <row r="15" spans="1:49" ht="22.9" customHeight="1" x14ac:dyDescent="0.15"/>
    <row r="16" spans="1:49" ht="22.9" customHeight="1" x14ac:dyDescent="0.15"/>
    <row r="17" ht="22.9" customHeight="1" x14ac:dyDescent="0.15"/>
    <row r="18" ht="22.9" customHeight="1" x14ac:dyDescent="0.15"/>
    <row r="19" ht="22.9" customHeight="1" x14ac:dyDescent="0.15"/>
    <row r="20" ht="22.9" customHeight="1" x14ac:dyDescent="0.15"/>
    <row r="21" ht="22.9" customHeight="1" x14ac:dyDescent="0.15"/>
    <row r="22" ht="22.9" customHeight="1" x14ac:dyDescent="0.15"/>
    <row r="23" ht="22.9" customHeight="1" x14ac:dyDescent="0.15"/>
    <row r="24" ht="22.9" customHeight="1" x14ac:dyDescent="0.15"/>
    <row r="25" ht="22.9" customHeight="1" x14ac:dyDescent="0.15"/>
    <row r="26" ht="22.9" customHeight="1" x14ac:dyDescent="0.15"/>
    <row r="27" ht="22.9" customHeight="1" x14ac:dyDescent="0.15"/>
    <row r="28" ht="22.9" customHeight="1" x14ac:dyDescent="0.15"/>
    <row r="29" ht="22.9" customHeight="1" x14ac:dyDescent="0.15"/>
    <row r="30" ht="22.9" customHeight="1" x14ac:dyDescent="0.15"/>
    <row r="31" ht="22.9" customHeight="1" x14ac:dyDescent="0.15"/>
    <row r="32" ht="22.9" customHeight="1" x14ac:dyDescent="0.15"/>
    <row r="33" ht="22.9" customHeight="1" x14ac:dyDescent="0.15"/>
    <row r="34" ht="22.9" customHeight="1" x14ac:dyDescent="0.15"/>
    <row r="35" ht="22.9" customHeight="1" x14ac:dyDescent="0.15"/>
    <row r="36" ht="22.9" customHeight="1" x14ac:dyDescent="0.15"/>
    <row r="37" ht="22.9" customHeight="1" x14ac:dyDescent="0.15"/>
  </sheetData>
  <mergeCells count="31">
    <mergeCell ref="AW1:AW2"/>
    <mergeCell ref="H1:H2"/>
    <mergeCell ref="C1:C2"/>
    <mergeCell ref="AT1:AT2"/>
    <mergeCell ref="AU1:AU2"/>
    <mergeCell ref="AV1:AV2"/>
    <mergeCell ref="AQ1:AQ2"/>
    <mergeCell ref="AR1:AR2"/>
    <mergeCell ref="AS1:AS2"/>
    <mergeCell ref="AO1:AO2"/>
    <mergeCell ref="AP1:AP2"/>
    <mergeCell ref="AN1:AN2"/>
    <mergeCell ref="AA1:AA2"/>
    <mergeCell ref="AB1:AB2"/>
    <mergeCell ref="AJ1:AL1"/>
    <mergeCell ref="AM1:AM2"/>
    <mergeCell ref="AC1:AC2"/>
    <mergeCell ref="AD1:AI1"/>
    <mergeCell ref="K1:K2"/>
    <mergeCell ref="W1:Y1"/>
    <mergeCell ref="Z1:Z2"/>
    <mergeCell ref="A1:A2"/>
    <mergeCell ref="B1:B2"/>
    <mergeCell ref="V1:V2"/>
    <mergeCell ref="I1:I2"/>
    <mergeCell ref="L1:U1"/>
    <mergeCell ref="G1:G2"/>
    <mergeCell ref="D1:D2"/>
    <mergeCell ref="J1:J2"/>
    <mergeCell ref="F1:F2"/>
    <mergeCell ref="E1:E2"/>
  </mergeCells>
  <phoneticPr fontId="81" type="noConversion"/>
  <conditionalFormatting sqref="K5:K65536">
    <cfRule type="cellIs" dxfId="0" priority="1" stopIfTrue="1" operator="greaterThan">
      <formula>5</formula>
    </cfRule>
  </conditionalFormatting>
  <dataValidations count="1">
    <dataValidation imeMode="halfHangul" allowBlank="1" showInputMessage="1" showErrorMessage="1" sqref="B3 E3 W3:Y3" xr:uid="{00000000-0002-0000-0700-000000000000}"/>
  </dataValidations>
  <printOptions horizontalCentered="1"/>
  <pageMargins left="0.27541667222976685" right="0.19666667282581329" top="0.58958333730697632" bottom="0.43291667103767395" header="0.27541667222976685" footer="0.27541667222976685"/>
  <pageSetup paperSize="9" scale="60" orientation="landscape" horizontalDpi="300" verticalDpi="300" r:id="rId1"/>
  <headerFooter>
    <oddFooter>&amp;C&amp;"돋움,Regular"&amp;P/&amp;N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27</vt:i4>
      </vt:variant>
    </vt:vector>
  </HeadingPairs>
  <TitlesOfParts>
    <vt:vector size="35" baseType="lpstr">
      <vt:lpstr>개요</vt:lpstr>
      <vt:lpstr>개별기초자료</vt:lpstr>
      <vt:lpstr>통합경력증명</vt:lpstr>
      <vt:lpstr>전보내신카드</vt:lpstr>
      <vt:lpstr>교육경력조서</vt:lpstr>
      <vt:lpstr>조견표</vt:lpstr>
      <vt:lpstr>참고자료</vt:lpstr>
      <vt:lpstr>DATA</vt:lpstr>
      <vt:lpstr>DATA!Print_Area</vt:lpstr>
      <vt:lpstr>개별기초자료!Print_Area</vt:lpstr>
      <vt:lpstr>개요!Print_Area</vt:lpstr>
      <vt:lpstr>교육경력조서!Print_Area</vt:lpstr>
      <vt:lpstr>전보내신카드!Print_Area</vt:lpstr>
      <vt:lpstr>통합경력증명!Print_Area</vt:lpstr>
      <vt:lpstr>DATA!Print_Titles</vt:lpstr>
      <vt:lpstr>갑지유치원</vt:lpstr>
      <vt:lpstr>갑지학교</vt:lpstr>
      <vt:lpstr>개요!교육청</vt:lpstr>
      <vt:lpstr>개요!교육청명</vt:lpstr>
      <vt:lpstr>전보내신카드!내신자</vt:lpstr>
      <vt:lpstr>내신자</vt:lpstr>
      <vt:lpstr>소속</vt:lpstr>
      <vt:lpstr>우대조항</vt:lpstr>
      <vt:lpstr>유치원</vt:lpstr>
      <vt:lpstr>유치원선택</vt:lpstr>
      <vt:lpstr>유치원학교</vt:lpstr>
      <vt:lpstr>유치원희망교</vt:lpstr>
      <vt:lpstr>전보유형</vt:lpstr>
      <vt:lpstr>지역변경</vt:lpstr>
      <vt:lpstr>직위</vt:lpstr>
      <vt:lpstr>특기사항</vt:lpstr>
      <vt:lpstr>학교</vt:lpstr>
      <vt:lpstr>학교명</vt:lpstr>
      <vt:lpstr>학교선택</vt:lpstr>
      <vt:lpstr>희망교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User</cp:lastModifiedBy>
  <cp:revision>88</cp:revision>
  <cp:lastPrinted>2018-09-07T00:58:01Z</cp:lastPrinted>
  <dcterms:created xsi:type="dcterms:W3CDTF">2001-01-12T06:58:11Z</dcterms:created>
  <dcterms:modified xsi:type="dcterms:W3CDTF">2018-09-14T03:24:28Z</dcterms:modified>
  <cp:version>0906.0100.01</cp:version>
</cp:coreProperties>
</file>