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6035" windowHeight="6870" tabRatio="534" firstSheet="2" activeTab="7"/>
  </bookViews>
  <sheets>
    <sheet name="基本工资表" sheetId="1" r:id="rId1"/>
    <sheet name="福利补贴管理表" sheetId="2" r:id="rId2"/>
    <sheet name="本月奖惩管理表" sheetId="3" r:id="rId3"/>
    <sheet name="考勤统计表" sheetId="4" r:id="rId4"/>
    <sheet name="加班统计表" sheetId="5" r:id="rId5"/>
    <sheet name="Sheet1" sheetId="12" r:id="rId6"/>
    <sheet name="工资统计表" sheetId="6" r:id="rId7"/>
    <sheet name="所得税计算表" sheetId="9" r:id="rId8"/>
    <sheet name="工资条" sheetId="8" r:id="rId9"/>
  </sheets>
  <definedNames>
    <definedName name="工资表">工资统计表!$A$2:$P$32</definedName>
  </definedNames>
  <calcPr calcId="144525"/>
  <pivotCaches>
    <pivotCache cacheId="0" r:id="rId10"/>
  </pivotCaches>
</workbook>
</file>

<file path=xl/calcChain.xml><?xml version="1.0" encoding="utf-8"?>
<calcChain xmlns="http://schemas.openxmlformats.org/spreadsheetml/2006/main">
  <c r="A4" i="6" l="1"/>
  <c r="B4" i="6"/>
  <c r="C4" i="6"/>
  <c r="A5" i="6"/>
  <c r="B5" i="6"/>
  <c r="C5" i="6"/>
  <c r="A6" i="6"/>
  <c r="B6" i="6"/>
  <c r="C6" i="6"/>
  <c r="A7" i="6"/>
  <c r="B7" i="6"/>
  <c r="C7" i="6"/>
  <c r="A8" i="6"/>
  <c r="B8" i="6"/>
  <c r="C8" i="6"/>
  <c r="A9" i="6"/>
  <c r="B9" i="6"/>
  <c r="C9" i="6"/>
  <c r="A10" i="6"/>
  <c r="B10" i="6"/>
  <c r="C10" i="6"/>
  <c r="A11" i="6"/>
  <c r="B11" i="6"/>
  <c r="C11" i="6"/>
  <c r="A12" i="6"/>
  <c r="B12" i="6"/>
  <c r="C12" i="6"/>
  <c r="A13" i="6"/>
  <c r="B13" i="6"/>
  <c r="C13" i="6"/>
  <c r="A14" i="6"/>
  <c r="B14" i="6"/>
  <c r="C14" i="6"/>
  <c r="A15" i="6"/>
  <c r="B15" i="6"/>
  <c r="C15" i="6"/>
  <c r="A16" i="6"/>
  <c r="B16" i="6"/>
  <c r="C16" i="6"/>
  <c r="A17" i="6"/>
  <c r="B17" i="6"/>
  <c r="C17" i="6"/>
  <c r="A18" i="6"/>
  <c r="B18" i="6"/>
  <c r="C18" i="6"/>
  <c r="A19" i="6"/>
  <c r="B19" i="6"/>
  <c r="C19" i="6"/>
  <c r="A20" i="6"/>
  <c r="B20" i="6"/>
  <c r="C20" i="6"/>
  <c r="A21" i="6"/>
  <c r="B21" i="6"/>
  <c r="C21" i="6"/>
  <c r="A22" i="6"/>
  <c r="B22" i="6"/>
  <c r="C22" i="6"/>
  <c r="A23" i="6"/>
  <c r="B23" i="6"/>
  <c r="C23" i="6"/>
  <c r="A24" i="6"/>
  <c r="B24" i="6"/>
  <c r="C24" i="6"/>
  <c r="A25" i="6"/>
  <c r="B25" i="6"/>
  <c r="C25" i="6"/>
  <c r="A26" i="6"/>
  <c r="B26" i="6"/>
  <c r="C26" i="6"/>
  <c r="G4" i="1"/>
  <c r="I4" i="1" s="1"/>
  <c r="G5" i="1"/>
  <c r="I5" i="1" s="1"/>
  <c r="G6" i="1"/>
  <c r="I6" i="1" s="1"/>
  <c r="E6" i="6" s="1"/>
  <c r="B20" i="8" s="1"/>
  <c r="G7" i="1"/>
  <c r="I7" i="1" s="1"/>
  <c r="G8" i="1"/>
  <c r="I8" i="1" s="1"/>
  <c r="E8" i="6" s="1"/>
  <c r="B30" i="8" s="1"/>
  <c r="G9" i="1"/>
  <c r="I9" i="1" s="1"/>
  <c r="G10" i="1"/>
  <c r="I10" i="1" s="1"/>
  <c r="E10" i="6" s="1"/>
  <c r="B40" i="8" s="1"/>
  <c r="G11" i="1"/>
  <c r="I11" i="1" s="1"/>
  <c r="G12" i="1"/>
  <c r="I12" i="1" s="1"/>
  <c r="E12" i="6" s="1"/>
  <c r="B50" i="8" s="1"/>
  <c r="G13" i="1"/>
  <c r="I13" i="1" s="1"/>
  <c r="G14" i="1"/>
  <c r="I14" i="1" s="1"/>
  <c r="E14" i="6" s="1"/>
  <c r="B60" i="8" s="1"/>
  <c r="G15" i="1"/>
  <c r="I15" i="1" s="1"/>
  <c r="G16" i="1"/>
  <c r="I16" i="1" s="1"/>
  <c r="E16" i="6" s="1"/>
  <c r="B70" i="8" s="1"/>
  <c r="G17" i="1"/>
  <c r="I17" i="1" s="1"/>
  <c r="G18" i="1"/>
  <c r="I18" i="1" s="1"/>
  <c r="E18" i="6" s="1"/>
  <c r="B80" i="8" s="1"/>
  <c r="G19" i="1"/>
  <c r="I19" i="1" s="1"/>
  <c r="G20" i="1"/>
  <c r="I20" i="1" s="1"/>
  <c r="E20" i="6" s="1"/>
  <c r="B90" i="8" s="1"/>
  <c r="G21" i="1"/>
  <c r="I21" i="1" s="1"/>
  <c r="G22" i="1"/>
  <c r="I22" i="1" s="1"/>
  <c r="E22" i="6" s="1"/>
  <c r="B100" i="8" s="1"/>
  <c r="G23" i="1"/>
  <c r="I23" i="1" s="1"/>
  <c r="G3" i="1"/>
  <c r="I3" i="1" s="1"/>
  <c r="G24" i="1"/>
  <c r="I24" i="1" s="1"/>
  <c r="E24" i="6" s="1"/>
  <c r="G25" i="1"/>
  <c r="I25" i="1" s="1"/>
  <c r="E25" i="6" s="1"/>
  <c r="B115" i="8" s="1"/>
  <c r="E4" i="6" l="1"/>
  <c r="I4" i="5"/>
  <c r="K25" i="6"/>
  <c r="N25" i="6"/>
  <c r="K23" i="6"/>
  <c r="N23" i="6"/>
  <c r="K105" i="8" s="1"/>
  <c r="K21" i="6"/>
  <c r="N21" i="6"/>
  <c r="K95" i="8" s="1"/>
  <c r="K19" i="6"/>
  <c r="N19" i="6"/>
  <c r="K85" i="8" s="1"/>
  <c r="E12" i="8"/>
  <c r="E17" i="8"/>
  <c r="E22" i="8"/>
  <c r="E27" i="8"/>
  <c r="E32" i="8"/>
  <c r="E37" i="8"/>
  <c r="E42" i="8"/>
  <c r="E47" i="8"/>
  <c r="E52" i="8"/>
  <c r="E57" i="8"/>
  <c r="E62" i="8"/>
  <c r="E67" i="8"/>
  <c r="E72" i="8"/>
  <c r="E77" i="8"/>
  <c r="E82" i="8"/>
  <c r="H85" i="8"/>
  <c r="E87" i="8"/>
  <c r="E92" i="8"/>
  <c r="H95" i="8"/>
  <c r="E97" i="8"/>
  <c r="E102" i="8"/>
  <c r="H105" i="8"/>
  <c r="E107" i="8"/>
  <c r="E112" i="8"/>
  <c r="H12" i="8"/>
  <c r="H17" i="8"/>
  <c r="H22" i="8"/>
  <c r="H27" i="8"/>
  <c r="H32" i="8"/>
  <c r="H37" i="8"/>
  <c r="H42" i="8"/>
  <c r="H47" i="8"/>
  <c r="H52" i="8"/>
  <c r="H57" i="8"/>
  <c r="H62" i="8"/>
  <c r="H67" i="8"/>
  <c r="H72" i="8"/>
  <c r="H77" i="8"/>
  <c r="H82" i="8"/>
  <c r="H87" i="8"/>
  <c r="H92" i="8"/>
  <c r="H97" i="8"/>
  <c r="H102" i="8"/>
  <c r="H107" i="8"/>
  <c r="H112" i="8"/>
  <c r="H115" i="8"/>
  <c r="K17" i="6"/>
  <c r="H75" i="8" s="1"/>
  <c r="K115" i="8"/>
  <c r="N17" i="6"/>
  <c r="K75" i="8" s="1"/>
  <c r="K15" i="6"/>
  <c r="H65" i="8" s="1"/>
  <c r="N15" i="6"/>
  <c r="K65" i="8" s="1"/>
  <c r="K13" i="6"/>
  <c r="H55" i="8" s="1"/>
  <c r="N13" i="6"/>
  <c r="K55" i="8" s="1"/>
  <c r="K11" i="6"/>
  <c r="H45" i="8" s="1"/>
  <c r="N11" i="6"/>
  <c r="K45" i="8" s="1"/>
  <c r="K9" i="6"/>
  <c r="H35" i="8" s="1"/>
  <c r="N9" i="6"/>
  <c r="K35" i="8" s="1"/>
  <c r="K7" i="6"/>
  <c r="H25" i="8" s="1"/>
  <c r="N7" i="6"/>
  <c r="K25" i="8" s="1"/>
  <c r="K5" i="6"/>
  <c r="H15" i="8" s="1"/>
  <c r="N5" i="6"/>
  <c r="K15" i="8" s="1"/>
  <c r="B110" i="8"/>
  <c r="E23" i="6"/>
  <c r="B105" i="8" s="1"/>
  <c r="E21" i="6"/>
  <c r="B95" i="8" s="1"/>
  <c r="E19" i="6"/>
  <c r="B85" i="8" s="1"/>
  <c r="E17" i="6"/>
  <c r="B75" i="8" s="1"/>
  <c r="E15" i="6"/>
  <c r="B65" i="8" s="1"/>
  <c r="E13" i="6"/>
  <c r="B55" i="8" s="1"/>
  <c r="E11" i="6"/>
  <c r="B45" i="8" s="1"/>
  <c r="E9" i="6"/>
  <c r="B35" i="8" s="1"/>
  <c r="E7" i="6"/>
  <c r="B25" i="8" s="1"/>
  <c r="E5" i="6"/>
  <c r="B15" i="8" s="1"/>
  <c r="K26" i="6"/>
  <c r="N26" i="6"/>
  <c r="K24" i="6"/>
  <c r="H110" i="8" s="1"/>
  <c r="N24" i="6"/>
  <c r="K110" i="8" s="1"/>
  <c r="K22" i="6"/>
  <c r="H100" i="8" s="1"/>
  <c r="N22" i="6"/>
  <c r="K100" i="8" s="1"/>
  <c r="K20" i="6"/>
  <c r="H90" i="8" s="1"/>
  <c r="N20" i="6"/>
  <c r="K90" i="8" s="1"/>
  <c r="K18" i="6"/>
  <c r="H80" i="8" s="1"/>
  <c r="N18" i="6"/>
  <c r="K80" i="8" s="1"/>
  <c r="K16" i="6"/>
  <c r="H70" i="8" s="1"/>
  <c r="N16" i="6"/>
  <c r="K70" i="8" s="1"/>
  <c r="K14" i="6"/>
  <c r="H60" i="8" s="1"/>
  <c r="N14" i="6"/>
  <c r="K60" i="8" s="1"/>
  <c r="K12" i="6"/>
  <c r="H50" i="8" s="1"/>
  <c r="N12" i="6"/>
  <c r="K50" i="8" s="1"/>
  <c r="K10" i="6"/>
  <c r="H40" i="8" s="1"/>
  <c r="N10" i="6"/>
  <c r="K40" i="8" s="1"/>
  <c r="K8" i="6"/>
  <c r="H30" i="8" s="1"/>
  <c r="N8" i="6"/>
  <c r="K30" i="8" s="1"/>
  <c r="K6" i="6"/>
  <c r="H20" i="8" s="1"/>
  <c r="N6" i="6"/>
  <c r="K20" i="8" s="1"/>
  <c r="K4" i="6"/>
  <c r="N4" i="6"/>
  <c r="I26" i="6"/>
  <c r="F26" i="6"/>
  <c r="I25" i="6"/>
  <c r="F115" i="8" s="1"/>
  <c r="F25" i="6"/>
  <c r="C115" i="8" s="1"/>
  <c r="I24" i="6"/>
  <c r="F110" i="8" s="1"/>
  <c r="F24" i="6"/>
  <c r="C110" i="8" s="1"/>
  <c r="I23" i="6"/>
  <c r="F105" i="8" s="1"/>
  <c r="F23" i="6"/>
  <c r="C105" i="8" s="1"/>
  <c r="I22" i="6"/>
  <c r="F100" i="8" s="1"/>
  <c r="F22" i="6"/>
  <c r="C100" i="8" s="1"/>
  <c r="I21" i="6"/>
  <c r="F95" i="8" s="1"/>
  <c r="F21" i="6"/>
  <c r="C95" i="8" s="1"/>
  <c r="I20" i="6"/>
  <c r="F90" i="8" s="1"/>
  <c r="F20" i="6"/>
  <c r="C90" i="8" s="1"/>
  <c r="I19" i="6"/>
  <c r="F85" i="8" s="1"/>
  <c r="F19" i="6"/>
  <c r="C85" i="8" s="1"/>
  <c r="I18" i="6"/>
  <c r="F80" i="8" s="1"/>
  <c r="F18" i="6"/>
  <c r="C80" i="8" s="1"/>
  <c r="I17" i="6"/>
  <c r="F75" i="8" s="1"/>
  <c r="F17" i="6"/>
  <c r="C75" i="8" s="1"/>
  <c r="I16" i="6"/>
  <c r="F70" i="8" s="1"/>
  <c r="F16" i="6"/>
  <c r="C70" i="8" s="1"/>
  <c r="I15" i="6"/>
  <c r="F65" i="8" s="1"/>
  <c r="F15" i="6"/>
  <c r="C65" i="8" s="1"/>
  <c r="I14" i="6"/>
  <c r="F60" i="8" s="1"/>
  <c r="F14" i="6"/>
  <c r="C60" i="8" s="1"/>
  <c r="I13" i="6"/>
  <c r="F55" i="8" s="1"/>
  <c r="F13" i="6"/>
  <c r="C55" i="8" s="1"/>
  <c r="I12" i="6"/>
  <c r="F50" i="8" s="1"/>
  <c r="F12" i="6"/>
  <c r="C50" i="8" s="1"/>
  <c r="I11" i="6"/>
  <c r="F45" i="8" s="1"/>
  <c r="F11" i="6"/>
  <c r="C45" i="8" s="1"/>
  <c r="I10" i="6"/>
  <c r="F40" i="8" s="1"/>
  <c r="F10" i="6"/>
  <c r="C40" i="8" s="1"/>
  <c r="I9" i="6"/>
  <c r="F35" i="8" s="1"/>
  <c r="F9" i="6"/>
  <c r="C35" i="8" s="1"/>
  <c r="I8" i="6"/>
  <c r="F30" i="8" s="1"/>
  <c r="F8" i="6"/>
  <c r="C30" i="8" s="1"/>
  <c r="I7" i="6"/>
  <c r="F25" i="8" s="1"/>
  <c r="F7" i="6"/>
  <c r="C25" i="8" s="1"/>
  <c r="I6" i="6"/>
  <c r="F20" i="8" s="1"/>
  <c r="F6" i="6"/>
  <c r="C20" i="8" s="1"/>
  <c r="I5" i="6"/>
  <c r="F15" i="8" s="1"/>
  <c r="F5" i="6"/>
  <c r="C15" i="8" s="1"/>
  <c r="I4" i="6"/>
  <c r="F4" i="6"/>
  <c r="G26" i="6"/>
  <c r="D26" i="6"/>
  <c r="G25" i="6"/>
  <c r="D115" i="8" s="1"/>
  <c r="D25" i="6"/>
  <c r="A115" i="8" s="1"/>
  <c r="G24" i="6"/>
  <c r="D110" i="8" s="1"/>
  <c r="D24" i="6"/>
  <c r="A110" i="8" s="1"/>
  <c r="G23" i="6"/>
  <c r="D105" i="8" s="1"/>
  <c r="D23" i="6"/>
  <c r="A105" i="8" s="1"/>
  <c r="G22" i="6"/>
  <c r="D100" i="8" s="1"/>
  <c r="D22" i="6"/>
  <c r="A100" i="8" s="1"/>
  <c r="G21" i="6"/>
  <c r="D95" i="8" s="1"/>
  <c r="D21" i="6"/>
  <c r="A95" i="8" s="1"/>
  <c r="G20" i="6"/>
  <c r="D90" i="8" s="1"/>
  <c r="D20" i="6"/>
  <c r="A90" i="8" s="1"/>
  <c r="G19" i="6"/>
  <c r="D85" i="8" s="1"/>
  <c r="D19" i="6"/>
  <c r="A85" i="8" s="1"/>
  <c r="G18" i="6"/>
  <c r="D80" i="8" s="1"/>
  <c r="D18" i="6"/>
  <c r="A80" i="8" s="1"/>
  <c r="G17" i="6"/>
  <c r="D75" i="8" s="1"/>
  <c r="D17" i="6"/>
  <c r="A75" i="8" s="1"/>
  <c r="G16" i="6"/>
  <c r="D70" i="8" s="1"/>
  <c r="D16" i="6"/>
  <c r="A70" i="8" s="1"/>
  <c r="G15" i="6"/>
  <c r="D65" i="8" s="1"/>
  <c r="D15" i="6"/>
  <c r="A65" i="8" s="1"/>
  <c r="G14" i="6"/>
  <c r="D60" i="8" s="1"/>
  <c r="D14" i="6"/>
  <c r="A60" i="8" s="1"/>
  <c r="G13" i="6"/>
  <c r="D55" i="8" s="1"/>
  <c r="D13" i="6"/>
  <c r="A55" i="8" s="1"/>
  <c r="G12" i="6"/>
  <c r="D50" i="8" s="1"/>
  <c r="D12" i="6"/>
  <c r="A50" i="8" s="1"/>
  <c r="G11" i="6"/>
  <c r="D45" i="8" s="1"/>
  <c r="D11" i="6"/>
  <c r="A45" i="8" s="1"/>
  <c r="G10" i="6"/>
  <c r="D40" i="8" s="1"/>
  <c r="D10" i="6"/>
  <c r="A40" i="8" s="1"/>
  <c r="G9" i="6"/>
  <c r="D35" i="8" s="1"/>
  <c r="D9" i="6"/>
  <c r="A35" i="8" s="1"/>
  <c r="G8" i="6"/>
  <c r="D30" i="8" s="1"/>
  <c r="D8" i="6"/>
  <c r="A30" i="8" s="1"/>
  <c r="G7" i="6"/>
  <c r="D25" i="8" s="1"/>
  <c r="D7" i="6"/>
  <c r="A25" i="8" s="1"/>
  <c r="G6" i="6"/>
  <c r="D20" i="8" s="1"/>
  <c r="D6" i="6"/>
  <c r="A20" i="8" s="1"/>
  <c r="G5" i="6"/>
  <c r="D15" i="8" s="1"/>
  <c r="D5" i="6"/>
  <c r="A15" i="8" s="1"/>
  <c r="G4" i="6"/>
  <c r="D4" i="6"/>
  <c r="L25" i="6"/>
  <c r="I115" i="8" s="1"/>
  <c r="L22" i="6"/>
  <c r="I100" i="8" s="1"/>
  <c r="L24" i="6"/>
  <c r="I110" i="8" s="1"/>
  <c r="L23" i="6"/>
  <c r="I105" i="8" s="1"/>
  <c r="L21" i="6"/>
  <c r="I95" i="8" s="1"/>
  <c r="L19" i="6"/>
  <c r="I85" i="8" s="1"/>
  <c r="L17" i="6"/>
  <c r="I75" i="8" s="1"/>
  <c r="L20" i="6"/>
  <c r="I90" i="8" s="1"/>
  <c r="L18" i="6"/>
  <c r="I80" i="8" s="1"/>
  <c r="L16" i="6"/>
  <c r="I70" i="8" s="1"/>
  <c r="L15" i="6"/>
  <c r="I65" i="8" s="1"/>
  <c r="L13" i="6"/>
  <c r="I55" i="8" s="1"/>
  <c r="L11" i="6"/>
  <c r="I45" i="8" s="1"/>
  <c r="L9" i="6"/>
  <c r="I35" i="8" s="1"/>
  <c r="L7" i="6"/>
  <c r="I25" i="8" s="1"/>
  <c r="L5" i="6"/>
  <c r="I15" i="8" s="1"/>
  <c r="L14" i="6"/>
  <c r="I60" i="8" s="1"/>
  <c r="L12" i="6"/>
  <c r="I50" i="8" s="1"/>
  <c r="L10" i="6"/>
  <c r="I40" i="8" s="1"/>
  <c r="L8" i="6"/>
  <c r="I30" i="8" s="1"/>
  <c r="L6" i="6"/>
  <c r="I20" i="8" s="1"/>
  <c r="L4" i="6"/>
  <c r="F4" i="3"/>
  <c r="F5" i="3"/>
  <c r="F6" i="3"/>
  <c r="F7" i="3"/>
  <c r="F8" i="3"/>
  <c r="F9" i="3"/>
  <c r="F10" i="3"/>
  <c r="F11" i="3"/>
  <c r="F12" i="3"/>
  <c r="F13" i="3"/>
  <c r="F3" i="3"/>
  <c r="H32" i="5" l="1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A3" i="6" l="1"/>
  <c r="A27" i="6"/>
  <c r="B27" i="6"/>
  <c r="C27" i="6"/>
  <c r="A28" i="6"/>
  <c r="B28" i="6"/>
  <c r="C28" i="6"/>
  <c r="A29" i="6"/>
  <c r="B29" i="6"/>
  <c r="C29" i="6"/>
  <c r="A30" i="6"/>
  <c r="B30" i="6"/>
  <c r="C30" i="6"/>
  <c r="A31" i="6"/>
  <c r="B31" i="6"/>
  <c r="C31" i="6"/>
  <c r="A32" i="6"/>
  <c r="B32" i="6"/>
  <c r="C32" i="6"/>
  <c r="C3" i="6"/>
  <c r="B3" i="6"/>
  <c r="F31" i="6" l="1"/>
  <c r="I31" i="6"/>
  <c r="D31" i="6"/>
  <c r="G31" i="6"/>
  <c r="D145" i="8" s="1"/>
  <c r="F29" i="6"/>
  <c r="I29" i="6"/>
  <c r="D29" i="6"/>
  <c r="G29" i="6"/>
  <c r="D135" i="8" s="1"/>
  <c r="A120" i="8"/>
  <c r="H120" i="8"/>
  <c r="K132" i="8"/>
  <c r="F135" i="8"/>
  <c r="K135" i="8"/>
  <c r="K137" i="8"/>
  <c r="K140" i="8"/>
  <c r="K142" i="8"/>
  <c r="F145" i="8"/>
  <c r="K145" i="8"/>
  <c r="E117" i="8"/>
  <c r="E122" i="8"/>
  <c r="E127" i="8"/>
  <c r="E132" i="8"/>
  <c r="I135" i="8"/>
  <c r="E142" i="8"/>
  <c r="I145" i="8"/>
  <c r="H117" i="8"/>
  <c r="F120" i="8"/>
  <c r="H122" i="8"/>
  <c r="H127" i="8"/>
  <c r="H132" i="8"/>
  <c r="J135" i="8"/>
  <c r="H137" i="8"/>
  <c r="J140" i="8"/>
  <c r="H142" i="8"/>
  <c r="J145" i="8"/>
  <c r="H147" i="8"/>
  <c r="H152" i="8"/>
  <c r="H157" i="8"/>
  <c r="D120" i="8"/>
  <c r="C135" i="8"/>
  <c r="E137" i="8"/>
  <c r="I140" i="8"/>
  <c r="C145" i="8"/>
  <c r="E147" i="8"/>
  <c r="E152" i="8"/>
  <c r="E157" i="8"/>
  <c r="C120" i="8"/>
  <c r="K120" i="8"/>
  <c r="A135" i="8"/>
  <c r="H135" i="8"/>
  <c r="L135" i="8"/>
  <c r="H140" i="8"/>
  <c r="L140" i="8"/>
  <c r="A145" i="8"/>
  <c r="H145" i="8"/>
  <c r="L145" i="8"/>
  <c r="K160" i="8"/>
  <c r="K27" i="6"/>
  <c r="H125" i="8" s="1"/>
  <c r="N27" i="6"/>
  <c r="K125" i="8" s="1"/>
  <c r="D27" i="6"/>
  <c r="A125" i="8" s="1"/>
  <c r="G27" i="6"/>
  <c r="D125" i="8" s="1"/>
  <c r="F27" i="6"/>
  <c r="C125" i="8" s="1"/>
  <c r="I27" i="6"/>
  <c r="F125" i="8" s="1"/>
  <c r="F32" i="6"/>
  <c r="C150" i="8" s="1"/>
  <c r="I32" i="6"/>
  <c r="F155" i="8" s="1"/>
  <c r="N32" i="6"/>
  <c r="K155" i="8" s="1"/>
  <c r="D32" i="6"/>
  <c r="A150" i="8" s="1"/>
  <c r="G32" i="6"/>
  <c r="D150" i="8" s="1"/>
  <c r="K32" i="6"/>
  <c r="H150" i="8" s="1"/>
  <c r="F30" i="6"/>
  <c r="C140" i="8" s="1"/>
  <c r="I30" i="6"/>
  <c r="F140" i="8" s="1"/>
  <c r="D30" i="6"/>
  <c r="A140" i="8" s="1"/>
  <c r="G30" i="6"/>
  <c r="D140" i="8" s="1"/>
  <c r="K28" i="6"/>
  <c r="H130" i="8" s="1"/>
  <c r="N28" i="6"/>
  <c r="K130" i="8" s="1"/>
  <c r="D28" i="6"/>
  <c r="A130" i="8" s="1"/>
  <c r="G28" i="6"/>
  <c r="D130" i="8" s="1"/>
  <c r="F28" i="6"/>
  <c r="C130" i="8" s="1"/>
  <c r="I28" i="6"/>
  <c r="F130" i="8" s="1"/>
  <c r="N3" i="6"/>
  <c r="K3" i="6"/>
  <c r="H5" i="8" s="1"/>
  <c r="G3" i="6"/>
  <c r="D3" i="6"/>
  <c r="I3" i="6"/>
  <c r="F3" i="6"/>
  <c r="E3" i="6"/>
  <c r="B5" i="8" s="1"/>
  <c r="E7" i="8"/>
  <c r="D10" i="8"/>
  <c r="C10" i="8"/>
  <c r="K10" i="8"/>
  <c r="A10" i="8"/>
  <c r="F10" i="8"/>
  <c r="C5" i="8"/>
  <c r="K5" i="8"/>
  <c r="D5" i="8"/>
  <c r="B10" i="8"/>
  <c r="H10" i="8"/>
  <c r="H7" i="8"/>
  <c r="F5" i="8"/>
  <c r="H2" i="8"/>
  <c r="E2" i="8"/>
  <c r="I10" i="8"/>
  <c r="H3" i="2"/>
  <c r="G3" i="2"/>
  <c r="F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F4" i="2"/>
  <c r="I4" i="2" s="1"/>
  <c r="G4" i="2"/>
  <c r="F5" i="2"/>
  <c r="I5" i="2" s="1"/>
  <c r="G5" i="2"/>
  <c r="F6" i="2"/>
  <c r="I6" i="2" s="1"/>
  <c r="G6" i="2"/>
  <c r="F7" i="2"/>
  <c r="I7" i="2" s="1"/>
  <c r="G7" i="2"/>
  <c r="F8" i="2"/>
  <c r="I8" i="2" s="1"/>
  <c r="G8" i="2"/>
  <c r="F9" i="2"/>
  <c r="I9" i="2" s="1"/>
  <c r="G9" i="2"/>
  <c r="F10" i="2"/>
  <c r="I10" i="2" s="1"/>
  <c r="G10" i="2"/>
  <c r="F11" i="2"/>
  <c r="I11" i="2" s="1"/>
  <c r="G11" i="2"/>
  <c r="F12" i="2"/>
  <c r="I12" i="2" s="1"/>
  <c r="G12" i="2"/>
  <c r="F13" i="2"/>
  <c r="I13" i="2" s="1"/>
  <c r="G13" i="2"/>
  <c r="F14" i="2"/>
  <c r="I14" i="2" s="1"/>
  <c r="G14" i="2"/>
  <c r="F15" i="2"/>
  <c r="I15" i="2" s="1"/>
  <c r="G15" i="2"/>
  <c r="F16" i="2"/>
  <c r="I16" i="2" s="1"/>
  <c r="G16" i="2"/>
  <c r="F17" i="2"/>
  <c r="I17" i="2" s="1"/>
  <c r="G17" i="2"/>
  <c r="F18" i="2"/>
  <c r="I18" i="2" s="1"/>
  <c r="G18" i="2"/>
  <c r="F19" i="2"/>
  <c r="I19" i="2" s="1"/>
  <c r="G19" i="2"/>
  <c r="F20" i="2"/>
  <c r="I20" i="2" s="1"/>
  <c r="G20" i="2"/>
  <c r="F21" i="2"/>
  <c r="F22" i="2"/>
  <c r="F23" i="2"/>
  <c r="F24" i="2"/>
  <c r="G21" i="2"/>
  <c r="G22" i="2"/>
  <c r="G23" i="2"/>
  <c r="G24" i="2"/>
  <c r="F25" i="2"/>
  <c r="I25" i="2" s="1"/>
  <c r="F26" i="2"/>
  <c r="F27" i="2"/>
  <c r="I27" i="2" s="1"/>
  <c r="F28" i="2"/>
  <c r="F29" i="2"/>
  <c r="I29" i="2" s="1"/>
  <c r="F30" i="2"/>
  <c r="F31" i="2"/>
  <c r="I31" i="2" s="1"/>
  <c r="F32" i="2"/>
  <c r="H26" i="2"/>
  <c r="H27" i="2"/>
  <c r="H28" i="2"/>
  <c r="H29" i="2"/>
  <c r="H30" i="2"/>
  <c r="H31" i="2"/>
  <c r="H32" i="2"/>
  <c r="G25" i="2"/>
  <c r="G26" i="2"/>
  <c r="G27" i="2"/>
  <c r="G28" i="2"/>
  <c r="G29" i="2"/>
  <c r="G30" i="2"/>
  <c r="G31" i="2"/>
  <c r="G32" i="2"/>
  <c r="I3" i="5"/>
  <c r="G26" i="1"/>
  <c r="I26" i="1" s="1"/>
  <c r="E26" i="6" s="1"/>
  <c r="B120" i="8" s="1"/>
  <c r="G27" i="1"/>
  <c r="I27" i="1" s="1"/>
  <c r="E27" i="6" s="1"/>
  <c r="B125" i="8" s="1"/>
  <c r="G28" i="1"/>
  <c r="I28" i="1" s="1"/>
  <c r="E28" i="6" s="1"/>
  <c r="B130" i="8" s="1"/>
  <c r="G29" i="1"/>
  <c r="I29" i="1" s="1"/>
  <c r="E29" i="6" s="1"/>
  <c r="B135" i="8" s="1"/>
  <c r="G30" i="1"/>
  <c r="I30" i="1" s="1"/>
  <c r="E30" i="6" s="1"/>
  <c r="B140" i="8" s="1"/>
  <c r="G31" i="1"/>
  <c r="I31" i="1" s="1"/>
  <c r="E31" i="6" s="1"/>
  <c r="B145" i="8" s="1"/>
  <c r="G32" i="1"/>
  <c r="I32" i="1" s="1"/>
  <c r="E32" i="6" s="1"/>
  <c r="K150" i="8" l="1"/>
  <c r="D155" i="8"/>
  <c r="L3" i="6"/>
  <c r="I5" i="8" s="1"/>
  <c r="F150" i="8"/>
  <c r="A155" i="8"/>
  <c r="F160" i="8"/>
  <c r="A160" i="8"/>
  <c r="A5" i="8"/>
  <c r="C160" i="8"/>
  <c r="C155" i="8"/>
  <c r="H160" i="8"/>
  <c r="D160" i="8"/>
  <c r="H155" i="8"/>
  <c r="B155" i="8"/>
  <c r="B150" i="8"/>
  <c r="B160" i="8"/>
  <c r="L28" i="6"/>
  <c r="I130" i="8" s="1"/>
  <c r="L26" i="6"/>
  <c r="I120" i="8" s="1"/>
  <c r="L27" i="6"/>
  <c r="I125" i="8" s="1"/>
  <c r="L32" i="6"/>
  <c r="I28" i="5"/>
  <c r="J28" i="5" s="1"/>
  <c r="H28" i="6" s="1"/>
  <c r="E130" i="8" s="1"/>
  <c r="I29" i="5"/>
  <c r="J29" i="5" s="1"/>
  <c r="I25" i="5"/>
  <c r="J25" i="5" s="1"/>
  <c r="H25" i="6" s="1"/>
  <c r="E115" i="8" s="1"/>
  <c r="I18" i="5"/>
  <c r="J18" i="5" s="1"/>
  <c r="H18" i="6" s="1"/>
  <c r="E80" i="8" s="1"/>
  <c r="I19" i="5"/>
  <c r="J19" i="5" s="1"/>
  <c r="H19" i="6" s="1"/>
  <c r="E85" i="8" s="1"/>
  <c r="I17" i="5"/>
  <c r="J17" i="5" s="1"/>
  <c r="H17" i="6" s="1"/>
  <c r="E75" i="8" s="1"/>
  <c r="I16" i="5"/>
  <c r="J16" i="5" s="1"/>
  <c r="H16" i="6" s="1"/>
  <c r="E70" i="8" s="1"/>
  <c r="I15" i="5"/>
  <c r="J15" i="5" s="1"/>
  <c r="H15" i="6" s="1"/>
  <c r="E65" i="8" s="1"/>
  <c r="I14" i="5"/>
  <c r="J14" i="5" s="1"/>
  <c r="H14" i="6" s="1"/>
  <c r="E60" i="8" s="1"/>
  <c r="I12" i="5"/>
  <c r="J12" i="5" s="1"/>
  <c r="H12" i="6" s="1"/>
  <c r="E50" i="8" s="1"/>
  <c r="I8" i="5"/>
  <c r="J8" i="5" s="1"/>
  <c r="H8" i="6" s="1"/>
  <c r="E30" i="8" s="1"/>
  <c r="I6" i="5"/>
  <c r="J6" i="5" s="1"/>
  <c r="H6" i="6" s="1"/>
  <c r="E20" i="8" s="1"/>
  <c r="J4" i="5"/>
  <c r="H4" i="6" s="1"/>
  <c r="E10" i="8" s="1"/>
  <c r="I13" i="5"/>
  <c r="J13" i="5" s="1"/>
  <c r="H13" i="6" s="1"/>
  <c r="E55" i="8" s="1"/>
  <c r="I7" i="5"/>
  <c r="J7" i="5" s="1"/>
  <c r="H7" i="6" s="1"/>
  <c r="E25" i="8" s="1"/>
  <c r="I5" i="5"/>
  <c r="J5" i="5" s="1"/>
  <c r="H5" i="6" s="1"/>
  <c r="E15" i="8" s="1"/>
  <c r="I32" i="5"/>
  <c r="J32" i="5" s="1"/>
  <c r="I26" i="5"/>
  <c r="J26" i="5" s="1"/>
  <c r="H26" i="6" s="1"/>
  <c r="E120" i="8" s="1"/>
  <c r="I20" i="5"/>
  <c r="J20" i="5" s="1"/>
  <c r="H20" i="6" s="1"/>
  <c r="E90" i="8" s="1"/>
  <c r="I10" i="5"/>
  <c r="J10" i="5" s="1"/>
  <c r="H10" i="6" s="1"/>
  <c r="E40" i="8" s="1"/>
  <c r="I30" i="5"/>
  <c r="J30" i="5" s="1"/>
  <c r="I31" i="5"/>
  <c r="J31" i="5" s="1"/>
  <c r="I27" i="5"/>
  <c r="J27" i="5" s="1"/>
  <c r="H27" i="6" s="1"/>
  <c r="E125" i="8" s="1"/>
  <c r="I11" i="5"/>
  <c r="J11" i="5" s="1"/>
  <c r="H11" i="6" s="1"/>
  <c r="E45" i="8" s="1"/>
  <c r="I9" i="5"/>
  <c r="J9" i="5" s="1"/>
  <c r="H9" i="6" s="1"/>
  <c r="E35" i="8" s="1"/>
  <c r="I32" i="2"/>
  <c r="I30" i="2"/>
  <c r="I28" i="2"/>
  <c r="I26" i="2"/>
  <c r="I24" i="2"/>
  <c r="I22" i="2"/>
  <c r="I3" i="2"/>
  <c r="I23" i="2"/>
  <c r="I21" i="2"/>
  <c r="I150" i="8" l="1"/>
  <c r="I160" i="8"/>
  <c r="I155" i="8"/>
  <c r="J27" i="6"/>
  <c r="G125" i="8" s="1"/>
  <c r="J20" i="6"/>
  <c r="G90" i="8" s="1"/>
  <c r="J16" i="6"/>
  <c r="G70" i="8" s="1"/>
  <c r="J19" i="6"/>
  <c r="G85" i="8" s="1"/>
  <c r="J25" i="6"/>
  <c r="G115" i="8" s="1"/>
  <c r="J28" i="6"/>
  <c r="G130" i="8" s="1"/>
  <c r="J26" i="6"/>
  <c r="G120" i="8" s="1"/>
  <c r="J17" i="6"/>
  <c r="G75" i="8" s="1"/>
  <c r="J18" i="6"/>
  <c r="G80" i="8" s="1"/>
  <c r="J9" i="6"/>
  <c r="G35" i="8" s="1"/>
  <c r="J7" i="6"/>
  <c r="G25" i="8" s="1"/>
  <c r="J4" i="6"/>
  <c r="G10" i="8" s="1"/>
  <c r="J8" i="6"/>
  <c r="G30" i="8" s="1"/>
  <c r="J14" i="6"/>
  <c r="G60" i="8" s="1"/>
  <c r="J11" i="6"/>
  <c r="G45" i="8" s="1"/>
  <c r="J10" i="6"/>
  <c r="G40" i="8" s="1"/>
  <c r="J5" i="6"/>
  <c r="G15" i="8" s="1"/>
  <c r="J13" i="6"/>
  <c r="G55" i="8" s="1"/>
  <c r="J6" i="6"/>
  <c r="G20" i="8" s="1"/>
  <c r="J12" i="6"/>
  <c r="G50" i="8" s="1"/>
  <c r="J15" i="6"/>
  <c r="G65" i="8" s="1"/>
  <c r="F9" i="9"/>
  <c r="G9" i="9" s="1"/>
  <c r="H9" i="9" s="1"/>
  <c r="F27" i="9"/>
  <c r="F20" i="9"/>
  <c r="G20" i="9" s="1"/>
  <c r="H20" i="9" s="1"/>
  <c r="F14" i="9"/>
  <c r="G14" i="9" s="1"/>
  <c r="H14" i="9" s="1"/>
  <c r="F16" i="9"/>
  <c r="F19" i="9"/>
  <c r="G19" i="9" s="1"/>
  <c r="H19" i="9" s="1"/>
  <c r="F26" i="9"/>
  <c r="F5" i="9"/>
  <c r="G5" i="9" s="1"/>
  <c r="H5" i="9" s="1"/>
  <c r="F6" i="9"/>
  <c r="G6" i="9" s="1"/>
  <c r="H6" i="9" s="1"/>
  <c r="F15" i="9"/>
  <c r="G15" i="9" s="1"/>
  <c r="H15" i="9" s="1"/>
  <c r="F17" i="9"/>
  <c r="G17" i="9" s="1"/>
  <c r="H17" i="9" s="1"/>
  <c r="F18" i="9"/>
  <c r="G18" i="9" s="1"/>
  <c r="H18" i="9" s="1"/>
  <c r="F25" i="9"/>
  <c r="G26" i="9"/>
  <c r="H26" i="9" s="1"/>
  <c r="G25" i="9"/>
  <c r="H25" i="9" s="1"/>
  <c r="G27" i="9"/>
  <c r="H27" i="9" s="1"/>
  <c r="G16" i="9"/>
  <c r="H16" i="9" s="1"/>
  <c r="H30" i="6"/>
  <c r="E140" i="8" s="1"/>
  <c r="H32" i="6"/>
  <c r="H29" i="6"/>
  <c r="E135" i="8" s="1"/>
  <c r="H31" i="6"/>
  <c r="E145" i="8" s="1"/>
  <c r="I23" i="5"/>
  <c r="J23" i="5" s="1"/>
  <c r="H23" i="6" s="1"/>
  <c r="E105" i="8" s="1"/>
  <c r="I24" i="5"/>
  <c r="J24" i="5" s="1"/>
  <c r="H24" i="6" s="1"/>
  <c r="E110" i="8" s="1"/>
  <c r="I21" i="5"/>
  <c r="J21" i="5" s="1"/>
  <c r="H21" i="6" s="1"/>
  <c r="E95" i="8" s="1"/>
  <c r="I22" i="5"/>
  <c r="J22" i="5" s="1"/>
  <c r="H22" i="6" s="1"/>
  <c r="E100" i="8" s="1"/>
  <c r="F28" i="9" l="1"/>
  <c r="G28" i="9" s="1"/>
  <c r="H28" i="9" s="1"/>
  <c r="F10" i="9"/>
  <c r="G10" i="9" s="1"/>
  <c r="H10" i="9" s="1"/>
  <c r="F4" i="9"/>
  <c r="G4" i="9" s="1"/>
  <c r="H4" i="9" s="1"/>
  <c r="E150" i="8"/>
  <c r="E160" i="8"/>
  <c r="E155" i="8"/>
  <c r="J21" i="6"/>
  <c r="G95" i="8" s="1"/>
  <c r="J23" i="6"/>
  <c r="G105" i="8" s="1"/>
  <c r="J29" i="6"/>
  <c r="G135" i="8" s="1"/>
  <c r="J30" i="6"/>
  <c r="G140" i="8" s="1"/>
  <c r="J22" i="6"/>
  <c r="G100" i="8" s="1"/>
  <c r="J24" i="6"/>
  <c r="G110" i="8" s="1"/>
  <c r="J31" i="6"/>
  <c r="G145" i="8" s="1"/>
  <c r="J32" i="6"/>
  <c r="F12" i="9"/>
  <c r="G12" i="9" s="1"/>
  <c r="H12" i="9" s="1"/>
  <c r="F13" i="9"/>
  <c r="G13" i="9" s="1"/>
  <c r="H13" i="9" s="1"/>
  <c r="F11" i="9"/>
  <c r="G11" i="9" s="1"/>
  <c r="H11" i="9" s="1"/>
  <c r="F8" i="9"/>
  <c r="G8" i="9" s="1"/>
  <c r="H8" i="9" s="1"/>
  <c r="F7" i="9"/>
  <c r="G7" i="9" s="1"/>
  <c r="H7" i="9" s="1"/>
  <c r="F23" i="9"/>
  <c r="F24" i="9"/>
  <c r="G24" i="9" s="1"/>
  <c r="H24" i="9" s="1"/>
  <c r="I19" i="9"/>
  <c r="M19" i="6" s="1"/>
  <c r="J85" i="8" s="1"/>
  <c r="I16" i="9"/>
  <c r="M16" i="6" s="1"/>
  <c r="J70" i="8" s="1"/>
  <c r="I14" i="9"/>
  <c r="M14" i="6" s="1"/>
  <c r="J60" i="8" s="1"/>
  <c r="I8" i="9"/>
  <c r="M8" i="6" s="1"/>
  <c r="J30" i="8" s="1"/>
  <c r="I4" i="9"/>
  <c r="M4" i="6" s="1"/>
  <c r="J10" i="8" s="1"/>
  <c r="I20" i="9"/>
  <c r="M20" i="6" s="1"/>
  <c r="J90" i="8" s="1"/>
  <c r="I27" i="9"/>
  <c r="M27" i="6" s="1"/>
  <c r="J125" i="8" s="1"/>
  <c r="I9" i="9"/>
  <c r="M9" i="6" s="1"/>
  <c r="J35" i="8" s="1"/>
  <c r="I25" i="9"/>
  <c r="M25" i="6" s="1"/>
  <c r="J115" i="8" s="1"/>
  <c r="I18" i="9"/>
  <c r="M18" i="6" s="1"/>
  <c r="J80" i="8" s="1"/>
  <c r="I17" i="9"/>
  <c r="M17" i="6" s="1"/>
  <c r="J75" i="8" s="1"/>
  <c r="I15" i="9"/>
  <c r="M15" i="6" s="1"/>
  <c r="J65" i="8" s="1"/>
  <c r="I12" i="9"/>
  <c r="M12" i="6" s="1"/>
  <c r="J50" i="8" s="1"/>
  <c r="I6" i="9"/>
  <c r="M6" i="6" s="1"/>
  <c r="J20" i="8" s="1"/>
  <c r="I13" i="9"/>
  <c r="M13" i="6" s="1"/>
  <c r="J55" i="8" s="1"/>
  <c r="I5" i="9"/>
  <c r="M5" i="6" s="1"/>
  <c r="J15" i="8" s="1"/>
  <c r="I26" i="9"/>
  <c r="M26" i="6" s="1"/>
  <c r="J120" i="8" s="1"/>
  <c r="I10" i="9"/>
  <c r="M10" i="6" s="1"/>
  <c r="J40" i="8" s="1"/>
  <c r="I11" i="9"/>
  <c r="M11" i="6" s="1"/>
  <c r="J45" i="8" s="1"/>
  <c r="G23" i="9"/>
  <c r="H23" i="9" s="1"/>
  <c r="I23" i="9" s="1"/>
  <c r="M23" i="6" s="1"/>
  <c r="J105" i="8" s="1"/>
  <c r="M32" i="6"/>
  <c r="F29" i="9"/>
  <c r="G29" i="9" s="1"/>
  <c r="H29" i="9" s="1"/>
  <c r="F32" i="9"/>
  <c r="G32" i="9" s="1"/>
  <c r="H32" i="9" s="1"/>
  <c r="F31" i="9"/>
  <c r="F30" i="9"/>
  <c r="I28" i="9" l="1"/>
  <c r="M28" i="6" s="1"/>
  <c r="J130" i="8" s="1"/>
  <c r="I7" i="9"/>
  <c r="M7" i="6" s="1"/>
  <c r="J25" i="8" s="1"/>
  <c r="F22" i="9"/>
  <c r="G22" i="9" s="1"/>
  <c r="H22" i="9" s="1"/>
  <c r="F21" i="9"/>
  <c r="G21" i="9" s="1"/>
  <c r="H21" i="9" s="1"/>
  <c r="J155" i="8"/>
  <c r="J150" i="8"/>
  <c r="J160" i="8"/>
  <c r="G150" i="8"/>
  <c r="G160" i="8"/>
  <c r="G155" i="8"/>
  <c r="O23" i="6"/>
  <c r="L105" i="8" s="1"/>
  <c r="O26" i="6"/>
  <c r="L120" i="8" s="1"/>
  <c r="O17" i="6"/>
  <c r="L75" i="8" s="1"/>
  <c r="O25" i="6"/>
  <c r="L115" i="8" s="1"/>
  <c r="O20" i="6"/>
  <c r="L90" i="8" s="1"/>
  <c r="O19" i="6"/>
  <c r="L85" i="8" s="1"/>
  <c r="O32" i="6"/>
  <c r="O18" i="6"/>
  <c r="L80" i="8" s="1"/>
  <c r="O28" i="6"/>
  <c r="L130" i="8" s="1"/>
  <c r="O27" i="6"/>
  <c r="L125" i="8" s="1"/>
  <c r="O16" i="6"/>
  <c r="L70" i="8" s="1"/>
  <c r="O7" i="6"/>
  <c r="L25" i="8" s="1"/>
  <c r="O8" i="6"/>
  <c r="L30" i="8" s="1"/>
  <c r="O11" i="6"/>
  <c r="L45" i="8" s="1"/>
  <c r="O13" i="6"/>
  <c r="L55" i="8" s="1"/>
  <c r="O12" i="6"/>
  <c r="L50" i="8" s="1"/>
  <c r="O9" i="6"/>
  <c r="L35" i="8" s="1"/>
  <c r="O4" i="6"/>
  <c r="L10" i="8" s="1"/>
  <c r="O14" i="6"/>
  <c r="L60" i="8" s="1"/>
  <c r="O10" i="6"/>
  <c r="L40" i="8" s="1"/>
  <c r="O5" i="6"/>
  <c r="L15" i="8" s="1"/>
  <c r="O6" i="6"/>
  <c r="L20" i="8" s="1"/>
  <c r="O15" i="6"/>
  <c r="L65" i="8" s="1"/>
  <c r="I21" i="9"/>
  <c r="M21" i="6" s="1"/>
  <c r="J95" i="8" s="1"/>
  <c r="I24" i="9"/>
  <c r="M24" i="6" s="1"/>
  <c r="J110" i="8" s="1"/>
  <c r="I22" i="9"/>
  <c r="M22" i="6" s="1"/>
  <c r="J100" i="8" s="1"/>
  <c r="I29" i="9"/>
  <c r="I32" i="9"/>
  <c r="G30" i="9"/>
  <c r="H30" i="9" s="1"/>
  <c r="G31" i="9"/>
  <c r="H31" i="9" s="1"/>
  <c r="L155" i="8" l="1"/>
  <c r="L150" i="8"/>
  <c r="L160" i="8"/>
  <c r="O22" i="6"/>
  <c r="L100" i="8" s="1"/>
  <c r="O21" i="6"/>
  <c r="L95" i="8" s="1"/>
  <c r="P16" i="6"/>
  <c r="K67" i="8" s="1"/>
  <c r="P27" i="6"/>
  <c r="K122" i="8" s="1"/>
  <c r="P28" i="6"/>
  <c r="K127" i="8" s="1"/>
  <c r="P18" i="6"/>
  <c r="K77" i="8" s="1"/>
  <c r="O24" i="6"/>
  <c r="L110" i="8" s="1"/>
  <c r="P32" i="6"/>
  <c r="P19" i="6"/>
  <c r="K82" i="8" s="1"/>
  <c r="P20" i="6"/>
  <c r="K87" i="8" s="1"/>
  <c r="P25" i="6"/>
  <c r="K112" i="8" s="1"/>
  <c r="P17" i="6"/>
  <c r="K72" i="8" s="1"/>
  <c r="P26" i="6"/>
  <c r="K117" i="8" s="1"/>
  <c r="P23" i="6"/>
  <c r="K102" i="8" s="1"/>
  <c r="P15" i="6"/>
  <c r="K62" i="8" s="1"/>
  <c r="P6" i="6"/>
  <c r="K17" i="8" s="1"/>
  <c r="P5" i="6"/>
  <c r="K12" i="8" s="1"/>
  <c r="P10" i="6"/>
  <c r="K37" i="8" s="1"/>
  <c r="P14" i="6"/>
  <c r="K57" i="8" s="1"/>
  <c r="P4" i="6"/>
  <c r="K7" i="8" s="1"/>
  <c r="P9" i="6"/>
  <c r="K32" i="8" s="1"/>
  <c r="P12" i="6"/>
  <c r="K47" i="8" s="1"/>
  <c r="P13" i="6"/>
  <c r="K52" i="8" s="1"/>
  <c r="P11" i="6"/>
  <c r="K42" i="8" s="1"/>
  <c r="P8" i="6"/>
  <c r="K27" i="8" s="1"/>
  <c r="P7" i="6"/>
  <c r="K22" i="8" s="1"/>
  <c r="I31" i="9"/>
  <c r="I30" i="9"/>
  <c r="K152" i="8" l="1"/>
  <c r="K147" i="8"/>
  <c r="K157" i="8"/>
  <c r="P24" i="6"/>
  <c r="K107" i="8" s="1"/>
  <c r="P21" i="6"/>
  <c r="K92" i="8" s="1"/>
  <c r="P22" i="6"/>
  <c r="K97" i="8" s="1"/>
  <c r="J3" i="5"/>
  <c r="H3" i="6" s="1"/>
  <c r="E5" i="8" s="1"/>
  <c r="J3" i="6" l="1"/>
  <c r="G5" i="8" s="1"/>
  <c r="F3" i="9" l="1"/>
  <c r="G3" i="9" s="1"/>
  <c r="H3" i="9" s="1"/>
  <c r="I3" i="9" l="1"/>
  <c r="M3" i="6" s="1"/>
  <c r="J5" i="8" s="1"/>
  <c r="O3" i="6" l="1"/>
  <c r="L5" i="8" s="1"/>
  <c r="P3" i="6" l="1"/>
  <c r="K2" i="8" s="1"/>
</calcChain>
</file>

<file path=xl/sharedStrings.xml><?xml version="1.0" encoding="utf-8"?>
<sst xmlns="http://schemas.openxmlformats.org/spreadsheetml/2006/main" count="1343" uniqueCount="238">
  <si>
    <t>编号</t>
  </si>
  <si>
    <t>姓名</t>
  </si>
  <si>
    <t>001</t>
    <phoneticPr fontId="1" type="noConversion"/>
  </si>
  <si>
    <t>郑立媛</t>
  </si>
  <si>
    <t>002</t>
    <phoneticPr fontId="1" type="noConversion"/>
  </si>
  <si>
    <t>艾羽</t>
  </si>
  <si>
    <t>003</t>
  </si>
  <si>
    <t>章晔</t>
  </si>
  <si>
    <t>004</t>
  </si>
  <si>
    <t>钟文</t>
  </si>
  <si>
    <t>005</t>
  </si>
  <si>
    <t>朱安婷</t>
  </si>
  <si>
    <t>006</t>
  </si>
  <si>
    <t>钟武</t>
  </si>
  <si>
    <t>007</t>
  </si>
  <si>
    <t>梅香菱</t>
  </si>
  <si>
    <t>008</t>
  </si>
  <si>
    <t>李霞</t>
  </si>
  <si>
    <t>009</t>
  </si>
  <si>
    <t>苏海涛</t>
  </si>
  <si>
    <t>010</t>
  </si>
  <si>
    <t>喻可</t>
  </si>
  <si>
    <t>011</t>
  </si>
  <si>
    <t>苏曼</t>
  </si>
  <si>
    <t>012</t>
  </si>
  <si>
    <t>蒋苗苗</t>
  </si>
  <si>
    <t>013</t>
  </si>
  <si>
    <t>胡子强</t>
  </si>
  <si>
    <t>014</t>
  </si>
  <si>
    <t>刘玲燕</t>
  </si>
  <si>
    <t>015</t>
  </si>
  <si>
    <t>韩要荣</t>
  </si>
  <si>
    <t>016</t>
  </si>
  <si>
    <t>侯淑媛</t>
  </si>
  <si>
    <t>017</t>
  </si>
  <si>
    <t>孙丽萍</t>
  </si>
  <si>
    <t>018</t>
  </si>
  <si>
    <t>李平</t>
  </si>
  <si>
    <t>019</t>
  </si>
  <si>
    <t>020</t>
  </si>
  <si>
    <t>杨和平</t>
  </si>
  <si>
    <t>021</t>
  </si>
  <si>
    <t>张文轩</t>
  </si>
  <si>
    <t>022</t>
  </si>
  <si>
    <t>彭丽丽</t>
  </si>
  <si>
    <t>023</t>
  </si>
  <si>
    <t>韦余强</t>
  </si>
  <si>
    <t>024</t>
  </si>
  <si>
    <t>闫绍红</t>
  </si>
  <si>
    <t>025</t>
  </si>
  <si>
    <t>罗婷</t>
  </si>
  <si>
    <t>026</t>
  </si>
  <si>
    <t>杨增</t>
  </si>
  <si>
    <t>027</t>
  </si>
  <si>
    <t>王倩</t>
  </si>
  <si>
    <t>028</t>
  </si>
  <si>
    <t>姚磊</t>
  </si>
  <si>
    <t>029</t>
  </si>
  <si>
    <t>郑燕媚</t>
  </si>
  <si>
    <t>030</t>
  </si>
  <si>
    <t>洪新成</t>
  </si>
  <si>
    <t>所在部门</t>
  </si>
  <si>
    <t>所属职位</t>
  </si>
  <si>
    <t>销售部</t>
  </si>
  <si>
    <t>业务员</t>
  </si>
  <si>
    <t>财务部</t>
  </si>
  <si>
    <t>总监</t>
  </si>
  <si>
    <t>企划部</t>
  </si>
  <si>
    <t>员工</t>
  </si>
  <si>
    <t>部门经理</t>
  </si>
  <si>
    <t>网络安全部</t>
  </si>
  <si>
    <t>行政部</t>
  </si>
  <si>
    <t>部门副经理</t>
  </si>
  <si>
    <t>入职时间</t>
  </si>
  <si>
    <t>工龄</t>
  </si>
  <si>
    <t>基本工资</t>
    <phoneticPr fontId="1" type="noConversion"/>
  </si>
  <si>
    <t>工龄工资</t>
    <phoneticPr fontId="1" type="noConversion"/>
  </si>
  <si>
    <t>性别</t>
    <phoneticPr fontId="1" type="noConversion"/>
  </si>
  <si>
    <t>住房补贴</t>
    <phoneticPr fontId="2" type="noConversion"/>
  </si>
  <si>
    <t>伙食补贴</t>
    <phoneticPr fontId="2" type="noConversion"/>
  </si>
  <si>
    <t>女</t>
  </si>
  <si>
    <t>男</t>
  </si>
  <si>
    <t>基 本 工 资 管 理 表</t>
    <phoneticPr fontId="1" type="noConversion"/>
  </si>
  <si>
    <t>福 利 补 贴 管 理 表</t>
    <phoneticPr fontId="1" type="noConversion"/>
  </si>
  <si>
    <t>003</t>
    <phoneticPr fontId="1" type="noConversion"/>
  </si>
  <si>
    <t>004</t>
    <phoneticPr fontId="1" type="noConversion"/>
  </si>
  <si>
    <t>005</t>
    <phoneticPr fontId="1" type="noConversion"/>
  </si>
  <si>
    <t>006</t>
    <phoneticPr fontId="1" type="noConversion"/>
  </si>
  <si>
    <t>007</t>
    <phoneticPr fontId="1" type="noConversion"/>
  </si>
  <si>
    <t>008</t>
    <phoneticPr fontId="1" type="noConversion"/>
  </si>
  <si>
    <t>009</t>
    <phoneticPr fontId="1" type="noConversion"/>
  </si>
  <si>
    <t>010</t>
    <phoneticPr fontId="1" type="noConversion"/>
  </si>
  <si>
    <t>011</t>
    <phoneticPr fontId="1" type="noConversion"/>
  </si>
  <si>
    <t>012</t>
    <phoneticPr fontId="1" type="noConversion"/>
  </si>
  <si>
    <t>013</t>
    <phoneticPr fontId="1" type="noConversion"/>
  </si>
  <si>
    <t>014</t>
    <phoneticPr fontId="1" type="noConversion"/>
  </si>
  <si>
    <t>015</t>
    <phoneticPr fontId="1" type="noConversion"/>
  </si>
  <si>
    <t>016</t>
    <phoneticPr fontId="1" type="noConversion"/>
  </si>
  <si>
    <t>017</t>
    <phoneticPr fontId="1" type="noConversion"/>
  </si>
  <si>
    <t>018</t>
    <phoneticPr fontId="1" type="noConversion"/>
  </si>
  <si>
    <t>019</t>
    <phoneticPr fontId="1" type="noConversion"/>
  </si>
  <si>
    <t>020</t>
    <phoneticPr fontId="1" type="noConversion"/>
  </si>
  <si>
    <t>021</t>
    <phoneticPr fontId="1" type="noConversion"/>
  </si>
  <si>
    <t>022</t>
    <phoneticPr fontId="1" type="noConversion"/>
  </si>
  <si>
    <t>023</t>
    <phoneticPr fontId="1" type="noConversion"/>
  </si>
  <si>
    <t>024</t>
    <phoneticPr fontId="1" type="noConversion"/>
  </si>
  <si>
    <t>025</t>
    <phoneticPr fontId="1" type="noConversion"/>
  </si>
  <si>
    <t>026</t>
    <phoneticPr fontId="1" type="noConversion"/>
  </si>
  <si>
    <t>027</t>
    <phoneticPr fontId="1" type="noConversion"/>
  </si>
  <si>
    <t>028</t>
    <phoneticPr fontId="1" type="noConversion"/>
  </si>
  <si>
    <t>029</t>
    <phoneticPr fontId="1" type="noConversion"/>
  </si>
  <si>
    <t>030</t>
    <phoneticPr fontId="1" type="noConversion"/>
  </si>
  <si>
    <t>编号</t>
    <phoneticPr fontId="1" type="noConversion"/>
  </si>
  <si>
    <t>姓名</t>
    <phoneticPr fontId="1" type="noConversion"/>
  </si>
  <si>
    <t>拖延进度</t>
    <phoneticPr fontId="1" type="noConversion"/>
  </si>
  <si>
    <t>损坏公物</t>
    <phoneticPr fontId="1" type="noConversion"/>
  </si>
  <si>
    <t>002</t>
  </si>
  <si>
    <t>项目奖金</t>
    <phoneticPr fontId="1" type="noConversion"/>
  </si>
  <si>
    <t>提成或奖金</t>
    <phoneticPr fontId="1" type="noConversion"/>
  </si>
  <si>
    <t>罚款金额</t>
    <phoneticPr fontId="1" type="noConversion"/>
  </si>
  <si>
    <t>编号</t>
    <phoneticPr fontId="1" type="noConversion"/>
  </si>
  <si>
    <t>所属部门</t>
    <phoneticPr fontId="1" type="noConversion"/>
  </si>
  <si>
    <t>销售业绩</t>
    <phoneticPr fontId="1" type="noConversion"/>
  </si>
  <si>
    <t>奖励或罚款说明</t>
    <phoneticPr fontId="1" type="noConversion"/>
  </si>
  <si>
    <r>
      <rPr>
        <sz val="10"/>
        <color theme="1"/>
        <rFont val="宋体"/>
        <family val="3"/>
        <charset val="134"/>
      </rPr>
      <t>业绩</t>
    </r>
    <r>
      <rPr>
        <sz val="10"/>
        <color theme="1"/>
        <rFont val="GungsuhChe"/>
        <family val="3"/>
        <charset val="129"/>
      </rPr>
      <t>提成</t>
    </r>
    <phoneticPr fontId="1" type="noConversion"/>
  </si>
  <si>
    <r>
      <rPr>
        <sz val="10"/>
        <rFont val="宋体"/>
        <family val="3"/>
        <charset val="134"/>
      </rPr>
      <t>业绩提成、</t>
    </r>
    <r>
      <rPr>
        <sz val="10"/>
        <color rgb="FFFF0000"/>
        <rFont val="宋体"/>
        <family val="3"/>
        <charset val="134"/>
      </rPr>
      <t>损坏公物</t>
    </r>
    <phoneticPr fontId="1" type="noConversion"/>
  </si>
  <si>
    <r>
      <t>解</t>
    </r>
    <r>
      <rPr>
        <sz val="10"/>
        <color theme="1"/>
        <rFont val="宋体"/>
        <family val="3"/>
        <charset val="134"/>
      </rPr>
      <t>决</t>
    </r>
    <r>
      <rPr>
        <sz val="10"/>
        <color theme="1"/>
        <rFont val="GungsuhChe"/>
        <family val="3"/>
        <charset val="129"/>
      </rPr>
      <t>突</t>
    </r>
    <r>
      <rPr>
        <sz val="10"/>
        <color theme="1"/>
        <rFont val="宋体"/>
        <family val="3"/>
        <charset val="134"/>
      </rPr>
      <t>发事件</t>
    </r>
    <phoneticPr fontId="1" type="noConversion"/>
  </si>
  <si>
    <r>
      <t>表</t>
    </r>
    <r>
      <rPr>
        <sz val="10"/>
        <color theme="1"/>
        <rFont val="宋体"/>
        <family val="3"/>
        <charset val="134"/>
      </rPr>
      <t>现突出</t>
    </r>
    <phoneticPr fontId="1" type="noConversion"/>
  </si>
  <si>
    <t>本 月 奖 惩 管 理 表</t>
    <phoneticPr fontId="1" type="noConversion"/>
  </si>
  <si>
    <t>本月考勤统计分析</t>
    <phoneticPr fontId="1" type="noConversion"/>
  </si>
  <si>
    <t>病假：40元  事假：60元  迟到：20元  旷工：100元</t>
    <phoneticPr fontId="1" type="noConversion"/>
  </si>
  <si>
    <t>性别</t>
  </si>
  <si>
    <t>◇</t>
  </si>
  <si>
    <t>♀</t>
  </si>
  <si>
    <t>♂</t>
  </si>
  <si>
    <t>▲</t>
  </si>
  <si>
    <t>★</t>
  </si>
  <si>
    <t>本月加班费统计</t>
    <phoneticPr fontId="1" type="noConversion"/>
  </si>
  <si>
    <t>工作日加班(小时)</t>
    <phoneticPr fontId="2" type="noConversion"/>
  </si>
  <si>
    <t>节假日加班(天)</t>
    <phoneticPr fontId="2" type="noConversion"/>
  </si>
  <si>
    <t>工作日加班费</t>
    <phoneticPr fontId="2" type="noConversion"/>
  </si>
  <si>
    <t>节假日加班费</t>
    <phoneticPr fontId="2" type="noConversion"/>
  </si>
  <si>
    <t>001</t>
    <phoneticPr fontId="1" type="noConversion"/>
  </si>
  <si>
    <t>加班费合计</t>
    <phoneticPr fontId="2" type="noConversion"/>
  </si>
  <si>
    <t>编号</t>
    <phoneticPr fontId="1" type="noConversion"/>
  </si>
  <si>
    <t>姓名</t>
    <phoneticPr fontId="1" type="noConversion"/>
  </si>
  <si>
    <t>所属部门</t>
    <phoneticPr fontId="1" type="noConversion"/>
  </si>
  <si>
    <t>基本工资</t>
    <phoneticPr fontId="1" type="noConversion"/>
  </si>
  <si>
    <t>工龄工资</t>
    <phoneticPr fontId="1" type="noConversion"/>
  </si>
  <si>
    <t>提成或奖金</t>
    <phoneticPr fontId="1" type="noConversion"/>
  </si>
  <si>
    <t>加班工资</t>
    <phoneticPr fontId="1" type="noConversion"/>
  </si>
  <si>
    <t>满勤奖金</t>
    <phoneticPr fontId="1" type="noConversion"/>
  </si>
  <si>
    <t>请假迟到扣款</t>
    <phoneticPr fontId="1" type="noConversion"/>
  </si>
  <si>
    <t>保险\公积金扣款</t>
    <phoneticPr fontId="1" type="noConversion"/>
  </si>
  <si>
    <t>个人所得税</t>
    <phoneticPr fontId="1" type="noConversion"/>
  </si>
  <si>
    <t>其他扣款</t>
    <phoneticPr fontId="1" type="noConversion"/>
  </si>
  <si>
    <t>福利补贴</t>
    <phoneticPr fontId="1" type="noConversion"/>
  </si>
  <si>
    <t xml:space="preserve">应发合计 </t>
    <phoneticPr fontId="1" type="noConversion"/>
  </si>
  <si>
    <t>本 月 工 资 统 计 表</t>
    <phoneticPr fontId="1" type="noConversion"/>
  </si>
  <si>
    <t>实发工资</t>
    <phoneticPr fontId="1" type="noConversion"/>
  </si>
  <si>
    <t>应扣合计</t>
    <phoneticPr fontId="1" type="noConversion"/>
  </si>
  <si>
    <t>行标签</t>
  </si>
  <si>
    <t>总计</t>
  </si>
  <si>
    <t>应扣合计</t>
    <phoneticPr fontId="1" type="noConversion"/>
  </si>
  <si>
    <t>明细如下：</t>
    <phoneticPr fontId="1" type="noConversion"/>
  </si>
  <si>
    <t>部门</t>
    <phoneticPr fontId="1" type="noConversion"/>
  </si>
  <si>
    <t>实发工资</t>
    <phoneticPr fontId="1" type="noConversion"/>
  </si>
  <si>
    <t>出勤</t>
    <phoneticPr fontId="2" type="noConversion"/>
  </si>
  <si>
    <t>病假</t>
    <phoneticPr fontId="2" type="noConversion"/>
  </si>
  <si>
    <t>事假</t>
    <phoneticPr fontId="2" type="noConversion"/>
  </si>
  <si>
    <t>迟到</t>
    <phoneticPr fontId="2" type="noConversion"/>
  </si>
  <si>
    <t>旷工</t>
    <phoneticPr fontId="2" type="noConversion"/>
  </si>
  <si>
    <t>婚假</t>
    <phoneticPr fontId="2" type="noConversion"/>
  </si>
  <si>
    <t>产假</t>
    <phoneticPr fontId="1" type="noConversion"/>
  </si>
  <si>
    <t>年假</t>
    <phoneticPr fontId="1" type="noConversion"/>
  </si>
  <si>
    <t>出差</t>
    <phoneticPr fontId="2" type="noConversion"/>
  </si>
  <si>
    <t>实际工作天数</t>
    <phoneticPr fontId="1" type="noConversion"/>
  </si>
  <si>
    <t>满勤奖</t>
    <phoneticPr fontId="1" type="noConversion"/>
  </si>
  <si>
    <t>应扣工资</t>
    <phoneticPr fontId="1" type="noConversion"/>
  </si>
  <si>
    <t>√</t>
    <phoneticPr fontId="2" type="noConversion"/>
  </si>
  <si>
    <t>工作日加班：50/小时                         节假日加班：基本工资/工作日*2</t>
    <phoneticPr fontId="1" type="noConversion"/>
  </si>
  <si>
    <t>个 人 所 得 税 计 算 表</t>
    <phoneticPr fontId="1" type="noConversion"/>
  </si>
  <si>
    <t>应缴税所得额</t>
    <phoneticPr fontId="2" type="noConversion"/>
  </si>
  <si>
    <t>税率</t>
    <phoneticPr fontId="2" type="noConversion"/>
  </si>
  <si>
    <t>速算扣除数</t>
    <phoneticPr fontId="2" type="noConversion"/>
  </si>
  <si>
    <t>应缴所得税</t>
    <phoneticPr fontId="1" type="noConversion"/>
  </si>
  <si>
    <t>求和项:实发工资</t>
  </si>
  <si>
    <t>周保国</t>
  </si>
  <si>
    <t>王芬</t>
  </si>
  <si>
    <t>陈南</t>
  </si>
  <si>
    <t>吴军</t>
  </si>
  <si>
    <t>刘勇</t>
  </si>
  <si>
    <t>马梅</t>
  </si>
  <si>
    <t>吴小华</t>
  </si>
  <si>
    <t>杨静</t>
  </si>
  <si>
    <t>汪任</t>
  </si>
  <si>
    <t>张燕</t>
  </si>
  <si>
    <t>江雷</t>
  </si>
  <si>
    <t>韩学平</t>
  </si>
  <si>
    <t>周保国</t>
    <phoneticPr fontId="1" type="noConversion"/>
  </si>
  <si>
    <t>唐嫣</t>
  </si>
  <si>
    <t>唐嫣</t>
    <phoneticPr fontId="1" type="noConversion"/>
  </si>
  <si>
    <t>王华</t>
  </si>
  <si>
    <t>王华</t>
    <phoneticPr fontId="1" type="noConversion"/>
  </si>
  <si>
    <t>汪磊</t>
  </si>
  <si>
    <t>汪磊</t>
    <phoneticPr fontId="1" type="noConversion"/>
  </si>
  <si>
    <t>刘俊</t>
  </si>
  <si>
    <t>刘俊</t>
    <phoneticPr fontId="1" type="noConversion"/>
  </si>
  <si>
    <t>陈华</t>
  </si>
  <si>
    <t>陈华</t>
    <phoneticPr fontId="1" type="noConversion"/>
  </si>
  <si>
    <t>彭华</t>
  </si>
  <si>
    <t>彭华</t>
    <phoneticPr fontId="1" type="noConversion"/>
  </si>
  <si>
    <t>赵青</t>
  </si>
  <si>
    <t>赵青</t>
    <phoneticPr fontId="1" type="noConversion"/>
  </si>
  <si>
    <t>汪丽萍</t>
  </si>
  <si>
    <t>汪丽萍</t>
    <phoneticPr fontId="1" type="noConversion"/>
  </si>
  <si>
    <t>吴子</t>
  </si>
  <si>
    <t>吴子</t>
    <phoneticPr fontId="1" type="noConversion"/>
  </si>
  <si>
    <t>汪明明</t>
  </si>
  <si>
    <t>汪明明</t>
    <phoneticPr fontId="1" type="noConversion"/>
  </si>
  <si>
    <t>张学兴</t>
  </si>
  <si>
    <t>张学兴</t>
    <phoneticPr fontId="1" type="noConversion"/>
  </si>
  <si>
    <t>交通补贴</t>
    <phoneticPr fontId="1" type="noConversion"/>
  </si>
  <si>
    <t>合计金额</t>
    <phoneticPr fontId="1" type="noConversion"/>
  </si>
  <si>
    <t>王小波</t>
  </si>
  <si>
    <t>周涛</t>
  </si>
  <si>
    <t>王青</t>
  </si>
  <si>
    <t>周丽萍</t>
  </si>
  <si>
    <t>邓超</t>
  </si>
  <si>
    <t>何晓飞</t>
  </si>
  <si>
    <t>周江</t>
  </si>
  <si>
    <t>2013年5月份工资条</t>
    <phoneticPr fontId="1" type="noConversion"/>
  </si>
  <si>
    <r>
      <t>编号</t>
    </r>
    <r>
      <rPr>
        <sz val="11"/>
        <color theme="3" tint="-0.249977111117893"/>
        <rFont val="Forte"/>
        <family val="4"/>
      </rPr>
      <t/>
    </r>
    <phoneticPr fontId="1" type="noConversion"/>
  </si>
  <si>
    <t>031</t>
  </si>
  <si>
    <t>032</t>
  </si>
  <si>
    <t>⊙</t>
    <phoneticPr fontId="1" type="noConversion"/>
  </si>
  <si>
    <t>◎</t>
    <phoneticPr fontId="1" type="noConversion"/>
  </si>
  <si>
    <t>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</si>
</sst>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d"/>
    <numFmt numFmtId="177" formatCode="0.0_ "/>
  </numFmts>
  <fonts count="4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DotumChe"/>
      <family val="3"/>
      <charset val="129"/>
    </font>
    <font>
      <sz val="11"/>
      <color theme="1"/>
      <name val="宋体"/>
      <family val="3"/>
      <charset val="134"/>
      <scheme val="minor"/>
    </font>
    <font>
      <sz val="11"/>
      <color theme="1"/>
      <name val="新宋体"/>
      <family val="3"/>
      <charset val="134"/>
    </font>
    <font>
      <sz val="11"/>
      <color theme="1"/>
      <name val="Arial Unicode MS"/>
      <family val="2"/>
      <charset val="134"/>
    </font>
    <font>
      <sz val="10"/>
      <color theme="1"/>
      <name val="GungsuhChe"/>
      <family val="3"/>
      <charset val="129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FF0000"/>
      <name val="MingLiU"/>
      <family val="3"/>
      <charset val="136"/>
    </font>
    <font>
      <sz val="10"/>
      <name val="宋体"/>
      <family val="3"/>
      <charset val="134"/>
    </font>
    <font>
      <sz val="10.5"/>
      <color theme="1"/>
      <name val="DotumChe"/>
      <family val="3"/>
      <charset val="129"/>
    </font>
    <font>
      <sz val="10.5"/>
      <color theme="1"/>
      <name val="新宋体"/>
      <family val="3"/>
      <charset val="134"/>
    </font>
    <font>
      <sz val="10.5"/>
      <color theme="1"/>
      <name val="GungsuhChe"/>
      <family val="3"/>
      <charset val="129"/>
    </font>
    <font>
      <b/>
      <sz val="11"/>
      <color rgb="FF000000"/>
      <name val="微软雅黑"/>
      <family val="2"/>
      <charset val="134"/>
    </font>
    <font>
      <sz val="10"/>
      <color theme="1"/>
      <name val="Arial Unicode MS"/>
      <family val="2"/>
      <charset val="134"/>
    </font>
    <font>
      <sz val="10.5"/>
      <color theme="1"/>
      <name val="Dotum"/>
      <family val="2"/>
      <charset val="129"/>
    </font>
    <font>
      <sz val="11"/>
      <color theme="1"/>
      <name val="黑体"/>
      <family val="3"/>
      <charset val="134"/>
    </font>
    <font>
      <sz val="11"/>
      <color rgb="FF000000"/>
      <name val="华文细黑"/>
      <family val="3"/>
      <charset val="134"/>
    </font>
    <font>
      <b/>
      <u/>
      <sz val="11"/>
      <name val="黑体"/>
      <family val="3"/>
      <charset val="134"/>
    </font>
    <font>
      <b/>
      <sz val="10.5"/>
      <name val="Dotum"/>
      <family val="2"/>
      <charset val="129"/>
    </font>
    <font>
      <b/>
      <i/>
      <sz val="11"/>
      <name val="华文细黑"/>
      <family val="3"/>
      <charset val="134"/>
    </font>
    <font>
      <sz val="11"/>
      <color theme="3" tint="-0.249977111117893"/>
      <name val="Forte"/>
      <family val="4"/>
    </font>
    <font>
      <sz val="11"/>
      <color theme="3" tint="-0.249977111117893"/>
      <name val="宋体"/>
      <family val="2"/>
      <charset val="134"/>
      <scheme val="minor"/>
    </font>
    <font>
      <b/>
      <i/>
      <u/>
      <sz val="16"/>
      <color theme="1"/>
      <name val="华文细黑"/>
      <family val="3"/>
      <charset val="134"/>
    </font>
    <font>
      <sz val="10.5"/>
      <color theme="3" tint="-0.249977111117893"/>
      <name val="Arial Unicode MS"/>
      <family val="2"/>
      <charset val="134"/>
    </font>
    <font>
      <i/>
      <sz val="12"/>
      <color theme="3" tint="-0.249977111117893"/>
      <name val="汉仪楷体简"/>
      <family val="3"/>
      <charset val="134"/>
    </font>
    <font>
      <i/>
      <sz val="11"/>
      <name val="华文细黑"/>
      <family val="3"/>
      <charset val="134"/>
    </font>
    <font>
      <sz val="11"/>
      <color rgb="FF000000"/>
      <name val="宋体"/>
      <family val="3"/>
      <charset val="134"/>
      <scheme val="minor"/>
    </font>
    <font>
      <sz val="11"/>
      <color theme="1"/>
      <name val="Dotum"/>
      <family val="2"/>
      <charset val="129"/>
    </font>
    <font>
      <b/>
      <sz val="11"/>
      <color theme="0"/>
      <name val="幼圆"/>
      <family val="3"/>
      <charset val="134"/>
    </font>
    <font>
      <b/>
      <sz val="12"/>
      <color theme="0"/>
      <name val="幼圆"/>
      <family val="3"/>
      <charset val="134"/>
    </font>
    <font>
      <b/>
      <u/>
      <sz val="18"/>
      <color theme="3" tint="-0.249977111117893"/>
      <name val="黑体"/>
      <family val="3"/>
      <charset val="134"/>
    </font>
    <font>
      <sz val="11"/>
      <color theme="1"/>
      <name val="幼圆"/>
      <family val="3"/>
      <charset val="134"/>
    </font>
    <font>
      <b/>
      <sz val="18"/>
      <color theme="0"/>
      <name val="华文中宋"/>
      <family val="3"/>
      <charset val="134"/>
    </font>
    <font>
      <b/>
      <sz val="11"/>
      <color theme="0"/>
      <name val="黑体"/>
      <family val="3"/>
      <charset val="134"/>
    </font>
    <font>
      <sz val="11"/>
      <color theme="0"/>
      <name val="黑体"/>
      <family val="3"/>
      <charset val="134"/>
    </font>
    <font>
      <b/>
      <u/>
      <sz val="24"/>
      <color theme="3" tint="-0.249977111117893"/>
      <name val="黑体"/>
      <family val="3"/>
      <charset val="134"/>
    </font>
    <font>
      <b/>
      <i/>
      <sz val="11"/>
      <color theme="0"/>
      <name val="华文细黑"/>
      <family val="3"/>
      <charset val="134"/>
    </font>
    <font>
      <i/>
      <sz val="11"/>
      <color theme="0"/>
      <name val="黑体"/>
      <family val="3"/>
      <charset val="134"/>
    </font>
    <font>
      <b/>
      <i/>
      <u/>
      <sz val="11"/>
      <name val="黑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auto="1"/>
      </patternFill>
    </fill>
    <fill>
      <patternFill patternType="solid">
        <fgColor rgb="FFFFFF00"/>
        <bgColor rgb="FF000000"/>
      </patternFill>
    </fill>
    <fill>
      <patternFill patternType="solid">
        <fgColor rgb="FFFFFF99"/>
        <bgColor indexed="64"/>
      </patternFill>
    </fill>
    <fill>
      <patternFill patternType="solid">
        <fgColor theme="8"/>
        <bgColor theme="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auto="1"/>
      </patternFill>
    </fill>
    <fill>
      <patternFill patternType="darkGrid">
        <fgColor theme="0"/>
        <bgColor theme="9" tint="0.79998168889431442"/>
      </patternFill>
    </fill>
    <fill>
      <patternFill patternType="solid">
        <fgColor theme="5" tint="0.79998168889431442"/>
        <bgColor theme="0"/>
      </patternFill>
    </fill>
  </fills>
  <borders count="52">
    <border>
      <left/>
      <right/>
      <top/>
      <bottom/>
      <diagonal/>
    </border>
    <border>
      <left style="thin">
        <color theme="3" tint="-0.24994659260841701"/>
      </left>
      <right style="dashed">
        <color theme="3" tint="-0.24994659260841701"/>
      </right>
      <top style="medium">
        <color theme="3" tint="-0.24994659260841701"/>
      </top>
      <bottom style="dashed">
        <color theme="3" tint="-0.24994659260841701"/>
      </bottom>
      <diagonal/>
    </border>
    <border>
      <left style="dashed">
        <color theme="3" tint="-0.24994659260841701"/>
      </left>
      <right style="dashed">
        <color theme="3" tint="-0.24994659260841701"/>
      </right>
      <top style="medium">
        <color theme="3" tint="-0.24994659260841701"/>
      </top>
      <bottom style="dashed">
        <color theme="3" tint="-0.24994659260841701"/>
      </bottom>
      <diagonal/>
    </border>
    <border>
      <left style="dashed">
        <color theme="3" tint="-0.24994659260841701"/>
      </left>
      <right style="thin">
        <color theme="3" tint="-0.24994659260841701"/>
      </right>
      <top style="medium">
        <color theme="3" tint="-0.24994659260841701"/>
      </top>
      <bottom style="dashed">
        <color theme="3" tint="-0.24994659260841701"/>
      </bottom>
      <diagonal/>
    </border>
    <border>
      <left style="thin">
        <color theme="3" tint="-0.24994659260841701"/>
      </left>
      <right style="dashed">
        <color theme="3" tint="-0.24994659260841701"/>
      </right>
      <top style="dashed">
        <color theme="3" tint="-0.24994659260841701"/>
      </top>
      <bottom style="dashed">
        <color theme="3" tint="-0.24994659260841701"/>
      </bottom>
      <diagonal/>
    </border>
    <border>
      <left style="dashed">
        <color theme="3" tint="-0.24994659260841701"/>
      </left>
      <right style="dashed">
        <color theme="3" tint="-0.24994659260841701"/>
      </right>
      <top style="dashed">
        <color theme="3" tint="-0.24994659260841701"/>
      </top>
      <bottom style="dashed">
        <color theme="3" tint="-0.24994659260841701"/>
      </bottom>
      <diagonal/>
    </border>
    <border>
      <left style="dashed">
        <color theme="3" tint="-0.24994659260841701"/>
      </left>
      <right style="thin">
        <color theme="3" tint="-0.24994659260841701"/>
      </right>
      <top style="dashed">
        <color theme="3" tint="-0.24994659260841701"/>
      </top>
      <bottom style="dashed">
        <color theme="3" tint="-0.24994659260841701"/>
      </bottom>
      <diagonal/>
    </border>
    <border>
      <left style="thin">
        <color theme="3" tint="-0.24994659260841701"/>
      </left>
      <right style="dashed">
        <color theme="3" tint="-0.24994659260841701"/>
      </right>
      <top style="dashed">
        <color theme="3" tint="-0.24994659260841701"/>
      </top>
      <bottom style="thin">
        <color theme="3" tint="-0.24994659260841701"/>
      </bottom>
      <diagonal/>
    </border>
    <border>
      <left style="dashed">
        <color theme="3" tint="-0.24994659260841701"/>
      </left>
      <right style="dashed">
        <color theme="3" tint="-0.24994659260841701"/>
      </right>
      <top style="dashed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hair">
        <color theme="3" tint="-0.24994659260841701"/>
      </right>
      <top style="hair">
        <color theme="3" tint="-0.24994659260841701"/>
      </top>
      <bottom style="hair">
        <color theme="3" tint="-0.24994659260841701"/>
      </bottom>
      <diagonal/>
    </border>
    <border>
      <left style="hair">
        <color theme="3" tint="-0.24994659260841701"/>
      </left>
      <right style="hair">
        <color theme="3" tint="-0.24994659260841701"/>
      </right>
      <top style="hair">
        <color theme="3" tint="-0.24994659260841701"/>
      </top>
      <bottom style="hair">
        <color theme="3" tint="-0.24994659260841701"/>
      </bottom>
      <diagonal/>
    </border>
    <border>
      <left style="thin">
        <color theme="3" tint="-0.24994659260841701"/>
      </left>
      <right style="hair">
        <color theme="3" tint="-0.24994659260841701"/>
      </right>
      <top style="hair">
        <color theme="3" tint="-0.24994659260841701"/>
      </top>
      <bottom style="thin">
        <color theme="3" tint="-0.24994659260841701"/>
      </bottom>
      <diagonal/>
    </border>
    <border>
      <left style="hair">
        <color theme="3" tint="-0.24994659260841701"/>
      </left>
      <right style="hair">
        <color theme="3" tint="-0.24994659260841701"/>
      </right>
      <top style="hair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hair">
        <color theme="3" tint="-0.24994659260841701"/>
      </right>
      <top/>
      <bottom style="hair">
        <color theme="3" tint="-0.24994659260841701"/>
      </bottom>
      <diagonal/>
    </border>
    <border>
      <left style="hair">
        <color theme="3" tint="-0.24994659260841701"/>
      </left>
      <right style="hair">
        <color theme="3" tint="-0.24994659260841701"/>
      </right>
      <top/>
      <bottom style="hair">
        <color theme="3" tint="-0.24994659260841701"/>
      </bottom>
      <diagonal/>
    </border>
    <border>
      <left style="hair">
        <color theme="3" tint="-0.24994659260841701"/>
      </left>
      <right style="thin">
        <color theme="3" tint="-0.24994659260841701"/>
      </right>
      <top/>
      <bottom style="hair">
        <color theme="3" tint="-0.24994659260841701"/>
      </bottom>
      <diagonal/>
    </border>
    <border>
      <left style="thin">
        <color theme="3" tint="-0.24994659260841701"/>
      </left>
      <right style="hair">
        <color theme="3" tint="-0.24994659260841701"/>
      </right>
      <top style="medium">
        <color theme="3" tint="-0.24994659260841701"/>
      </top>
      <bottom style="thin">
        <color theme="3" tint="-0.24994659260841701"/>
      </bottom>
      <diagonal/>
    </border>
    <border>
      <left style="hair">
        <color theme="3" tint="-0.24994659260841701"/>
      </left>
      <right style="hair">
        <color theme="3" tint="-0.24994659260841701"/>
      </right>
      <top style="medium">
        <color theme="3" tint="-0.24994659260841701"/>
      </top>
      <bottom style="thin">
        <color theme="3" tint="-0.24994659260841701"/>
      </bottom>
      <diagonal/>
    </border>
    <border>
      <left style="hair">
        <color theme="3" tint="-0.24994659260841701"/>
      </left>
      <right style="thin">
        <color theme="3" tint="-0.24994659260841701"/>
      </right>
      <top style="medium">
        <color theme="3" tint="-0.24994659260841701"/>
      </top>
      <bottom style="thin">
        <color theme="3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double">
        <color rgb="FFE26B0A"/>
      </left>
      <right style="thin">
        <color rgb="FFE26B0A"/>
      </right>
      <top style="double">
        <color rgb="FFE26B0A"/>
      </top>
      <bottom style="thin">
        <color rgb="FFE26B0A"/>
      </bottom>
      <diagonal/>
    </border>
    <border>
      <left style="thin">
        <color rgb="FFE26B0A"/>
      </left>
      <right style="thin">
        <color rgb="FFE26B0A"/>
      </right>
      <top style="double">
        <color rgb="FFE26B0A"/>
      </top>
      <bottom style="thin">
        <color rgb="FFE26B0A"/>
      </bottom>
      <diagonal/>
    </border>
    <border>
      <left style="double">
        <color rgb="FFE26B0A"/>
      </left>
      <right style="thin">
        <color rgb="FFE26B0A"/>
      </right>
      <top style="thin">
        <color rgb="FFE26B0A"/>
      </top>
      <bottom style="double">
        <color rgb="FFE26B0A"/>
      </bottom>
      <diagonal/>
    </border>
    <border>
      <left style="thin">
        <color rgb="FFE26B0A"/>
      </left>
      <right style="thin">
        <color rgb="FFE26B0A"/>
      </right>
      <top style="thin">
        <color rgb="FFE26B0A"/>
      </top>
      <bottom style="double">
        <color rgb="FFE26B0A"/>
      </bottom>
      <diagonal/>
    </border>
    <border>
      <left style="double">
        <color rgb="FFE26B0A"/>
      </left>
      <right style="thin">
        <color rgb="FFE26B0A"/>
      </right>
      <top style="thin">
        <color rgb="FFE26B0A"/>
      </top>
      <bottom style="thin">
        <color rgb="FFE26B0A"/>
      </bottom>
      <diagonal/>
    </border>
    <border>
      <left style="thin">
        <color rgb="FFE26B0A"/>
      </left>
      <right style="thin">
        <color rgb="FFE26B0A"/>
      </right>
      <top style="thin">
        <color rgb="FFE26B0A"/>
      </top>
      <bottom style="thin">
        <color rgb="FFE26B0A"/>
      </bottom>
      <diagonal/>
    </border>
    <border>
      <left style="double">
        <color rgb="FFE26B0A"/>
      </left>
      <right style="dashed">
        <color rgb="FFE26B0A"/>
      </right>
      <top style="double">
        <color rgb="FFE26B0A"/>
      </top>
      <bottom style="double">
        <color rgb="FFE26B0A"/>
      </bottom>
      <diagonal/>
    </border>
    <border>
      <left style="dashed">
        <color rgb="FFE26B0A"/>
      </left>
      <right style="dashed">
        <color rgb="FFE26B0A"/>
      </right>
      <top style="double">
        <color rgb="FFE26B0A"/>
      </top>
      <bottom style="double">
        <color rgb="FFE26B0A"/>
      </bottom>
      <diagonal/>
    </border>
    <border>
      <left style="dashed">
        <color rgb="FFE26B0A"/>
      </left>
      <right style="double">
        <color rgb="FFE26B0A"/>
      </right>
      <top style="double">
        <color rgb="FFE26B0A"/>
      </top>
      <bottom style="double">
        <color rgb="FFE26B0A"/>
      </bottom>
      <diagonal/>
    </border>
    <border>
      <left/>
      <right/>
      <top/>
      <bottom style="double">
        <color rgb="FFE26B0A"/>
      </bottom>
      <diagonal/>
    </border>
    <border>
      <left style="dashed">
        <color rgb="FFE26B0A"/>
      </left>
      <right style="dashed">
        <color rgb="FFE26B0A"/>
      </right>
      <top/>
      <bottom style="dashed">
        <color rgb="FFE26B0A"/>
      </bottom>
      <diagonal/>
    </border>
    <border>
      <left style="thin">
        <color theme="4" tint="-0.24994659260841701"/>
      </left>
      <right style="thin">
        <color theme="4" tint="-0.24994659260841701"/>
      </right>
      <top style="double">
        <color theme="4" tint="-0.24994659260841701"/>
      </top>
      <bottom style="double">
        <color theme="4" tint="-0.24994659260841701"/>
      </bottom>
      <diagonal/>
    </border>
    <border>
      <left style="double">
        <color theme="4" tint="-0.24994659260841701"/>
      </left>
      <right style="thin">
        <color theme="4" tint="-0.24994659260841701"/>
      </right>
      <top style="double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double">
        <color theme="4" tint="-0.24994659260841701"/>
      </top>
      <bottom style="thin">
        <color theme="4" tint="-0.24994659260841701"/>
      </bottom>
      <diagonal/>
    </border>
    <border>
      <left style="double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 style="double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 style="double">
        <color theme="4" tint="-0.24994659260841701"/>
      </right>
      <top style="double">
        <color theme="4" tint="-0.24994659260841701"/>
      </top>
      <bottom style="double">
        <color theme="4" tint="-0.24994659260841701"/>
      </bottom>
      <diagonal/>
    </border>
    <border>
      <left style="thin">
        <color theme="4" tint="-0.24994659260841701"/>
      </left>
      <right style="double">
        <color theme="4" tint="-0.24994659260841701"/>
      </right>
      <top style="double">
        <color theme="4" tint="-0.24994659260841701"/>
      </top>
      <bottom style="thin">
        <color theme="4" tint="-0.24994659260841701"/>
      </bottom>
      <diagonal/>
    </border>
    <border>
      <left style="double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dashed">
        <color rgb="FFE26B0A"/>
      </left>
      <right style="thin">
        <color rgb="FFE26B0A"/>
      </right>
      <top style="double">
        <color rgb="FFE26B0A"/>
      </top>
      <bottom style="dashed">
        <color rgb="FFE26B0A"/>
      </bottom>
      <diagonal/>
    </border>
    <border>
      <left/>
      <right style="double">
        <color rgb="FFE26B0A"/>
      </right>
      <top/>
      <bottom style="dashed">
        <color rgb="FFE26B0A"/>
      </bottom>
      <diagonal/>
    </border>
    <border>
      <left style="dashed">
        <color rgb="FFE26B0A"/>
      </left>
      <right style="thin">
        <color rgb="FFE26B0A"/>
      </right>
      <top style="dashed">
        <color rgb="FFE26B0A"/>
      </top>
      <bottom style="dashed">
        <color rgb="FFE26B0A"/>
      </bottom>
      <diagonal/>
    </border>
    <border>
      <left style="double">
        <color theme="8"/>
      </left>
      <right style="thin">
        <color theme="8"/>
      </right>
      <top style="double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double">
        <color theme="8"/>
      </top>
      <bottom style="thin">
        <color theme="8"/>
      </bottom>
      <diagonal/>
    </border>
    <border>
      <left style="thin">
        <color theme="8"/>
      </left>
      <right style="double">
        <color theme="8"/>
      </right>
      <top style="double">
        <color theme="8"/>
      </top>
      <bottom style="thin">
        <color theme="8"/>
      </bottom>
      <diagonal/>
    </border>
    <border>
      <left style="double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double">
        <color theme="8"/>
      </right>
      <top style="thin">
        <color theme="8"/>
      </top>
      <bottom style="thin">
        <color theme="8"/>
      </bottom>
      <diagonal/>
    </border>
    <border>
      <left style="double">
        <color theme="8"/>
      </left>
      <right style="thin">
        <color theme="8"/>
      </right>
      <top style="thin">
        <color theme="8"/>
      </top>
      <bottom style="double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double">
        <color theme="8"/>
      </bottom>
      <diagonal/>
    </border>
    <border>
      <left style="thin">
        <color theme="8"/>
      </left>
      <right style="double">
        <color theme="8"/>
      </right>
      <top style="thin">
        <color theme="8"/>
      </top>
      <bottom style="double">
        <color theme="8"/>
      </bottom>
      <diagonal/>
    </border>
  </borders>
  <cellStyleXfs count="1">
    <xf numFmtId="0" fontId="0" fillId="0" borderId="0">
      <alignment vertical="center"/>
    </xf>
  </cellStyleXfs>
  <cellXfs count="105">
    <xf numFmtId="0" fontId="0" fillId="0" borderId="0" xfId="0">
      <alignment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  <xf numFmtId="0" fontId="3" fillId="0" borderId="8" xfId="0" applyNumberFormat="1" applyFont="1" applyBorder="1" applyAlignment="1">
      <alignment horizontal="center" vertical="center"/>
    </xf>
    <xf numFmtId="0" fontId="0" fillId="0" borderId="0" xfId="0" applyNumberFormat="1">
      <alignment vertical="center"/>
    </xf>
    <xf numFmtId="0" fontId="7" fillId="3" borderId="19" xfId="0" applyFont="1" applyFill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0" fontId="8" fillId="3" borderId="19" xfId="0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0" fontId="14" fillId="3" borderId="19" xfId="0" applyFont="1" applyFill="1" applyBorder="1" applyAlignment="1">
      <alignment horizontal="center" vertical="center"/>
    </xf>
    <xf numFmtId="0" fontId="15" fillId="5" borderId="26" xfId="0" applyFont="1" applyFill="1" applyBorder="1" applyAlignment="1">
      <alignment horizontal="center" vertical="center"/>
    </xf>
    <xf numFmtId="0" fontId="15" fillId="5" borderId="27" xfId="0" applyFont="1" applyFill="1" applyBorder="1" applyAlignment="1">
      <alignment horizontal="center" vertical="center"/>
    </xf>
    <xf numFmtId="176" fontId="18" fillId="0" borderId="27" xfId="0" applyNumberFormat="1" applyFont="1" applyBorder="1" applyAlignment="1">
      <alignment horizontal="center" vertical="center" wrapText="1"/>
    </xf>
    <xf numFmtId="0" fontId="18" fillId="0" borderId="28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/>
    </xf>
    <xf numFmtId="14" fontId="22" fillId="3" borderId="39" xfId="0" applyNumberFormat="1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0" fontId="22" fillId="3" borderId="39" xfId="0" applyNumberFormat="1" applyFont="1" applyFill="1" applyBorder="1" applyAlignment="1">
      <alignment horizontal="center" vertical="center" wrapText="1"/>
    </xf>
    <xf numFmtId="0" fontId="24" fillId="0" borderId="0" xfId="0" applyFont="1">
      <alignment vertical="center"/>
    </xf>
    <xf numFmtId="177" fontId="26" fillId="0" borderId="19" xfId="0" applyNumberFormat="1" applyFont="1" applyBorder="1" applyAlignment="1">
      <alignment horizontal="center" vertical="center"/>
    </xf>
    <xf numFmtId="0" fontId="27" fillId="0" borderId="0" xfId="0" applyFont="1" applyAlignment="1">
      <alignment vertical="center"/>
    </xf>
    <xf numFmtId="49" fontId="28" fillId="3" borderId="39" xfId="0" applyNumberFormat="1" applyFont="1" applyFill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177" fontId="26" fillId="0" borderId="0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31" fillId="7" borderId="1" xfId="0" applyFont="1" applyFill="1" applyBorder="1" applyAlignment="1">
      <alignment horizontal="center" vertical="center"/>
    </xf>
    <xf numFmtId="0" fontId="31" fillId="7" borderId="2" xfId="0" applyFont="1" applyFill="1" applyBorder="1" applyAlignment="1">
      <alignment horizontal="center" vertical="center"/>
    </xf>
    <xf numFmtId="14" fontId="32" fillId="7" borderId="2" xfId="0" applyNumberFormat="1" applyFont="1" applyFill="1" applyBorder="1" applyAlignment="1">
      <alignment horizontal="center" vertical="center" wrapText="1"/>
    </xf>
    <xf numFmtId="14" fontId="32" fillId="7" borderId="3" xfId="0" applyNumberFormat="1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16" fillId="0" borderId="44" xfId="0" applyFont="1" applyBorder="1" applyAlignment="1">
      <alignment horizontal="center" vertical="center" wrapText="1"/>
    </xf>
    <xf numFmtId="0" fontId="6" fillId="0" borderId="47" xfId="0" applyFont="1" applyBorder="1" applyAlignment="1">
      <alignment horizontal="center" vertical="center"/>
    </xf>
    <xf numFmtId="0" fontId="30" fillId="0" borderId="47" xfId="0" applyFont="1" applyBorder="1" applyAlignment="1">
      <alignment horizontal="center" vertical="center"/>
    </xf>
    <xf numFmtId="0" fontId="30" fillId="0" borderId="48" xfId="0" applyFont="1" applyBorder="1" applyAlignment="1">
      <alignment horizontal="center" vertical="center"/>
    </xf>
    <xf numFmtId="0" fontId="30" fillId="0" borderId="50" xfId="0" applyFont="1" applyBorder="1" applyAlignment="1">
      <alignment horizontal="center" vertical="center"/>
    </xf>
    <xf numFmtId="0" fontId="30" fillId="0" borderId="51" xfId="0" applyFont="1" applyBorder="1" applyAlignment="1">
      <alignment horizontal="center" vertical="center"/>
    </xf>
    <xf numFmtId="14" fontId="37" fillId="10" borderId="31" xfId="0" applyNumberFormat="1" applyFont="1" applyFill="1" applyBorder="1" applyAlignment="1">
      <alignment horizontal="center" vertical="center" wrapText="1"/>
    </xf>
    <xf numFmtId="14" fontId="20" fillId="11" borderId="31" xfId="0" applyNumberFormat="1" applyFont="1" applyFill="1" applyBorder="1" applyAlignment="1">
      <alignment horizontal="center" vertical="center" wrapText="1"/>
    </xf>
    <xf numFmtId="14" fontId="20" fillId="11" borderId="36" xfId="0" applyNumberFormat="1" applyFont="1" applyFill="1" applyBorder="1" applyAlignment="1">
      <alignment horizontal="center" vertical="center" wrapText="1"/>
    </xf>
    <xf numFmtId="0" fontId="31" fillId="9" borderId="16" xfId="0" applyFont="1" applyFill="1" applyBorder="1" applyAlignment="1">
      <alignment horizontal="center" vertical="center"/>
    </xf>
    <xf numFmtId="0" fontId="31" fillId="9" borderId="17" xfId="0" applyFont="1" applyFill="1" applyBorder="1" applyAlignment="1">
      <alignment horizontal="center" vertical="center"/>
    </xf>
    <xf numFmtId="0" fontId="31" fillId="9" borderId="18" xfId="0" applyFont="1" applyFill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49" fontId="3" fillId="0" borderId="4" xfId="0" applyNumberFormat="1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49" fontId="17" fillId="0" borderId="32" xfId="0" applyNumberFormat="1" applyFont="1" applyBorder="1" applyAlignment="1">
      <alignment horizontal="center" vertical="center"/>
    </xf>
    <xf numFmtId="0" fontId="17" fillId="0" borderId="33" xfId="0" applyFont="1" applyBorder="1" applyAlignment="1">
      <alignment horizontal="center" vertical="center"/>
    </xf>
    <xf numFmtId="0" fontId="21" fillId="11" borderId="33" xfId="0" applyFont="1" applyFill="1" applyBorder="1" applyAlignment="1">
      <alignment horizontal="center" vertical="center"/>
    </xf>
    <xf numFmtId="0" fontId="21" fillId="11" borderId="37" xfId="0" applyFont="1" applyFill="1" applyBorder="1" applyAlignment="1">
      <alignment horizontal="center" vertical="center"/>
    </xf>
    <xf numFmtId="49" fontId="17" fillId="0" borderId="34" xfId="0" applyNumberFormat="1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21" fillId="11" borderId="19" xfId="0" applyFont="1" applyFill="1" applyBorder="1" applyAlignment="1">
      <alignment horizontal="center" vertical="center"/>
    </xf>
    <xf numFmtId="0" fontId="21" fillId="11" borderId="3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14" fontId="39" fillId="10" borderId="38" xfId="0" applyNumberFormat="1" applyFont="1" applyFill="1" applyBorder="1" applyAlignment="1">
      <alignment horizontal="center" vertical="center" wrapText="1"/>
    </xf>
    <xf numFmtId="14" fontId="40" fillId="10" borderId="19" xfId="0" applyNumberFormat="1" applyFont="1" applyFill="1" applyBorder="1" applyAlignment="1">
      <alignment horizontal="center" vertical="center" wrapText="1"/>
    </xf>
    <xf numFmtId="14" fontId="41" fillId="12" borderId="19" xfId="0" applyNumberFormat="1" applyFont="1" applyFill="1" applyBorder="1" applyAlignment="1">
      <alignment horizontal="center" vertical="center" wrapText="1"/>
    </xf>
    <xf numFmtId="0" fontId="33" fillId="4" borderId="0" xfId="0" applyFont="1" applyFill="1" applyAlignment="1">
      <alignment horizontal="center" vertical="center"/>
    </xf>
    <xf numFmtId="0" fontId="15" fillId="5" borderId="43" xfId="0" applyFont="1" applyFill="1" applyBorder="1" applyAlignment="1">
      <alignment horizontal="center" vertical="center"/>
    </xf>
    <xf numFmtId="0" fontId="15" fillId="5" borderId="46" xfId="0" applyFont="1" applyFill="1" applyBorder="1" applyAlignment="1">
      <alignment horizontal="center" vertical="center"/>
    </xf>
    <xf numFmtId="0" fontId="35" fillId="7" borderId="0" xfId="0" applyFont="1" applyFill="1" applyBorder="1" applyAlignment="1">
      <alignment horizontal="center" vertical="center"/>
    </xf>
    <xf numFmtId="0" fontId="36" fillId="7" borderId="0" xfId="0" applyFont="1" applyFill="1" applyBorder="1" applyAlignment="1">
      <alignment horizontal="left" vertical="center" wrapText="1"/>
    </xf>
    <xf numFmtId="0" fontId="15" fillId="5" borderId="44" xfId="0" applyFont="1" applyFill="1" applyBorder="1" applyAlignment="1">
      <alignment horizontal="center" vertical="center"/>
    </xf>
    <xf numFmtId="0" fontId="15" fillId="5" borderId="47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 wrapText="1"/>
    </xf>
    <xf numFmtId="0" fontId="6" fillId="2" borderId="47" xfId="0" applyFont="1" applyFill="1" applyBorder="1" applyAlignment="1">
      <alignment horizontal="center" vertical="center" wrapText="1"/>
    </xf>
    <xf numFmtId="0" fontId="6" fillId="2" borderId="44" xfId="0" applyFont="1" applyFill="1" applyBorder="1" applyAlignment="1">
      <alignment horizontal="center" vertical="center"/>
    </xf>
    <xf numFmtId="0" fontId="6" fillId="2" borderId="47" xfId="0" applyFont="1" applyFill="1" applyBorder="1" applyAlignment="1">
      <alignment horizontal="center" vertical="center"/>
    </xf>
    <xf numFmtId="0" fontId="6" fillId="2" borderId="45" xfId="0" applyFont="1" applyFill="1" applyBorder="1" applyAlignment="1">
      <alignment horizontal="center" vertical="center"/>
    </xf>
    <xf numFmtId="0" fontId="6" fillId="2" borderId="48" xfId="0" applyFont="1" applyFill="1" applyBorder="1" applyAlignment="1">
      <alignment horizontal="center" vertical="center"/>
    </xf>
    <xf numFmtId="0" fontId="36" fillId="7" borderId="29" xfId="0" applyFont="1" applyFill="1" applyBorder="1" applyAlignment="1">
      <alignment horizontal="left" vertical="center" wrapText="1"/>
    </xf>
    <xf numFmtId="0" fontId="38" fillId="4" borderId="0" xfId="0" applyFont="1" applyFill="1" applyBorder="1" applyAlignment="1">
      <alignment horizontal="center" vertical="center"/>
    </xf>
    <xf numFmtId="0" fontId="25" fillId="0" borderId="0" xfId="0" applyFont="1" applyAlignment="1">
      <alignment horizontal="left" vertical="center"/>
    </xf>
    <xf numFmtId="49" fontId="12" fillId="0" borderId="19" xfId="0" applyNumberFormat="1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31" fillId="7" borderId="19" xfId="0" applyFont="1" applyFill="1" applyBorder="1" applyAlignment="1">
      <alignment horizontal="center" vertical="center"/>
    </xf>
    <xf numFmtId="0" fontId="34" fillId="8" borderId="19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0" fontId="29" fillId="0" borderId="47" xfId="0" applyFont="1" applyFill="1" applyBorder="1" applyAlignment="1">
      <alignment horizontal="center" vertical="center"/>
    </xf>
    <xf numFmtId="49" fontId="3" fillId="0" borderId="49" xfId="0" applyNumberFormat="1" applyFont="1" applyBorder="1" applyAlignment="1">
      <alignment horizontal="center" vertical="center"/>
    </xf>
    <xf numFmtId="0" fontId="29" fillId="0" borderId="50" xfId="0" applyFont="1" applyFill="1" applyBorder="1" applyAlignment="1">
      <alignment horizontal="center" vertical="center"/>
    </xf>
    <xf numFmtId="176" fontId="16" fillId="0" borderId="44" xfId="0" applyNumberFormat="1" applyFont="1" applyBorder="1" applyAlignment="1">
      <alignment horizontal="center" vertical="center" wrapText="1"/>
    </xf>
    <xf numFmtId="0" fontId="19" fillId="6" borderId="20" xfId="0" applyFont="1" applyFill="1" applyBorder="1" applyAlignment="1">
      <alignment horizontal="center" vertical="center"/>
    </xf>
    <xf numFmtId="0" fontId="19" fillId="6" borderId="21" xfId="0" applyFont="1" applyFill="1" applyBorder="1" applyAlignment="1">
      <alignment horizontal="center" vertical="center"/>
    </xf>
    <xf numFmtId="0" fontId="19" fillId="6" borderId="24" xfId="0" applyFont="1" applyFill="1" applyBorder="1" applyAlignment="1">
      <alignment horizontal="center" vertical="center"/>
    </xf>
    <xf numFmtId="0" fontId="19" fillId="6" borderId="25" xfId="0" applyFont="1" applyFill="1" applyBorder="1" applyAlignment="1">
      <alignment horizontal="center" vertical="center"/>
    </xf>
    <xf numFmtId="0" fontId="19" fillId="6" borderId="22" xfId="0" applyFont="1" applyFill="1" applyBorder="1" applyAlignment="1">
      <alignment horizontal="center" vertical="center"/>
    </xf>
    <xf numFmtId="0" fontId="19" fillId="6" borderId="2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66FF99"/>
      <color rgb="FF66FF33"/>
      <color rgb="FFFF66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[企业员工工资核算表.xlsx]Sheet1!数据透视表1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2013</a:t>
            </a:r>
            <a:r>
              <a:rPr lang="zh-CN"/>
              <a:t>年</a:t>
            </a:r>
            <a:r>
              <a:rPr lang="en-US"/>
              <a:t>4</a:t>
            </a:r>
            <a:r>
              <a:rPr lang="zh-CN"/>
              <a:t>月各部门工资显示</a:t>
            </a:r>
          </a:p>
        </c:rich>
      </c:tx>
      <c:layout>
        <c:manualLayout>
          <c:xMode val="edge"/>
          <c:yMode val="edge"/>
          <c:x val="0.19095844269466317"/>
          <c:y val="0.11472003499562555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汇总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Sheet1!$A$4:$A$9</c:f>
              <c:strCache>
                <c:ptCount val="5"/>
                <c:pt idx="0">
                  <c:v>财务部</c:v>
                </c:pt>
                <c:pt idx="1">
                  <c:v>企划部</c:v>
                </c:pt>
                <c:pt idx="2">
                  <c:v>网络安全部</c:v>
                </c:pt>
                <c:pt idx="3">
                  <c:v>销售部</c:v>
                </c:pt>
                <c:pt idx="4">
                  <c:v>行政部</c:v>
                </c:pt>
              </c:strCache>
            </c:strRef>
          </c:cat>
          <c:val>
            <c:numRef>
              <c:f>Sheet1!$B$4:$B$9</c:f>
              <c:numCache>
                <c:formatCode>General</c:formatCode>
                <c:ptCount val="5"/>
                <c:pt idx="0">
                  <c:v>8330.0500000000011</c:v>
                </c:pt>
                <c:pt idx="1">
                  <c:v>11541.82</c:v>
                </c:pt>
                <c:pt idx="2">
                  <c:v>16267.18</c:v>
                </c:pt>
                <c:pt idx="3">
                  <c:v>112897.21</c:v>
                </c:pt>
                <c:pt idx="4">
                  <c:v>11129.39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409920"/>
        <c:axId val="189419904"/>
      </c:barChart>
      <c:catAx>
        <c:axId val="189409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9419904"/>
        <c:crosses val="autoZero"/>
        <c:auto val="1"/>
        <c:lblAlgn val="ctr"/>
        <c:lblOffset val="100"/>
        <c:noMultiLvlLbl val="0"/>
      </c:catAx>
      <c:valAx>
        <c:axId val="1894199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9409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9</xdr:row>
      <xdr:rowOff>166687</xdr:rowOff>
    </xdr:from>
    <xdr:to>
      <xdr:col>10</xdr:col>
      <xdr:colOff>228600</xdr:colOff>
      <xdr:row>25</xdr:row>
      <xdr:rowOff>166687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0952.938811574073" createdVersion="4" refreshedVersion="4" minRefreshableVersion="3" recordCount="30">
  <cacheSource type="worksheet">
    <worksheetSource ref="A2:P32" sheet="工资统计表"/>
  </cacheSource>
  <cacheFields count="16">
    <cacheField name="编号" numFmtId="49">
      <sharedItems/>
    </cacheField>
    <cacheField name="姓名" numFmtId="0">
      <sharedItems count="30">
        <s v="郑立媛"/>
        <s v="艾羽"/>
        <s v="章晔"/>
        <s v="钟文"/>
        <s v="朱安婷"/>
        <s v="钟武"/>
        <s v="梅香菱"/>
        <s v="李霞"/>
        <s v="苏海涛"/>
        <s v="喻可"/>
        <s v="苏曼"/>
        <s v="蒋苗苗"/>
        <s v="胡子强"/>
        <s v="刘玲燕"/>
        <s v="韩要荣"/>
        <s v="侯淑媛"/>
        <s v="孙丽萍"/>
        <s v="李平"/>
        <s v="王保国"/>
        <s v="杨和平"/>
        <s v="张文轩"/>
        <s v="彭丽丽"/>
        <s v="韦余强"/>
        <s v="闫绍红"/>
        <s v="罗婷"/>
        <s v="杨增"/>
        <s v="王倩"/>
        <s v="姚磊"/>
        <s v="郑燕媚"/>
        <s v="洪新成"/>
      </sharedItems>
    </cacheField>
    <cacheField name="所属部门" numFmtId="0">
      <sharedItems count="5">
        <s v="销售部"/>
        <s v="财务部"/>
        <s v="企划部"/>
        <s v="网络安全部"/>
        <s v="行政部"/>
      </sharedItems>
    </cacheField>
    <cacheField name="基本工资" numFmtId="0">
      <sharedItems containsSemiMixedTypes="0" containsString="0" containsNumber="1" containsInteger="1" minValue="800" maxValue="3000"/>
    </cacheField>
    <cacheField name="工龄工资" numFmtId="0">
      <sharedItems containsSemiMixedTypes="0" containsString="0" containsNumber="1" containsInteger="1" minValue="0" maxValue="1100"/>
    </cacheField>
    <cacheField name="福利补贴" numFmtId="0">
      <sharedItems containsSemiMixedTypes="0" containsString="0" containsNumber="1" containsInteger="1" minValue="400" maxValue="800"/>
    </cacheField>
    <cacheField name="提成或奖金" numFmtId="0">
      <sharedItems containsMixedTypes="1" containsNumber="1" minValue="0" maxValue="26240" count="16">
        <n v="9603.2000000000007"/>
        <s v=""/>
        <n v="0"/>
        <n v="4480"/>
        <n v="23670.400000000001"/>
        <n v="200"/>
        <n v="2284.5"/>
        <n v="1000"/>
        <n v="1850"/>
        <n v="510"/>
        <n v="10032"/>
        <n v="17879.2"/>
        <n v="26240"/>
        <n v="500"/>
        <n v="16364.800000000001"/>
        <n v="369"/>
      </sharedItems>
    </cacheField>
    <cacheField name="加班工资" numFmtId="0">
      <sharedItems containsSemiMixedTypes="0" containsString="0" containsNumber="1" minValue="0" maxValue="879.55"/>
    </cacheField>
    <cacheField name="满勤奖金" numFmtId="0">
      <sharedItems containsSemiMixedTypes="0" containsString="0" containsNumber="1" containsInteger="1" minValue="0" maxValue="500"/>
    </cacheField>
    <cacheField name="应发合计 " numFmtId="0">
      <sharedItems containsSemiMixedTypes="0" containsString="0" containsNumber="1" minValue="2000" maxValue="30049.09"/>
    </cacheField>
    <cacheField name="请假迟到扣款" numFmtId="0">
      <sharedItems containsSemiMixedTypes="0" containsString="0" containsNumber="1" containsInteger="1" minValue="0" maxValue="280"/>
    </cacheField>
    <cacheField name="保险\公积金扣款" numFmtId="0">
      <sharedItems containsSemiMixedTypes="0" containsString="0" containsNumber="1" containsInteger="1" minValue="176" maxValue="792"/>
    </cacheField>
    <cacheField name="个人所得税" numFmtId="0">
      <sharedItems containsSemiMixedTypes="0" containsString="0" containsNumber="1" minValue="47.5" maxValue="5887.27"/>
    </cacheField>
    <cacheField name="其他扣款" numFmtId="0">
      <sharedItems containsMixedTypes="1" containsNumber="1" containsInteger="1" minValue="0" maxValue="200"/>
    </cacheField>
    <cacheField name="应扣合计" numFmtId="0">
      <sharedItems containsSemiMixedTypes="0" containsString="0" containsNumber="1" minValue="271.35000000000002" maxValue="6477.27"/>
    </cacheField>
    <cacheField name="实发工资" numFmtId="0">
      <sharedItems containsSemiMixedTypes="0" containsString="0" containsNumber="1" minValue="1375" maxValue="23571.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s v="001"/>
    <x v="0"/>
    <x v="0"/>
    <n v="800"/>
    <n v="600"/>
    <n v="800"/>
    <x v="0"/>
    <n v="445.45"/>
    <n v="0"/>
    <n v="12248.650000000001"/>
    <n v="60"/>
    <n v="308"/>
    <n v="1874.73"/>
    <n v="0"/>
    <n v="2242.73"/>
    <n v="10005.920000000002"/>
  </r>
  <r>
    <s v="002"/>
    <x v="1"/>
    <x v="1"/>
    <n v="2500"/>
    <n v="1100"/>
    <n v="500"/>
    <x v="1"/>
    <n v="577.27"/>
    <n v="500"/>
    <n v="5177.2700000000004"/>
    <n v="0"/>
    <n v="792"/>
    <n v="460.45"/>
    <s v=""/>
    <n v="1252.45"/>
    <n v="3924.8200000000006"/>
  </r>
  <r>
    <s v="003"/>
    <x v="2"/>
    <x v="2"/>
    <n v="1800"/>
    <n v="800"/>
    <n v="550"/>
    <x v="1"/>
    <n v="427.27"/>
    <n v="0"/>
    <n v="3577.27"/>
    <n v="60"/>
    <n v="572"/>
    <n v="261.58999999999997"/>
    <s v=""/>
    <n v="893.58999999999992"/>
    <n v="2683.6800000000003"/>
  </r>
  <r>
    <s v="004"/>
    <x v="3"/>
    <x v="2"/>
    <n v="2500"/>
    <n v="400"/>
    <n v="550"/>
    <x v="2"/>
    <n v="879.55"/>
    <n v="0"/>
    <n v="4329.55"/>
    <n v="20"/>
    <n v="638"/>
    <n v="374.43"/>
    <n v="200"/>
    <n v="1232.43"/>
    <n v="3097.12"/>
  </r>
  <r>
    <s v="005"/>
    <x v="4"/>
    <x v="3"/>
    <n v="2000"/>
    <n v="300"/>
    <n v="650"/>
    <x v="1"/>
    <n v="381.82"/>
    <n v="0"/>
    <n v="3331.82"/>
    <n v="180"/>
    <n v="506"/>
    <n v="224.77"/>
    <s v=""/>
    <n v="910.77"/>
    <n v="2421.0500000000002"/>
  </r>
  <r>
    <s v="006"/>
    <x v="5"/>
    <x v="0"/>
    <n v="800"/>
    <n v="0"/>
    <n v="700"/>
    <x v="3"/>
    <n v="0"/>
    <n v="500"/>
    <n v="6480"/>
    <n v="0"/>
    <n v="176"/>
    <n v="721"/>
    <n v="100"/>
    <n v="997"/>
    <n v="5483"/>
  </r>
  <r>
    <s v="007"/>
    <x v="6"/>
    <x v="3"/>
    <n v="3000"/>
    <n v="100"/>
    <n v="650"/>
    <x v="1"/>
    <n v="250"/>
    <n v="0"/>
    <n v="4000"/>
    <n v="160"/>
    <n v="682"/>
    <n v="325"/>
    <s v=""/>
    <n v="1167"/>
    <n v="2833"/>
  </r>
  <r>
    <s v="008"/>
    <x v="7"/>
    <x v="4"/>
    <n v="1500"/>
    <n v="0"/>
    <n v="500"/>
    <x v="1"/>
    <n v="509.09"/>
    <n v="0"/>
    <n v="2509.09"/>
    <n v="60"/>
    <n v="330"/>
    <n v="101.36"/>
    <s v=""/>
    <n v="491.36"/>
    <n v="2017.73"/>
  </r>
  <r>
    <s v="009"/>
    <x v="8"/>
    <x v="0"/>
    <n v="2200"/>
    <n v="600"/>
    <n v="700"/>
    <x v="4"/>
    <n v="0"/>
    <n v="500"/>
    <n v="27670.400000000001"/>
    <n v="0"/>
    <n v="616"/>
    <n v="5292.6"/>
    <n v="0"/>
    <n v="5908.6"/>
    <n v="21761.800000000003"/>
  </r>
  <r>
    <s v="010"/>
    <x v="9"/>
    <x v="1"/>
    <n v="1500"/>
    <n v="600"/>
    <n v="500"/>
    <x v="5"/>
    <n v="409.09"/>
    <n v="0"/>
    <n v="3209.09"/>
    <n v="140"/>
    <n v="462"/>
    <n v="206.36"/>
    <n v="0"/>
    <n v="808.36"/>
    <n v="2400.73"/>
  </r>
  <r>
    <s v="011"/>
    <x v="10"/>
    <x v="0"/>
    <n v="800"/>
    <n v="0"/>
    <n v="800"/>
    <x v="6"/>
    <n v="172.73000000000002"/>
    <n v="0"/>
    <n v="4057.23"/>
    <n v="220"/>
    <n v="176"/>
    <n v="333.58"/>
    <n v="0"/>
    <n v="729.57999999999993"/>
    <n v="3327.65"/>
  </r>
  <r>
    <s v="012"/>
    <x v="11"/>
    <x v="2"/>
    <n v="1800"/>
    <n v="500"/>
    <n v="650"/>
    <x v="7"/>
    <n v="338.64"/>
    <n v="0"/>
    <n v="4288.6400000000003"/>
    <n v="0"/>
    <n v="506"/>
    <n v="368.3"/>
    <n v="0"/>
    <n v="874.3"/>
    <n v="3414.34"/>
  </r>
  <r>
    <s v="013"/>
    <x v="12"/>
    <x v="0"/>
    <n v="800"/>
    <n v="500"/>
    <n v="700"/>
    <x v="8"/>
    <n v="247.73000000000002"/>
    <n v="0"/>
    <n v="4097.7299999999996"/>
    <n v="20"/>
    <n v="286"/>
    <n v="339.66"/>
    <n v="0"/>
    <n v="645.66000000000008"/>
    <n v="3452.0699999999997"/>
  </r>
  <r>
    <s v="014"/>
    <x v="13"/>
    <x v="4"/>
    <n v="1500"/>
    <n v="700"/>
    <n v="500"/>
    <x v="1"/>
    <n v="275"/>
    <n v="0"/>
    <n v="2975"/>
    <n v="60"/>
    <n v="484"/>
    <n v="171.25"/>
    <s v=""/>
    <n v="715.25"/>
    <n v="2259.75"/>
  </r>
  <r>
    <s v="015"/>
    <x v="14"/>
    <x v="3"/>
    <n v="2000"/>
    <n v="600"/>
    <n v="550"/>
    <x v="1"/>
    <n v="770.45"/>
    <n v="0"/>
    <n v="3920.45"/>
    <n v="60"/>
    <n v="572"/>
    <n v="313.07"/>
    <s v=""/>
    <n v="945.06999999999994"/>
    <n v="2975.38"/>
  </r>
  <r>
    <s v="016"/>
    <x v="15"/>
    <x v="0"/>
    <n v="800"/>
    <n v="500"/>
    <n v="800"/>
    <x v="9"/>
    <n v="72.73"/>
    <n v="0"/>
    <n v="2682.73"/>
    <n v="160"/>
    <n v="286"/>
    <n v="127.41"/>
    <n v="0"/>
    <n v="573.41"/>
    <n v="2109.3200000000002"/>
  </r>
  <r>
    <s v="017"/>
    <x v="16"/>
    <x v="4"/>
    <n v="1500"/>
    <n v="100"/>
    <n v="500"/>
    <x v="1"/>
    <n v="186.36"/>
    <n v="0"/>
    <n v="2286.36"/>
    <n v="280"/>
    <n v="352"/>
    <n v="67.95"/>
    <s v=""/>
    <n v="699.95"/>
    <n v="1586.41"/>
  </r>
  <r>
    <s v="018"/>
    <x v="17"/>
    <x v="4"/>
    <n v="1500"/>
    <n v="0"/>
    <n v="400"/>
    <x v="1"/>
    <n v="100"/>
    <n v="0"/>
    <n v="2000"/>
    <n v="220"/>
    <n v="330"/>
    <n v="75"/>
    <s v=""/>
    <n v="625"/>
    <n v="1375"/>
  </r>
  <r>
    <s v="019"/>
    <x v="18"/>
    <x v="0"/>
    <n v="800"/>
    <n v="0"/>
    <n v="700"/>
    <x v="10"/>
    <n v="50"/>
    <n v="500"/>
    <n v="12082"/>
    <n v="0"/>
    <n v="176"/>
    <n v="1841.4"/>
    <n v="0"/>
    <n v="2017.4"/>
    <n v="10064.6"/>
  </r>
  <r>
    <s v="020"/>
    <x v="19"/>
    <x v="3"/>
    <n v="2000"/>
    <n v="300"/>
    <n v="550"/>
    <x v="2"/>
    <n v="125"/>
    <n v="0"/>
    <n v="2975"/>
    <n v="160"/>
    <n v="506"/>
    <n v="171.25"/>
    <n v="160"/>
    <n v="997.25"/>
    <n v="1977.75"/>
  </r>
  <r>
    <s v="021"/>
    <x v="20"/>
    <x v="0"/>
    <n v="800"/>
    <n v="400"/>
    <n v="700"/>
    <x v="11"/>
    <n v="150"/>
    <n v="0"/>
    <n v="19929.2"/>
    <n v="120"/>
    <n v="264"/>
    <n v="3410.84"/>
    <n v="0"/>
    <n v="3794.84"/>
    <n v="16134.36"/>
  </r>
  <r>
    <s v="022"/>
    <x v="21"/>
    <x v="0"/>
    <n v="2300"/>
    <n v="200"/>
    <n v="800"/>
    <x v="12"/>
    <n v="509.09000000000003"/>
    <n v="0"/>
    <n v="30049.09"/>
    <n v="40"/>
    <n v="550"/>
    <n v="5887.27"/>
    <n v="0"/>
    <n v="6477.27"/>
    <n v="23571.82"/>
  </r>
  <r>
    <s v="023"/>
    <x v="22"/>
    <x v="2"/>
    <n v="1800"/>
    <n v="400"/>
    <n v="550"/>
    <x v="1"/>
    <n v="327.27"/>
    <n v="0"/>
    <n v="3077.27"/>
    <n v="60"/>
    <n v="484"/>
    <n v="186.59"/>
    <s v=""/>
    <n v="730.59"/>
    <n v="2346.6799999999998"/>
  </r>
  <r>
    <s v="024"/>
    <x v="23"/>
    <x v="1"/>
    <n v="1500"/>
    <n v="400"/>
    <n v="500"/>
    <x v="1"/>
    <n v="150"/>
    <n v="0"/>
    <n v="2550"/>
    <n v="20"/>
    <n v="418"/>
    <n v="107.5"/>
    <s v=""/>
    <n v="545.5"/>
    <n v="2004.5"/>
  </r>
  <r>
    <s v="025"/>
    <x v="24"/>
    <x v="3"/>
    <n v="2500"/>
    <n v="900"/>
    <n v="650"/>
    <x v="13"/>
    <n v="300"/>
    <n v="0"/>
    <n v="4850"/>
    <n v="60"/>
    <n v="748"/>
    <n v="452.5"/>
    <n v="0"/>
    <n v="1260.5"/>
    <n v="3589.5"/>
  </r>
  <r>
    <s v="026"/>
    <x v="25"/>
    <x v="0"/>
    <n v="800"/>
    <n v="0"/>
    <n v="800"/>
    <x v="14"/>
    <n v="147.73000000000002"/>
    <n v="0"/>
    <n v="18112.530000000002"/>
    <n v="100"/>
    <n v="176"/>
    <n v="3047.51"/>
    <n v="0"/>
    <n v="3323.51"/>
    <n v="14789.020000000002"/>
  </r>
  <r>
    <s v="027"/>
    <x v="26"/>
    <x v="3"/>
    <n v="2000"/>
    <n v="600"/>
    <n v="650"/>
    <x v="1"/>
    <n v="100"/>
    <n v="0"/>
    <n v="3350"/>
    <n v="80"/>
    <n v="572"/>
    <n v="227.5"/>
    <s v=""/>
    <n v="879.5"/>
    <n v="2470.5"/>
  </r>
  <r>
    <s v="028"/>
    <x v="27"/>
    <x v="4"/>
    <n v="1500"/>
    <n v="200"/>
    <n v="400"/>
    <x v="2"/>
    <n v="50"/>
    <n v="0"/>
    <n v="2150"/>
    <n v="60"/>
    <n v="374"/>
    <n v="47.5"/>
    <n v="80"/>
    <n v="561.5"/>
    <n v="1588.5"/>
  </r>
  <r>
    <s v="029"/>
    <x v="28"/>
    <x v="0"/>
    <n v="800"/>
    <n v="0"/>
    <n v="800"/>
    <x v="15"/>
    <n v="0"/>
    <n v="500"/>
    <n v="2469"/>
    <n v="0"/>
    <n v="176"/>
    <n v="95.35"/>
    <n v="0"/>
    <n v="271.35000000000002"/>
    <n v="2197.65"/>
  </r>
  <r>
    <s v="030"/>
    <x v="29"/>
    <x v="4"/>
    <n v="2200"/>
    <n v="200"/>
    <n v="500"/>
    <x v="1"/>
    <n v="200"/>
    <n v="0"/>
    <n v="3100"/>
    <n v="80"/>
    <n v="528"/>
    <n v="190"/>
    <s v=""/>
    <n v="798"/>
    <n v="23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chartFormat="1">
  <location ref="A3:B9" firstHeaderRow="1" firstDataRow="1" firstDataCol="1"/>
  <pivotFields count="16">
    <pivotField showAll="0"/>
    <pivotField showAll="0"/>
    <pivotField axis="axisRow" showAll="0">
      <items count="6">
        <item x="1"/>
        <item x="2"/>
        <item x="3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求和项:实发工资" fld="1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3"/>
  <sheetViews>
    <sheetView showGridLines="0" workbookViewId="0">
      <selection activeCell="L26" sqref="L26"/>
    </sheetView>
  </sheetViews>
  <sheetFormatPr defaultRowHeight="13.5"/>
  <cols>
    <col min="2" max="2" width="7.375" customWidth="1"/>
    <col min="3" max="3" width="10.75" customWidth="1"/>
    <col min="4" max="4" width="14.625" customWidth="1"/>
    <col min="5" max="5" width="12.625" customWidth="1"/>
    <col min="6" max="6" width="12.5" customWidth="1"/>
    <col min="7" max="7" width="7.75" customWidth="1"/>
    <col min="8" max="9" width="11.625" customWidth="1"/>
  </cols>
  <sheetData>
    <row r="1" spans="2:9" ht="33.75" customHeight="1" thickBot="1">
      <c r="B1" s="73" t="s">
        <v>82</v>
      </c>
      <c r="C1" s="73"/>
      <c r="D1" s="73"/>
      <c r="E1" s="73"/>
      <c r="F1" s="73"/>
      <c r="G1" s="73"/>
      <c r="H1" s="73"/>
      <c r="I1" s="73"/>
    </row>
    <row r="2" spans="2:9" ht="21" customHeight="1">
      <c r="B2" s="32" t="s">
        <v>0</v>
      </c>
      <c r="C2" s="33" t="s">
        <v>1</v>
      </c>
      <c r="D2" s="33" t="s">
        <v>61</v>
      </c>
      <c r="E2" s="33" t="s">
        <v>62</v>
      </c>
      <c r="F2" s="33" t="s">
        <v>73</v>
      </c>
      <c r="G2" s="33" t="s">
        <v>74</v>
      </c>
      <c r="H2" s="34" t="s">
        <v>75</v>
      </c>
      <c r="I2" s="35" t="s">
        <v>76</v>
      </c>
    </row>
    <row r="3" spans="2:9" ht="16.5">
      <c r="B3" s="51" t="s">
        <v>2</v>
      </c>
      <c r="C3" s="27" t="s">
        <v>224</v>
      </c>
      <c r="D3" s="27" t="s">
        <v>63</v>
      </c>
      <c r="E3" s="27" t="s">
        <v>64</v>
      </c>
      <c r="F3" s="52">
        <v>40969</v>
      </c>
      <c r="G3" s="3">
        <f t="shared" ref="G3:G32" ca="1" si="0">YEAR(TODAY())-YEAR(F3)</f>
        <v>1</v>
      </c>
      <c r="H3" s="1">
        <v>800</v>
      </c>
      <c r="I3" s="36">
        <f t="shared" ref="I3:I32" ca="1" si="1">IF(G3&lt;=2,0,(G3-2)*100)</f>
        <v>0</v>
      </c>
    </row>
    <row r="4" spans="2:9" ht="16.5">
      <c r="B4" s="51" t="s">
        <v>4</v>
      </c>
      <c r="C4" s="27" t="s">
        <v>225</v>
      </c>
      <c r="D4" s="53" t="s">
        <v>65</v>
      </c>
      <c r="E4" s="27" t="s">
        <v>66</v>
      </c>
      <c r="F4" s="52">
        <v>39858</v>
      </c>
      <c r="G4" s="3">
        <f t="shared" ca="1" si="0"/>
        <v>4</v>
      </c>
      <c r="H4" s="1">
        <v>2500</v>
      </c>
      <c r="I4" s="36">
        <f t="shared" ca="1" si="1"/>
        <v>200</v>
      </c>
    </row>
    <row r="5" spans="2:9" ht="16.5">
      <c r="B5" s="51" t="s">
        <v>6</v>
      </c>
      <c r="C5" s="27" t="s">
        <v>199</v>
      </c>
      <c r="D5" s="27" t="s">
        <v>67</v>
      </c>
      <c r="E5" s="27" t="s">
        <v>68</v>
      </c>
      <c r="F5" s="52">
        <v>40969</v>
      </c>
      <c r="G5" s="3">
        <f t="shared" ca="1" si="0"/>
        <v>1</v>
      </c>
      <c r="H5" s="1">
        <v>1800</v>
      </c>
      <c r="I5" s="36">
        <f t="shared" ca="1" si="1"/>
        <v>0</v>
      </c>
    </row>
    <row r="6" spans="2:9" ht="16.5">
      <c r="B6" s="51" t="s">
        <v>8</v>
      </c>
      <c r="C6" s="27" t="s">
        <v>188</v>
      </c>
      <c r="D6" s="27" t="s">
        <v>67</v>
      </c>
      <c r="E6" s="27" t="s">
        <v>69</v>
      </c>
      <c r="F6" s="52">
        <v>38777</v>
      </c>
      <c r="G6" s="3">
        <f t="shared" ca="1" si="0"/>
        <v>7</v>
      </c>
      <c r="H6" s="1">
        <v>2500</v>
      </c>
      <c r="I6" s="36">
        <f t="shared" ca="1" si="1"/>
        <v>500</v>
      </c>
    </row>
    <row r="7" spans="2:9" ht="16.5">
      <c r="B7" s="51" t="s">
        <v>10</v>
      </c>
      <c r="C7" s="27" t="s">
        <v>189</v>
      </c>
      <c r="D7" s="27" t="s">
        <v>70</v>
      </c>
      <c r="E7" s="27" t="s">
        <v>68</v>
      </c>
      <c r="F7" s="52">
        <v>39177</v>
      </c>
      <c r="G7" s="3">
        <f t="shared" ca="1" si="0"/>
        <v>6</v>
      </c>
      <c r="H7" s="1">
        <v>2000</v>
      </c>
      <c r="I7" s="36">
        <f t="shared" ca="1" si="1"/>
        <v>400</v>
      </c>
    </row>
    <row r="8" spans="2:9" ht="16.5">
      <c r="B8" s="51" t="s">
        <v>12</v>
      </c>
      <c r="C8" s="27" t="s">
        <v>190</v>
      </c>
      <c r="D8" s="27" t="s">
        <v>63</v>
      </c>
      <c r="E8" s="27" t="s">
        <v>64</v>
      </c>
      <c r="F8" s="52">
        <v>40282</v>
      </c>
      <c r="G8" s="3">
        <f t="shared" ca="1" si="0"/>
        <v>3</v>
      </c>
      <c r="H8" s="1">
        <v>800</v>
      </c>
      <c r="I8" s="36">
        <f t="shared" ca="1" si="1"/>
        <v>100</v>
      </c>
    </row>
    <row r="9" spans="2:9" ht="16.5">
      <c r="B9" s="51" t="s">
        <v>14</v>
      </c>
      <c r="C9" s="27" t="s">
        <v>226</v>
      </c>
      <c r="D9" s="27" t="s">
        <v>70</v>
      </c>
      <c r="E9" s="27" t="s">
        <v>69</v>
      </c>
      <c r="F9" s="52">
        <v>39186</v>
      </c>
      <c r="G9" s="3">
        <f t="shared" ca="1" si="0"/>
        <v>6</v>
      </c>
      <c r="H9" s="1">
        <v>3000</v>
      </c>
      <c r="I9" s="36">
        <f t="shared" ca="1" si="1"/>
        <v>400</v>
      </c>
    </row>
    <row r="10" spans="2:9" ht="16.5">
      <c r="B10" s="51" t="s">
        <v>16</v>
      </c>
      <c r="C10" s="27" t="s">
        <v>191</v>
      </c>
      <c r="D10" s="27" t="s">
        <v>71</v>
      </c>
      <c r="E10" s="27" t="s">
        <v>68</v>
      </c>
      <c r="F10" s="52">
        <v>40571</v>
      </c>
      <c r="G10" s="3">
        <f t="shared" ca="1" si="0"/>
        <v>2</v>
      </c>
      <c r="H10" s="1">
        <v>1500</v>
      </c>
      <c r="I10" s="36">
        <f t="shared" ca="1" si="1"/>
        <v>0</v>
      </c>
    </row>
    <row r="11" spans="2:9" ht="16.5">
      <c r="B11" s="51" t="s">
        <v>18</v>
      </c>
      <c r="C11" s="27" t="s">
        <v>192</v>
      </c>
      <c r="D11" s="27" t="s">
        <v>63</v>
      </c>
      <c r="E11" s="27" t="s">
        <v>69</v>
      </c>
      <c r="F11" s="52">
        <v>39115</v>
      </c>
      <c r="G11" s="3">
        <f t="shared" ca="1" si="0"/>
        <v>6</v>
      </c>
      <c r="H11" s="1">
        <v>2200</v>
      </c>
      <c r="I11" s="36">
        <f t="shared" ca="1" si="1"/>
        <v>400</v>
      </c>
    </row>
    <row r="12" spans="2:9" ht="16.5">
      <c r="B12" s="51" t="s">
        <v>20</v>
      </c>
      <c r="C12" s="27" t="s">
        <v>193</v>
      </c>
      <c r="D12" s="27" t="s">
        <v>65</v>
      </c>
      <c r="E12" s="27" t="s">
        <v>68</v>
      </c>
      <c r="F12" s="52">
        <v>38036</v>
      </c>
      <c r="G12" s="3">
        <f t="shared" ca="1" si="0"/>
        <v>9</v>
      </c>
      <c r="H12" s="1">
        <v>1500</v>
      </c>
      <c r="I12" s="36">
        <f t="shared" ca="1" si="1"/>
        <v>700</v>
      </c>
    </row>
    <row r="13" spans="2:9" ht="16.5">
      <c r="B13" s="51" t="s">
        <v>22</v>
      </c>
      <c r="C13" s="27" t="s">
        <v>201</v>
      </c>
      <c r="D13" s="27" t="s">
        <v>63</v>
      </c>
      <c r="E13" s="27" t="s">
        <v>64</v>
      </c>
      <c r="F13" s="52">
        <v>40640</v>
      </c>
      <c r="G13" s="3">
        <f t="shared" ca="1" si="0"/>
        <v>2</v>
      </c>
      <c r="H13" s="1">
        <v>800</v>
      </c>
      <c r="I13" s="36">
        <f t="shared" ca="1" si="1"/>
        <v>0</v>
      </c>
    </row>
    <row r="14" spans="2:9" ht="16.5">
      <c r="B14" s="51" t="s">
        <v>24</v>
      </c>
      <c r="C14" s="27" t="s">
        <v>227</v>
      </c>
      <c r="D14" s="27" t="s">
        <v>67</v>
      </c>
      <c r="E14" s="27" t="s">
        <v>68</v>
      </c>
      <c r="F14" s="52">
        <v>38403</v>
      </c>
      <c r="G14" s="3">
        <f t="shared" ca="1" si="0"/>
        <v>8</v>
      </c>
      <c r="H14" s="1">
        <v>1800</v>
      </c>
      <c r="I14" s="36">
        <f t="shared" ca="1" si="1"/>
        <v>600</v>
      </c>
    </row>
    <row r="15" spans="2:9" ht="16.5">
      <c r="B15" s="51" t="s">
        <v>26</v>
      </c>
      <c r="C15" s="27" t="s">
        <v>203</v>
      </c>
      <c r="D15" s="27" t="s">
        <v>63</v>
      </c>
      <c r="E15" s="27" t="s">
        <v>64</v>
      </c>
      <c r="F15" s="52">
        <v>38408</v>
      </c>
      <c r="G15" s="3">
        <f t="shared" ca="1" si="0"/>
        <v>8</v>
      </c>
      <c r="H15" s="1">
        <v>800</v>
      </c>
      <c r="I15" s="36">
        <f t="shared" ca="1" si="1"/>
        <v>600</v>
      </c>
    </row>
    <row r="16" spans="2:9" ht="16.5">
      <c r="B16" s="51" t="s">
        <v>28</v>
      </c>
      <c r="C16" s="27" t="s">
        <v>221</v>
      </c>
      <c r="D16" s="27" t="s">
        <v>71</v>
      </c>
      <c r="E16" s="27" t="s">
        <v>68</v>
      </c>
      <c r="F16" s="52">
        <v>37677</v>
      </c>
      <c r="G16" s="3">
        <f t="shared" ca="1" si="0"/>
        <v>10</v>
      </c>
      <c r="H16" s="1">
        <v>1500</v>
      </c>
      <c r="I16" s="36">
        <f t="shared" ca="1" si="1"/>
        <v>800</v>
      </c>
    </row>
    <row r="17" spans="2:9" ht="16.5">
      <c r="B17" s="51" t="s">
        <v>30</v>
      </c>
      <c r="C17" s="27" t="s">
        <v>205</v>
      </c>
      <c r="D17" s="27" t="s">
        <v>70</v>
      </c>
      <c r="E17" s="27" t="s">
        <v>68</v>
      </c>
      <c r="F17" s="52">
        <v>38225</v>
      </c>
      <c r="G17" s="3">
        <f t="shared" ca="1" si="0"/>
        <v>9</v>
      </c>
      <c r="H17" s="1">
        <v>2000</v>
      </c>
      <c r="I17" s="36">
        <f t="shared" ca="1" si="1"/>
        <v>700</v>
      </c>
    </row>
    <row r="18" spans="2:9" ht="16.5">
      <c r="B18" s="51" t="s">
        <v>32</v>
      </c>
      <c r="C18" s="27" t="s">
        <v>209</v>
      </c>
      <c r="D18" s="27" t="s">
        <v>63</v>
      </c>
      <c r="E18" s="27" t="s">
        <v>64</v>
      </c>
      <c r="F18" s="52">
        <v>38629</v>
      </c>
      <c r="G18" s="3">
        <f t="shared" ca="1" si="0"/>
        <v>8</v>
      </c>
      <c r="H18" s="1">
        <v>800</v>
      </c>
      <c r="I18" s="36">
        <f t="shared" ca="1" si="1"/>
        <v>600</v>
      </c>
    </row>
    <row r="19" spans="2:9" ht="16.5">
      <c r="B19" s="51" t="s">
        <v>34</v>
      </c>
      <c r="C19" s="27" t="s">
        <v>207</v>
      </c>
      <c r="D19" s="27" t="s">
        <v>71</v>
      </c>
      <c r="E19" s="27" t="s">
        <v>68</v>
      </c>
      <c r="F19" s="52">
        <v>40092</v>
      </c>
      <c r="G19" s="3">
        <f t="shared" ca="1" si="0"/>
        <v>4</v>
      </c>
      <c r="H19" s="1">
        <v>1500</v>
      </c>
      <c r="I19" s="36">
        <f t="shared" ca="1" si="1"/>
        <v>200</v>
      </c>
    </row>
    <row r="20" spans="2:9" ht="16.5">
      <c r="B20" s="51" t="s">
        <v>36</v>
      </c>
      <c r="C20" s="27" t="s">
        <v>228</v>
      </c>
      <c r="D20" s="27" t="s">
        <v>71</v>
      </c>
      <c r="E20" s="27" t="s">
        <v>68</v>
      </c>
      <c r="F20" s="52">
        <v>39487</v>
      </c>
      <c r="G20" s="3">
        <f t="shared" ca="1" si="0"/>
        <v>5</v>
      </c>
      <c r="H20" s="1">
        <v>1500</v>
      </c>
      <c r="I20" s="36">
        <f t="shared" ca="1" si="1"/>
        <v>300</v>
      </c>
    </row>
    <row r="21" spans="2:9" ht="16.5">
      <c r="B21" s="51" t="s">
        <v>38</v>
      </c>
      <c r="C21" s="27" t="s">
        <v>229</v>
      </c>
      <c r="D21" s="27" t="s">
        <v>63</v>
      </c>
      <c r="E21" s="27" t="s">
        <v>64</v>
      </c>
      <c r="F21" s="52">
        <v>40223</v>
      </c>
      <c r="G21" s="3">
        <f t="shared" ca="1" si="0"/>
        <v>3</v>
      </c>
      <c r="H21" s="1">
        <v>800</v>
      </c>
      <c r="I21" s="36">
        <f t="shared" ca="1" si="1"/>
        <v>100</v>
      </c>
    </row>
    <row r="22" spans="2:9" ht="16.5">
      <c r="B22" s="51" t="s">
        <v>39</v>
      </c>
      <c r="C22" s="27" t="s">
        <v>194</v>
      </c>
      <c r="D22" s="27" t="s">
        <v>70</v>
      </c>
      <c r="E22" s="27" t="s">
        <v>68</v>
      </c>
      <c r="F22" s="52">
        <v>39184</v>
      </c>
      <c r="G22" s="3">
        <f t="shared" ca="1" si="0"/>
        <v>6</v>
      </c>
      <c r="H22" s="1">
        <v>2000</v>
      </c>
      <c r="I22" s="36">
        <f t="shared" ca="1" si="1"/>
        <v>400</v>
      </c>
    </row>
    <row r="23" spans="2:9" ht="16.5">
      <c r="B23" s="51" t="s">
        <v>41</v>
      </c>
      <c r="C23" s="27" t="s">
        <v>195</v>
      </c>
      <c r="D23" s="27" t="s">
        <v>63</v>
      </c>
      <c r="E23" s="27" t="s">
        <v>64</v>
      </c>
      <c r="F23" s="52">
        <v>38862</v>
      </c>
      <c r="G23" s="3">
        <f t="shared" ca="1" si="0"/>
        <v>7</v>
      </c>
      <c r="H23" s="1">
        <v>800</v>
      </c>
      <c r="I23" s="36">
        <f t="shared" ca="1" si="1"/>
        <v>500</v>
      </c>
    </row>
    <row r="24" spans="2:9" ht="16.5">
      <c r="B24" s="51" t="s">
        <v>43</v>
      </c>
      <c r="C24" s="27" t="s">
        <v>196</v>
      </c>
      <c r="D24" s="27" t="s">
        <v>63</v>
      </c>
      <c r="E24" s="27" t="s">
        <v>69</v>
      </c>
      <c r="F24" s="52">
        <v>39608</v>
      </c>
      <c r="G24" s="3">
        <f t="shared" ca="1" si="0"/>
        <v>5</v>
      </c>
      <c r="H24" s="1">
        <v>2300</v>
      </c>
      <c r="I24" s="36">
        <f t="shared" ca="1" si="1"/>
        <v>300</v>
      </c>
    </row>
    <row r="25" spans="2:9" ht="16.5">
      <c r="B25" s="51" t="s">
        <v>45</v>
      </c>
      <c r="C25" s="27" t="s">
        <v>197</v>
      </c>
      <c r="D25" s="27" t="s">
        <v>67</v>
      </c>
      <c r="E25" s="27" t="s">
        <v>68</v>
      </c>
      <c r="F25" s="52">
        <v>38880</v>
      </c>
      <c r="G25" s="3">
        <f t="shared" ca="1" si="0"/>
        <v>7</v>
      </c>
      <c r="H25" s="1">
        <v>1800</v>
      </c>
      <c r="I25" s="36">
        <f t="shared" ca="1" si="1"/>
        <v>500</v>
      </c>
    </row>
    <row r="26" spans="2:9" ht="16.5">
      <c r="B26" s="51" t="s">
        <v>47</v>
      </c>
      <c r="C26" s="27" t="s">
        <v>211</v>
      </c>
      <c r="D26" s="27" t="s">
        <v>65</v>
      </c>
      <c r="E26" s="27" t="s">
        <v>68</v>
      </c>
      <c r="F26" s="52">
        <v>38884</v>
      </c>
      <c r="G26" s="3">
        <f t="shared" ca="1" si="0"/>
        <v>7</v>
      </c>
      <c r="H26" s="1">
        <v>1500</v>
      </c>
      <c r="I26" s="36">
        <f t="shared" ca="1" si="1"/>
        <v>500</v>
      </c>
    </row>
    <row r="27" spans="2:9" ht="16.5">
      <c r="B27" s="51" t="s">
        <v>49</v>
      </c>
      <c r="C27" s="27" t="s">
        <v>213</v>
      </c>
      <c r="D27" s="27" t="s">
        <v>70</v>
      </c>
      <c r="E27" s="27" t="s">
        <v>72</v>
      </c>
      <c r="F27" s="52">
        <v>37799</v>
      </c>
      <c r="G27" s="3">
        <f t="shared" ca="1" si="0"/>
        <v>10</v>
      </c>
      <c r="H27" s="1">
        <v>2500</v>
      </c>
      <c r="I27" s="36">
        <f t="shared" ca="1" si="1"/>
        <v>800</v>
      </c>
    </row>
    <row r="28" spans="2:9" ht="16.5">
      <c r="B28" s="51" t="s">
        <v>51</v>
      </c>
      <c r="C28" s="27" t="s">
        <v>215</v>
      </c>
      <c r="D28" s="27" t="s">
        <v>63</v>
      </c>
      <c r="E28" s="27" t="s">
        <v>64</v>
      </c>
      <c r="F28" s="52">
        <v>40731</v>
      </c>
      <c r="G28" s="3">
        <f t="shared" ca="1" si="0"/>
        <v>2</v>
      </c>
      <c r="H28" s="1">
        <v>800</v>
      </c>
      <c r="I28" s="36">
        <f t="shared" ca="1" si="1"/>
        <v>0</v>
      </c>
    </row>
    <row r="29" spans="2:9" ht="16.5">
      <c r="B29" s="51" t="s">
        <v>53</v>
      </c>
      <c r="C29" s="27" t="s">
        <v>230</v>
      </c>
      <c r="D29" s="27" t="s">
        <v>70</v>
      </c>
      <c r="E29" s="27" t="s">
        <v>68</v>
      </c>
      <c r="F29" s="52">
        <v>38181</v>
      </c>
      <c r="G29" s="3">
        <f t="shared" ca="1" si="0"/>
        <v>9</v>
      </c>
      <c r="H29" s="1">
        <v>2000</v>
      </c>
      <c r="I29" s="36">
        <f t="shared" ca="1" si="1"/>
        <v>700</v>
      </c>
    </row>
    <row r="30" spans="2:9" ht="16.5">
      <c r="B30" s="51" t="s">
        <v>55</v>
      </c>
      <c r="C30" s="27" t="s">
        <v>198</v>
      </c>
      <c r="D30" s="27" t="s">
        <v>71</v>
      </c>
      <c r="E30" s="27" t="s">
        <v>68</v>
      </c>
      <c r="F30" s="52">
        <v>39648</v>
      </c>
      <c r="G30" s="3">
        <f t="shared" ca="1" si="0"/>
        <v>5</v>
      </c>
      <c r="H30" s="1">
        <v>1500</v>
      </c>
      <c r="I30" s="36">
        <f t="shared" ca="1" si="1"/>
        <v>300</v>
      </c>
    </row>
    <row r="31" spans="2:9" ht="16.5">
      <c r="B31" s="51" t="s">
        <v>57</v>
      </c>
      <c r="C31" s="27" t="s">
        <v>217</v>
      </c>
      <c r="D31" s="27" t="s">
        <v>63</v>
      </c>
      <c r="E31" s="27" t="s">
        <v>64</v>
      </c>
      <c r="F31" s="52">
        <v>40759</v>
      </c>
      <c r="G31" s="3">
        <f t="shared" ca="1" si="0"/>
        <v>2</v>
      </c>
      <c r="H31" s="1">
        <v>800</v>
      </c>
      <c r="I31" s="36">
        <f t="shared" ca="1" si="1"/>
        <v>0</v>
      </c>
    </row>
    <row r="32" spans="2:9" ht="16.5">
      <c r="B32" s="54" t="s">
        <v>59</v>
      </c>
      <c r="C32" s="28" t="s">
        <v>219</v>
      </c>
      <c r="D32" s="28" t="s">
        <v>71</v>
      </c>
      <c r="E32" s="28" t="s">
        <v>69</v>
      </c>
      <c r="F32" s="55">
        <v>40029</v>
      </c>
      <c r="G32" s="4">
        <f t="shared" ca="1" si="0"/>
        <v>4</v>
      </c>
      <c r="H32" s="2">
        <v>2200</v>
      </c>
      <c r="I32" s="36">
        <f t="shared" ca="1" si="1"/>
        <v>200</v>
      </c>
    </row>
    <row r="33" spans="7:7">
      <c r="G33" s="5"/>
    </row>
  </sheetData>
  <sortState ref="B3:I32">
    <sortCondition ref="B8"/>
  </sortState>
  <mergeCells count="1">
    <mergeCell ref="B1:I1"/>
  </mergeCells>
  <phoneticPr fontId="1" type="noConversion"/>
  <dataValidations count="1">
    <dataValidation type="list" allowBlank="1" showInputMessage="1" showErrorMessage="1" prompt="请选择输入所在部门！" sqref="D3:D32">
      <formula1>"行政部,销售部,网络安全部,企化部,财务部"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2"/>
  <sheetViews>
    <sheetView showGridLines="0" workbookViewId="0">
      <selection activeCell="M25" sqref="M25"/>
    </sheetView>
  </sheetViews>
  <sheetFormatPr defaultRowHeight="13.5"/>
  <cols>
    <col min="2" max="2" width="8.375" customWidth="1"/>
    <col min="3" max="3" width="10" customWidth="1"/>
    <col min="4" max="4" width="6.875" customWidth="1"/>
    <col min="5" max="5" width="14.375" customWidth="1"/>
    <col min="6" max="6" width="11.375" customWidth="1"/>
    <col min="7" max="7" width="11.875" customWidth="1"/>
    <col min="8" max="8" width="11.25" customWidth="1"/>
    <col min="9" max="9" width="11.5" customWidth="1"/>
  </cols>
  <sheetData>
    <row r="1" spans="2:9" ht="36.75" customHeight="1" thickBot="1">
      <c r="B1" s="73" t="s">
        <v>83</v>
      </c>
      <c r="C1" s="73"/>
      <c r="D1" s="73"/>
      <c r="E1" s="73"/>
      <c r="F1" s="73"/>
      <c r="G1" s="73"/>
      <c r="H1" s="73"/>
      <c r="I1" s="73"/>
    </row>
    <row r="2" spans="2:9" ht="21.75" customHeight="1">
      <c r="B2" s="32" t="s">
        <v>0</v>
      </c>
      <c r="C2" s="33" t="s">
        <v>1</v>
      </c>
      <c r="D2" s="33" t="s">
        <v>77</v>
      </c>
      <c r="E2" s="33" t="s">
        <v>61</v>
      </c>
      <c r="F2" s="33" t="s">
        <v>78</v>
      </c>
      <c r="G2" s="33" t="s">
        <v>79</v>
      </c>
      <c r="H2" s="34" t="s">
        <v>222</v>
      </c>
      <c r="I2" s="35" t="s">
        <v>223</v>
      </c>
    </row>
    <row r="3" spans="2:9" ht="16.5">
      <c r="B3" s="65" t="s">
        <v>2</v>
      </c>
      <c r="C3" s="29" t="s">
        <v>224</v>
      </c>
      <c r="D3" s="29" t="s">
        <v>80</v>
      </c>
      <c r="E3" s="29" t="s">
        <v>63</v>
      </c>
      <c r="F3" s="66">
        <f t="shared" ref="F3:F32" si="0">IF(D3="女",300,200)</f>
        <v>300</v>
      </c>
      <c r="G3" s="66">
        <f t="shared" ref="G3:G32" si="1">IF(E3="销售部",200,IF(E3="企划部",150,IF(E3="网络安全部",150,IF(E3="行政部",100,100))))</f>
        <v>200</v>
      </c>
      <c r="H3" s="66">
        <f t="shared" ref="H3:H32" si="2">IF(E3="销售部",300,IF(E3="企划部",200,IF(E3="网络安全部",200,IF(E3="行政部",100,100))))</f>
        <v>300</v>
      </c>
      <c r="I3" s="67">
        <f t="shared" ref="I3:I32" si="3">SUM(F3:H3)</f>
        <v>800</v>
      </c>
    </row>
    <row r="4" spans="2:9" ht="16.5">
      <c r="B4" s="65" t="s">
        <v>116</v>
      </c>
      <c r="C4" s="30" t="s">
        <v>225</v>
      </c>
      <c r="D4" s="30" t="s">
        <v>80</v>
      </c>
      <c r="E4" s="30" t="s">
        <v>65</v>
      </c>
      <c r="F4" s="66">
        <f t="shared" si="0"/>
        <v>300</v>
      </c>
      <c r="G4" s="66">
        <f t="shared" si="1"/>
        <v>100</v>
      </c>
      <c r="H4" s="66">
        <f t="shared" si="2"/>
        <v>100</v>
      </c>
      <c r="I4" s="67">
        <f t="shared" si="3"/>
        <v>500</v>
      </c>
    </row>
    <row r="5" spans="2:9" ht="16.5">
      <c r="B5" s="68" t="s">
        <v>84</v>
      </c>
      <c r="C5" s="30" t="s">
        <v>187</v>
      </c>
      <c r="D5" s="30" t="s">
        <v>81</v>
      </c>
      <c r="E5" s="30" t="s">
        <v>67</v>
      </c>
      <c r="F5" s="66">
        <f t="shared" si="0"/>
        <v>200</v>
      </c>
      <c r="G5" s="66">
        <f t="shared" si="1"/>
        <v>150</v>
      </c>
      <c r="H5" s="66">
        <f t="shared" si="2"/>
        <v>200</v>
      </c>
      <c r="I5" s="67">
        <f t="shared" si="3"/>
        <v>550</v>
      </c>
    </row>
    <row r="6" spans="2:9" ht="16.5">
      <c r="B6" s="68" t="s">
        <v>85</v>
      </c>
      <c r="C6" s="30" t="s">
        <v>188</v>
      </c>
      <c r="D6" s="30" t="s">
        <v>81</v>
      </c>
      <c r="E6" s="30" t="s">
        <v>67</v>
      </c>
      <c r="F6" s="66">
        <f t="shared" si="0"/>
        <v>200</v>
      </c>
      <c r="G6" s="66">
        <f t="shared" si="1"/>
        <v>150</v>
      </c>
      <c r="H6" s="66">
        <f t="shared" si="2"/>
        <v>200</v>
      </c>
      <c r="I6" s="67">
        <f t="shared" si="3"/>
        <v>550</v>
      </c>
    </row>
    <row r="7" spans="2:9" ht="16.5">
      <c r="B7" s="68" t="s">
        <v>86</v>
      </c>
      <c r="C7" s="30" t="s">
        <v>189</v>
      </c>
      <c r="D7" s="30" t="s">
        <v>80</v>
      </c>
      <c r="E7" s="30" t="s">
        <v>70</v>
      </c>
      <c r="F7" s="66">
        <f t="shared" si="0"/>
        <v>300</v>
      </c>
      <c r="G7" s="66">
        <f t="shared" si="1"/>
        <v>150</v>
      </c>
      <c r="H7" s="66">
        <f t="shared" si="2"/>
        <v>200</v>
      </c>
      <c r="I7" s="67">
        <f t="shared" si="3"/>
        <v>650</v>
      </c>
    </row>
    <row r="8" spans="2:9" ht="16.5">
      <c r="B8" s="68" t="s">
        <v>87</v>
      </c>
      <c r="C8" s="30" t="s">
        <v>190</v>
      </c>
      <c r="D8" s="30" t="s">
        <v>81</v>
      </c>
      <c r="E8" s="30" t="s">
        <v>63</v>
      </c>
      <c r="F8" s="66">
        <f t="shared" si="0"/>
        <v>200</v>
      </c>
      <c r="G8" s="66">
        <f t="shared" si="1"/>
        <v>200</v>
      </c>
      <c r="H8" s="66">
        <f t="shared" si="2"/>
        <v>300</v>
      </c>
      <c r="I8" s="67">
        <f t="shared" si="3"/>
        <v>700</v>
      </c>
    </row>
    <row r="9" spans="2:9" ht="16.5">
      <c r="B9" s="68" t="s">
        <v>88</v>
      </c>
      <c r="C9" s="30" t="s">
        <v>226</v>
      </c>
      <c r="D9" s="30" t="s">
        <v>80</v>
      </c>
      <c r="E9" s="30" t="s">
        <v>70</v>
      </c>
      <c r="F9" s="66">
        <f t="shared" si="0"/>
        <v>300</v>
      </c>
      <c r="G9" s="66">
        <f t="shared" si="1"/>
        <v>150</v>
      </c>
      <c r="H9" s="66">
        <f t="shared" si="2"/>
        <v>200</v>
      </c>
      <c r="I9" s="67">
        <f t="shared" si="3"/>
        <v>650</v>
      </c>
    </row>
    <row r="10" spans="2:9" ht="16.5">
      <c r="B10" s="68" t="s">
        <v>89</v>
      </c>
      <c r="C10" s="30" t="s">
        <v>191</v>
      </c>
      <c r="D10" s="30" t="s">
        <v>80</v>
      </c>
      <c r="E10" s="30" t="s">
        <v>71</v>
      </c>
      <c r="F10" s="66">
        <f t="shared" si="0"/>
        <v>300</v>
      </c>
      <c r="G10" s="66">
        <f t="shared" si="1"/>
        <v>100</v>
      </c>
      <c r="H10" s="66">
        <f t="shared" si="2"/>
        <v>100</v>
      </c>
      <c r="I10" s="67">
        <f t="shared" si="3"/>
        <v>500</v>
      </c>
    </row>
    <row r="11" spans="2:9" ht="16.5">
      <c r="B11" s="68" t="s">
        <v>90</v>
      </c>
      <c r="C11" s="30" t="s">
        <v>192</v>
      </c>
      <c r="D11" s="30" t="s">
        <v>81</v>
      </c>
      <c r="E11" s="30" t="s">
        <v>63</v>
      </c>
      <c r="F11" s="66">
        <f t="shared" si="0"/>
        <v>200</v>
      </c>
      <c r="G11" s="66">
        <f t="shared" si="1"/>
        <v>200</v>
      </c>
      <c r="H11" s="66">
        <f t="shared" si="2"/>
        <v>300</v>
      </c>
      <c r="I11" s="67">
        <f t="shared" si="3"/>
        <v>700</v>
      </c>
    </row>
    <row r="12" spans="2:9" ht="16.5">
      <c r="B12" s="68" t="s">
        <v>91</v>
      </c>
      <c r="C12" s="30" t="s">
        <v>193</v>
      </c>
      <c r="D12" s="30" t="s">
        <v>80</v>
      </c>
      <c r="E12" s="30" t="s">
        <v>65</v>
      </c>
      <c r="F12" s="66">
        <f t="shared" si="0"/>
        <v>300</v>
      </c>
      <c r="G12" s="66">
        <f t="shared" si="1"/>
        <v>100</v>
      </c>
      <c r="H12" s="66">
        <f t="shared" si="2"/>
        <v>100</v>
      </c>
      <c r="I12" s="67">
        <f t="shared" si="3"/>
        <v>500</v>
      </c>
    </row>
    <row r="13" spans="2:9" ht="16.5">
      <c r="B13" s="68" t="s">
        <v>92</v>
      </c>
      <c r="C13" s="30" t="s">
        <v>200</v>
      </c>
      <c r="D13" s="30" t="s">
        <v>80</v>
      </c>
      <c r="E13" s="30" t="s">
        <v>63</v>
      </c>
      <c r="F13" s="66">
        <f t="shared" si="0"/>
        <v>300</v>
      </c>
      <c r="G13" s="66">
        <f t="shared" si="1"/>
        <v>200</v>
      </c>
      <c r="H13" s="66">
        <f t="shared" si="2"/>
        <v>300</v>
      </c>
      <c r="I13" s="67">
        <f t="shared" si="3"/>
        <v>800</v>
      </c>
    </row>
    <row r="14" spans="2:9" ht="16.5">
      <c r="B14" s="68" t="s">
        <v>93</v>
      </c>
      <c r="C14" s="30" t="s">
        <v>227</v>
      </c>
      <c r="D14" s="30" t="s">
        <v>80</v>
      </c>
      <c r="E14" s="30" t="s">
        <v>67</v>
      </c>
      <c r="F14" s="66">
        <f t="shared" si="0"/>
        <v>300</v>
      </c>
      <c r="G14" s="66">
        <f t="shared" si="1"/>
        <v>150</v>
      </c>
      <c r="H14" s="66">
        <f t="shared" si="2"/>
        <v>200</v>
      </c>
      <c r="I14" s="67">
        <f t="shared" si="3"/>
        <v>650</v>
      </c>
    </row>
    <row r="15" spans="2:9" ht="16.5">
      <c r="B15" s="68" t="s">
        <v>94</v>
      </c>
      <c r="C15" s="30" t="s">
        <v>202</v>
      </c>
      <c r="D15" s="30" t="s">
        <v>81</v>
      </c>
      <c r="E15" s="30" t="s">
        <v>63</v>
      </c>
      <c r="F15" s="66">
        <f t="shared" si="0"/>
        <v>200</v>
      </c>
      <c r="G15" s="66">
        <f t="shared" si="1"/>
        <v>200</v>
      </c>
      <c r="H15" s="66">
        <f t="shared" si="2"/>
        <v>300</v>
      </c>
      <c r="I15" s="67">
        <f t="shared" si="3"/>
        <v>700</v>
      </c>
    </row>
    <row r="16" spans="2:9" ht="16.5">
      <c r="B16" s="68" t="s">
        <v>95</v>
      </c>
      <c r="C16" s="30" t="s">
        <v>220</v>
      </c>
      <c r="D16" s="30" t="s">
        <v>80</v>
      </c>
      <c r="E16" s="30" t="s">
        <v>71</v>
      </c>
      <c r="F16" s="66">
        <f t="shared" si="0"/>
        <v>300</v>
      </c>
      <c r="G16" s="66">
        <f t="shared" si="1"/>
        <v>100</v>
      </c>
      <c r="H16" s="66">
        <f t="shared" si="2"/>
        <v>100</v>
      </c>
      <c r="I16" s="67">
        <f t="shared" si="3"/>
        <v>500</v>
      </c>
    </row>
    <row r="17" spans="2:9" ht="16.5">
      <c r="B17" s="68" t="s">
        <v>96</v>
      </c>
      <c r="C17" s="30" t="s">
        <v>204</v>
      </c>
      <c r="D17" s="30" t="s">
        <v>81</v>
      </c>
      <c r="E17" s="30" t="s">
        <v>70</v>
      </c>
      <c r="F17" s="66">
        <f t="shared" si="0"/>
        <v>200</v>
      </c>
      <c r="G17" s="66">
        <f t="shared" si="1"/>
        <v>150</v>
      </c>
      <c r="H17" s="66">
        <f t="shared" si="2"/>
        <v>200</v>
      </c>
      <c r="I17" s="67">
        <f t="shared" si="3"/>
        <v>550</v>
      </c>
    </row>
    <row r="18" spans="2:9" ht="16.5">
      <c r="B18" s="68" t="s">
        <v>97</v>
      </c>
      <c r="C18" s="30" t="s">
        <v>208</v>
      </c>
      <c r="D18" s="30" t="s">
        <v>80</v>
      </c>
      <c r="E18" s="30" t="s">
        <v>63</v>
      </c>
      <c r="F18" s="66">
        <f t="shared" si="0"/>
        <v>300</v>
      </c>
      <c r="G18" s="66">
        <f t="shared" si="1"/>
        <v>200</v>
      </c>
      <c r="H18" s="66">
        <f t="shared" si="2"/>
        <v>300</v>
      </c>
      <c r="I18" s="67">
        <f t="shared" si="3"/>
        <v>800</v>
      </c>
    </row>
    <row r="19" spans="2:9" ht="16.5">
      <c r="B19" s="68" t="s">
        <v>98</v>
      </c>
      <c r="C19" s="30" t="s">
        <v>206</v>
      </c>
      <c r="D19" s="30" t="s">
        <v>80</v>
      </c>
      <c r="E19" s="30" t="s">
        <v>71</v>
      </c>
      <c r="F19" s="66">
        <f t="shared" si="0"/>
        <v>300</v>
      </c>
      <c r="G19" s="66">
        <f t="shared" si="1"/>
        <v>100</v>
      </c>
      <c r="H19" s="66">
        <f t="shared" si="2"/>
        <v>100</v>
      </c>
      <c r="I19" s="67">
        <f t="shared" si="3"/>
        <v>500</v>
      </c>
    </row>
    <row r="20" spans="2:9" ht="16.5">
      <c r="B20" s="68" t="s">
        <v>99</v>
      </c>
      <c r="C20" s="30" t="s">
        <v>228</v>
      </c>
      <c r="D20" s="30" t="s">
        <v>81</v>
      </c>
      <c r="E20" s="30" t="s">
        <v>71</v>
      </c>
      <c r="F20" s="66">
        <f t="shared" si="0"/>
        <v>200</v>
      </c>
      <c r="G20" s="66">
        <f t="shared" si="1"/>
        <v>100</v>
      </c>
      <c r="H20" s="66">
        <f t="shared" si="2"/>
        <v>100</v>
      </c>
      <c r="I20" s="67">
        <f t="shared" si="3"/>
        <v>400</v>
      </c>
    </row>
    <row r="21" spans="2:9" ht="16.5">
      <c r="B21" s="68" t="s">
        <v>100</v>
      </c>
      <c r="C21" s="30" t="s">
        <v>229</v>
      </c>
      <c r="D21" s="30" t="s">
        <v>81</v>
      </c>
      <c r="E21" s="30" t="s">
        <v>63</v>
      </c>
      <c r="F21" s="66">
        <f t="shared" si="0"/>
        <v>200</v>
      </c>
      <c r="G21" s="66">
        <f t="shared" si="1"/>
        <v>200</v>
      </c>
      <c r="H21" s="66">
        <f t="shared" si="2"/>
        <v>300</v>
      </c>
      <c r="I21" s="67">
        <f t="shared" si="3"/>
        <v>700</v>
      </c>
    </row>
    <row r="22" spans="2:9" ht="16.5">
      <c r="B22" s="68" t="s">
        <v>101</v>
      </c>
      <c r="C22" s="30" t="s">
        <v>194</v>
      </c>
      <c r="D22" s="30" t="s">
        <v>81</v>
      </c>
      <c r="E22" s="30" t="s">
        <v>70</v>
      </c>
      <c r="F22" s="66">
        <f t="shared" si="0"/>
        <v>200</v>
      </c>
      <c r="G22" s="66">
        <f t="shared" si="1"/>
        <v>150</v>
      </c>
      <c r="H22" s="66">
        <f t="shared" si="2"/>
        <v>200</v>
      </c>
      <c r="I22" s="67">
        <f t="shared" si="3"/>
        <v>550</v>
      </c>
    </row>
    <row r="23" spans="2:9" ht="16.5">
      <c r="B23" s="68" t="s">
        <v>102</v>
      </c>
      <c r="C23" s="30" t="s">
        <v>195</v>
      </c>
      <c r="D23" s="30" t="s">
        <v>81</v>
      </c>
      <c r="E23" s="30" t="s">
        <v>63</v>
      </c>
      <c r="F23" s="66">
        <f t="shared" si="0"/>
        <v>200</v>
      </c>
      <c r="G23" s="66">
        <f t="shared" si="1"/>
        <v>200</v>
      </c>
      <c r="H23" s="66">
        <f t="shared" si="2"/>
        <v>300</v>
      </c>
      <c r="I23" s="67">
        <f t="shared" si="3"/>
        <v>700</v>
      </c>
    </row>
    <row r="24" spans="2:9" ht="16.5">
      <c r="B24" s="68" t="s">
        <v>103</v>
      </c>
      <c r="C24" s="30" t="s">
        <v>196</v>
      </c>
      <c r="D24" s="30" t="s">
        <v>80</v>
      </c>
      <c r="E24" s="30" t="s">
        <v>63</v>
      </c>
      <c r="F24" s="66">
        <f t="shared" si="0"/>
        <v>300</v>
      </c>
      <c r="G24" s="66">
        <f t="shared" si="1"/>
        <v>200</v>
      </c>
      <c r="H24" s="66">
        <f t="shared" si="2"/>
        <v>300</v>
      </c>
      <c r="I24" s="67">
        <f t="shared" si="3"/>
        <v>800</v>
      </c>
    </row>
    <row r="25" spans="2:9" ht="16.5">
      <c r="B25" s="68" t="s">
        <v>104</v>
      </c>
      <c r="C25" s="30" t="s">
        <v>197</v>
      </c>
      <c r="D25" s="30" t="s">
        <v>81</v>
      </c>
      <c r="E25" s="30" t="s">
        <v>67</v>
      </c>
      <c r="F25" s="66">
        <f t="shared" si="0"/>
        <v>200</v>
      </c>
      <c r="G25" s="66">
        <f t="shared" si="1"/>
        <v>150</v>
      </c>
      <c r="H25" s="66">
        <f t="shared" si="2"/>
        <v>200</v>
      </c>
      <c r="I25" s="67">
        <f t="shared" si="3"/>
        <v>550</v>
      </c>
    </row>
    <row r="26" spans="2:9" ht="16.5">
      <c r="B26" s="68" t="s">
        <v>105</v>
      </c>
      <c r="C26" s="30" t="s">
        <v>210</v>
      </c>
      <c r="D26" s="30" t="s">
        <v>80</v>
      </c>
      <c r="E26" s="30" t="s">
        <v>65</v>
      </c>
      <c r="F26" s="66">
        <f t="shared" si="0"/>
        <v>300</v>
      </c>
      <c r="G26" s="66">
        <f t="shared" si="1"/>
        <v>100</v>
      </c>
      <c r="H26" s="66">
        <f t="shared" si="2"/>
        <v>100</v>
      </c>
      <c r="I26" s="67">
        <f t="shared" si="3"/>
        <v>500</v>
      </c>
    </row>
    <row r="27" spans="2:9" ht="16.5">
      <c r="B27" s="68" t="s">
        <v>106</v>
      </c>
      <c r="C27" s="30" t="s">
        <v>212</v>
      </c>
      <c r="D27" s="30" t="s">
        <v>80</v>
      </c>
      <c r="E27" s="30" t="s">
        <v>70</v>
      </c>
      <c r="F27" s="66">
        <f t="shared" si="0"/>
        <v>300</v>
      </c>
      <c r="G27" s="66">
        <f t="shared" si="1"/>
        <v>150</v>
      </c>
      <c r="H27" s="66">
        <f t="shared" si="2"/>
        <v>200</v>
      </c>
      <c r="I27" s="67">
        <f t="shared" si="3"/>
        <v>650</v>
      </c>
    </row>
    <row r="28" spans="2:9" ht="16.5">
      <c r="B28" s="68" t="s">
        <v>107</v>
      </c>
      <c r="C28" s="30" t="s">
        <v>214</v>
      </c>
      <c r="D28" s="30" t="s">
        <v>80</v>
      </c>
      <c r="E28" s="30" t="s">
        <v>63</v>
      </c>
      <c r="F28" s="66">
        <f t="shared" si="0"/>
        <v>300</v>
      </c>
      <c r="G28" s="66">
        <f t="shared" si="1"/>
        <v>200</v>
      </c>
      <c r="H28" s="66">
        <f t="shared" si="2"/>
        <v>300</v>
      </c>
      <c r="I28" s="67">
        <f t="shared" si="3"/>
        <v>800</v>
      </c>
    </row>
    <row r="29" spans="2:9" ht="16.5">
      <c r="B29" s="68" t="s">
        <v>108</v>
      </c>
      <c r="C29" s="30" t="s">
        <v>230</v>
      </c>
      <c r="D29" s="30" t="s">
        <v>80</v>
      </c>
      <c r="E29" s="30" t="s">
        <v>70</v>
      </c>
      <c r="F29" s="66">
        <f t="shared" si="0"/>
        <v>300</v>
      </c>
      <c r="G29" s="66">
        <f t="shared" si="1"/>
        <v>150</v>
      </c>
      <c r="H29" s="66">
        <f t="shared" si="2"/>
        <v>200</v>
      </c>
      <c r="I29" s="67">
        <f t="shared" si="3"/>
        <v>650</v>
      </c>
    </row>
    <row r="30" spans="2:9" ht="16.5">
      <c r="B30" s="68" t="s">
        <v>109</v>
      </c>
      <c r="C30" s="30" t="s">
        <v>198</v>
      </c>
      <c r="D30" s="30" t="s">
        <v>81</v>
      </c>
      <c r="E30" s="30" t="s">
        <v>71</v>
      </c>
      <c r="F30" s="66">
        <f t="shared" si="0"/>
        <v>200</v>
      </c>
      <c r="G30" s="66">
        <f t="shared" si="1"/>
        <v>100</v>
      </c>
      <c r="H30" s="66">
        <f t="shared" si="2"/>
        <v>100</v>
      </c>
      <c r="I30" s="67">
        <f t="shared" si="3"/>
        <v>400</v>
      </c>
    </row>
    <row r="31" spans="2:9" ht="16.5">
      <c r="B31" s="68" t="s">
        <v>110</v>
      </c>
      <c r="C31" s="30" t="s">
        <v>216</v>
      </c>
      <c r="D31" s="30" t="s">
        <v>80</v>
      </c>
      <c r="E31" s="30" t="s">
        <v>63</v>
      </c>
      <c r="F31" s="66">
        <f t="shared" si="0"/>
        <v>300</v>
      </c>
      <c r="G31" s="66">
        <f t="shared" si="1"/>
        <v>200</v>
      </c>
      <c r="H31" s="66">
        <f t="shared" si="2"/>
        <v>300</v>
      </c>
      <c r="I31" s="67">
        <f t="shared" si="3"/>
        <v>800</v>
      </c>
    </row>
    <row r="32" spans="2:9" ht="16.5">
      <c r="B32" s="69" t="s">
        <v>111</v>
      </c>
      <c r="C32" s="31" t="s">
        <v>218</v>
      </c>
      <c r="D32" s="31" t="s">
        <v>80</v>
      </c>
      <c r="E32" s="31" t="s">
        <v>71</v>
      </c>
      <c r="F32" s="66">
        <f t="shared" si="0"/>
        <v>300</v>
      </c>
      <c r="G32" s="66">
        <f t="shared" si="1"/>
        <v>100</v>
      </c>
      <c r="H32" s="66">
        <f t="shared" si="2"/>
        <v>100</v>
      </c>
      <c r="I32" s="67">
        <f t="shared" si="3"/>
        <v>500</v>
      </c>
    </row>
  </sheetData>
  <sortState ref="B3:I32">
    <sortCondition ref="B18"/>
  </sortState>
  <mergeCells count="1">
    <mergeCell ref="B1:I1"/>
  </mergeCells>
  <phoneticPr fontId="1" type="noConversion"/>
  <dataValidations count="1">
    <dataValidation type="list" allowBlank="1" showInputMessage="1" showErrorMessage="1" prompt="请选择输入所在部门！" sqref="E3:E32">
      <formula1>"行政部,销售部,网络安全部,企化部,财务部"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showGridLines="0" workbookViewId="0">
      <selection activeCell="L29" sqref="L29"/>
    </sheetView>
  </sheetViews>
  <sheetFormatPr defaultRowHeight="13.5"/>
  <cols>
    <col min="2" max="2" width="7.5" customWidth="1"/>
    <col min="3" max="3" width="11" customWidth="1"/>
    <col min="4" max="4" width="12.75" customWidth="1"/>
    <col min="5" max="5" width="11.5" customWidth="1"/>
    <col min="6" max="6" width="13.875" customWidth="1"/>
    <col min="7" max="7" width="11.375" customWidth="1"/>
    <col min="8" max="8" width="20.5" customWidth="1"/>
  </cols>
  <sheetData>
    <row r="1" spans="2:8" ht="27" customHeight="1">
      <c r="B1" s="73" t="s">
        <v>128</v>
      </c>
      <c r="C1" s="73"/>
      <c r="D1" s="73"/>
      <c r="E1" s="73"/>
      <c r="F1" s="73"/>
      <c r="G1" s="73"/>
      <c r="H1" s="73"/>
    </row>
    <row r="2" spans="2:8" ht="21" customHeight="1">
      <c r="B2" s="91" t="s">
        <v>120</v>
      </c>
      <c r="C2" s="91" t="s">
        <v>113</v>
      </c>
      <c r="D2" s="91" t="s">
        <v>121</v>
      </c>
      <c r="E2" s="91" t="s">
        <v>122</v>
      </c>
      <c r="F2" s="92" t="s">
        <v>118</v>
      </c>
      <c r="G2" s="92" t="s">
        <v>119</v>
      </c>
      <c r="H2" s="91" t="s">
        <v>123</v>
      </c>
    </row>
    <row r="3" spans="2:8" ht="14.25" customHeight="1">
      <c r="B3" s="89" t="s">
        <v>2</v>
      </c>
      <c r="C3" s="90" t="s">
        <v>224</v>
      </c>
      <c r="D3" s="90" t="s">
        <v>63</v>
      </c>
      <c r="E3" s="10">
        <v>280000</v>
      </c>
      <c r="F3" s="10">
        <f>IF(E3&lt;=20000,E3*0.03,IF(E3&lt;=50000,E3*0.05,E3*0.08))</f>
        <v>22400</v>
      </c>
      <c r="G3" s="10"/>
      <c r="H3" s="6" t="s">
        <v>124</v>
      </c>
    </row>
    <row r="4" spans="2:8" ht="14.25" customHeight="1">
      <c r="B4" s="89" t="s">
        <v>87</v>
      </c>
      <c r="C4" s="90" t="s">
        <v>190</v>
      </c>
      <c r="D4" s="90" t="s">
        <v>63</v>
      </c>
      <c r="E4" s="10">
        <v>56000</v>
      </c>
      <c r="F4" s="10">
        <f t="shared" ref="F4:F13" si="0">IF(E4&lt;=20000,E4*0.03,IF(E4&lt;=50000,E4*0.05,E4*0.08))</f>
        <v>4480</v>
      </c>
      <c r="G4" s="10">
        <v>100</v>
      </c>
      <c r="H4" s="7" t="s">
        <v>125</v>
      </c>
    </row>
    <row r="5" spans="2:8" ht="14.25" customHeight="1">
      <c r="B5" s="89" t="s">
        <v>90</v>
      </c>
      <c r="C5" s="90" t="s">
        <v>192</v>
      </c>
      <c r="D5" s="90" t="s">
        <v>63</v>
      </c>
      <c r="E5" s="10">
        <v>48500</v>
      </c>
      <c r="F5" s="10">
        <f t="shared" si="0"/>
        <v>2425</v>
      </c>
      <c r="G5" s="10"/>
      <c r="H5" s="6" t="s">
        <v>124</v>
      </c>
    </row>
    <row r="6" spans="2:8" ht="14.25" customHeight="1">
      <c r="B6" s="89" t="s">
        <v>92</v>
      </c>
      <c r="C6" s="90" t="s">
        <v>200</v>
      </c>
      <c r="D6" s="90" t="s">
        <v>63</v>
      </c>
      <c r="E6" s="10">
        <v>45690</v>
      </c>
      <c r="F6" s="10">
        <f t="shared" si="0"/>
        <v>2284.5</v>
      </c>
      <c r="G6" s="10"/>
      <c r="H6" s="6" t="s">
        <v>124</v>
      </c>
    </row>
    <row r="7" spans="2:8" ht="14.25" customHeight="1">
      <c r="B7" s="89" t="s">
        <v>94</v>
      </c>
      <c r="C7" s="90" t="s">
        <v>202</v>
      </c>
      <c r="D7" s="90" t="s">
        <v>63</v>
      </c>
      <c r="E7" s="10">
        <v>37000</v>
      </c>
      <c r="F7" s="10">
        <f t="shared" si="0"/>
        <v>1850</v>
      </c>
      <c r="G7" s="10"/>
      <c r="H7" s="6" t="s">
        <v>124</v>
      </c>
    </row>
    <row r="8" spans="2:8" ht="14.25" customHeight="1">
      <c r="B8" s="89" t="s">
        <v>97</v>
      </c>
      <c r="C8" s="90" t="s">
        <v>208</v>
      </c>
      <c r="D8" s="90" t="s">
        <v>63</v>
      </c>
      <c r="E8" s="10">
        <v>17000</v>
      </c>
      <c r="F8" s="10">
        <f t="shared" si="0"/>
        <v>510</v>
      </c>
      <c r="G8" s="10"/>
      <c r="H8" s="6" t="s">
        <v>124</v>
      </c>
    </row>
    <row r="9" spans="2:8" ht="14.25" customHeight="1">
      <c r="B9" s="89" t="s">
        <v>100</v>
      </c>
      <c r="C9" s="90" t="s">
        <v>229</v>
      </c>
      <c r="D9" s="90" t="s">
        <v>63</v>
      </c>
      <c r="E9" s="10">
        <v>125400</v>
      </c>
      <c r="F9" s="10">
        <f t="shared" si="0"/>
        <v>10032</v>
      </c>
      <c r="G9" s="10"/>
      <c r="H9" s="6" t="s">
        <v>124</v>
      </c>
    </row>
    <row r="10" spans="2:8" ht="14.25" customHeight="1">
      <c r="B10" s="89" t="s">
        <v>102</v>
      </c>
      <c r="C10" s="90" t="s">
        <v>195</v>
      </c>
      <c r="D10" s="90" t="s">
        <v>63</v>
      </c>
      <c r="E10" s="10">
        <v>438520</v>
      </c>
      <c r="F10" s="10">
        <f t="shared" si="0"/>
        <v>35081.599999999999</v>
      </c>
      <c r="G10" s="10"/>
      <c r="H10" s="6" t="s">
        <v>124</v>
      </c>
    </row>
    <row r="11" spans="2:8" ht="14.25" customHeight="1">
      <c r="B11" s="89" t="s">
        <v>103</v>
      </c>
      <c r="C11" s="90" t="s">
        <v>196</v>
      </c>
      <c r="D11" s="90" t="s">
        <v>63</v>
      </c>
      <c r="E11" s="10">
        <v>328000</v>
      </c>
      <c r="F11" s="10">
        <f t="shared" si="0"/>
        <v>26240</v>
      </c>
      <c r="G11" s="10"/>
      <c r="H11" s="6" t="s">
        <v>124</v>
      </c>
    </row>
    <row r="12" spans="2:8" ht="14.25" customHeight="1">
      <c r="B12" s="89" t="s">
        <v>107</v>
      </c>
      <c r="C12" s="90" t="s">
        <v>214</v>
      </c>
      <c r="D12" s="90" t="s">
        <v>63</v>
      </c>
      <c r="E12" s="10">
        <v>204560</v>
      </c>
      <c r="F12" s="10">
        <f t="shared" si="0"/>
        <v>16364.800000000001</v>
      </c>
      <c r="G12" s="10"/>
      <c r="H12" s="6" t="s">
        <v>124</v>
      </c>
    </row>
    <row r="13" spans="2:8" ht="14.25" customHeight="1">
      <c r="B13" s="89" t="s">
        <v>110</v>
      </c>
      <c r="C13" s="90" t="s">
        <v>216</v>
      </c>
      <c r="D13" s="90" t="s">
        <v>63</v>
      </c>
      <c r="E13" s="10">
        <v>12000</v>
      </c>
      <c r="F13" s="10">
        <f t="shared" si="0"/>
        <v>360</v>
      </c>
      <c r="G13" s="10"/>
      <c r="H13" s="6" t="s">
        <v>124</v>
      </c>
    </row>
    <row r="14" spans="2:8" ht="14.25" customHeight="1">
      <c r="B14" s="89" t="s">
        <v>39</v>
      </c>
      <c r="C14" s="90" t="s">
        <v>227</v>
      </c>
      <c r="D14" s="90" t="s">
        <v>70</v>
      </c>
      <c r="E14" s="10"/>
      <c r="F14" s="10"/>
      <c r="G14" s="10">
        <v>180</v>
      </c>
      <c r="H14" s="7" t="s">
        <v>115</v>
      </c>
    </row>
    <row r="15" spans="2:8" ht="14.25" customHeight="1">
      <c r="B15" s="89" t="s">
        <v>49</v>
      </c>
      <c r="C15" s="90" t="s">
        <v>194</v>
      </c>
      <c r="D15" s="90" t="s">
        <v>70</v>
      </c>
      <c r="E15" s="10"/>
      <c r="F15" s="10">
        <v>500</v>
      </c>
      <c r="G15" s="10"/>
      <c r="H15" s="6" t="s">
        <v>126</v>
      </c>
    </row>
    <row r="16" spans="2:8" ht="14.25" customHeight="1">
      <c r="B16" s="89" t="s">
        <v>24</v>
      </c>
      <c r="C16" s="90" t="s">
        <v>212</v>
      </c>
      <c r="D16" s="90" t="s">
        <v>67</v>
      </c>
      <c r="E16" s="10"/>
      <c r="F16" s="10">
        <v>1000</v>
      </c>
      <c r="G16" s="10"/>
      <c r="H16" s="8" t="s">
        <v>117</v>
      </c>
    </row>
    <row r="17" spans="2:8" ht="14.25" customHeight="1">
      <c r="B17" s="89" t="s">
        <v>20</v>
      </c>
      <c r="C17" s="90" t="s">
        <v>188</v>
      </c>
      <c r="D17" s="90" t="s">
        <v>65</v>
      </c>
      <c r="E17" s="10"/>
      <c r="F17" s="10">
        <v>200</v>
      </c>
      <c r="G17" s="10"/>
      <c r="H17" s="6" t="s">
        <v>127</v>
      </c>
    </row>
    <row r="18" spans="2:8" ht="14.25" customHeight="1">
      <c r="B18" s="89" t="s">
        <v>8</v>
      </c>
      <c r="C18" s="90" t="s">
        <v>193</v>
      </c>
      <c r="D18" s="90" t="s">
        <v>67</v>
      </c>
      <c r="E18" s="10"/>
      <c r="F18" s="10"/>
      <c r="G18" s="10">
        <v>200</v>
      </c>
      <c r="H18" s="9" t="s">
        <v>114</v>
      </c>
    </row>
    <row r="19" spans="2:8" ht="14.25" customHeight="1">
      <c r="B19" s="89" t="s">
        <v>55</v>
      </c>
      <c r="C19" s="90" t="s">
        <v>198</v>
      </c>
      <c r="D19" s="90" t="s">
        <v>71</v>
      </c>
      <c r="E19" s="10"/>
      <c r="F19" s="10"/>
      <c r="G19" s="10">
        <v>120</v>
      </c>
      <c r="H19" s="7" t="s">
        <v>115</v>
      </c>
    </row>
  </sheetData>
  <mergeCells count="1">
    <mergeCell ref="B1:H1"/>
  </mergeCells>
  <phoneticPr fontId="1" type="noConversion"/>
  <dataValidations count="1">
    <dataValidation type="list" allowBlank="1" showInputMessage="1" showErrorMessage="1" prompt="请选择输入所在部门！" sqref="D3:D19">
      <formula1>"行政部,销售部,网络安全部,企化部,财务部"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"/>
  <sheetViews>
    <sheetView showGridLines="0" workbookViewId="0">
      <selection activeCell="U11" sqref="U11"/>
    </sheetView>
  </sheetViews>
  <sheetFormatPr defaultRowHeight="13.5"/>
  <cols>
    <col min="2" max="4" width="7.75" style="64" customWidth="1"/>
    <col min="5" max="5" width="12.5" style="64" customWidth="1"/>
    <col min="6" max="14" width="4.375" style="64" customWidth="1"/>
    <col min="15" max="15" width="7.75" customWidth="1"/>
    <col min="16" max="16" width="7.875" customWidth="1"/>
    <col min="17" max="17" width="9.625" customWidth="1"/>
  </cols>
  <sheetData>
    <row r="1" spans="2:17" ht="40.5" customHeight="1" thickBot="1">
      <c r="B1" s="93"/>
      <c r="C1" s="76" t="s">
        <v>129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7" t="s">
        <v>130</v>
      </c>
      <c r="P1" s="77"/>
      <c r="Q1" s="77"/>
    </row>
    <row r="2" spans="2:17" ht="15.75" customHeight="1" thickTop="1">
      <c r="B2" s="74" t="s">
        <v>0</v>
      </c>
      <c r="C2" s="78" t="s">
        <v>1</v>
      </c>
      <c r="D2" s="78" t="s">
        <v>131</v>
      </c>
      <c r="E2" s="78" t="s">
        <v>61</v>
      </c>
      <c r="F2" s="98" t="s">
        <v>167</v>
      </c>
      <c r="G2" s="98" t="s">
        <v>168</v>
      </c>
      <c r="H2" s="37" t="s">
        <v>169</v>
      </c>
      <c r="I2" s="37" t="s">
        <v>170</v>
      </c>
      <c r="J2" s="37" t="s">
        <v>171</v>
      </c>
      <c r="K2" s="37" t="s">
        <v>172</v>
      </c>
      <c r="L2" s="37" t="s">
        <v>173</v>
      </c>
      <c r="M2" s="37" t="s">
        <v>174</v>
      </c>
      <c r="N2" s="37" t="s">
        <v>175</v>
      </c>
      <c r="O2" s="80" t="s">
        <v>176</v>
      </c>
      <c r="P2" s="82" t="s">
        <v>177</v>
      </c>
      <c r="Q2" s="84" t="s">
        <v>178</v>
      </c>
    </row>
    <row r="3" spans="2:17" ht="16.5">
      <c r="B3" s="75"/>
      <c r="C3" s="79"/>
      <c r="D3" s="79"/>
      <c r="E3" s="79"/>
      <c r="F3" s="38" t="s">
        <v>179</v>
      </c>
      <c r="G3" s="38" t="s">
        <v>237</v>
      </c>
      <c r="H3" s="38" t="s">
        <v>235</v>
      </c>
      <c r="I3" s="38" t="s">
        <v>236</v>
      </c>
      <c r="J3" s="38" t="s">
        <v>132</v>
      </c>
      <c r="K3" s="38" t="s">
        <v>133</v>
      </c>
      <c r="L3" s="38" t="s">
        <v>134</v>
      </c>
      <c r="M3" s="38" t="s">
        <v>135</v>
      </c>
      <c r="N3" s="38" t="s">
        <v>136</v>
      </c>
      <c r="O3" s="81"/>
      <c r="P3" s="83"/>
      <c r="Q3" s="85"/>
    </row>
    <row r="4" spans="2:17" ht="16.5">
      <c r="B4" s="94" t="s">
        <v>142</v>
      </c>
      <c r="C4" s="95" t="s">
        <v>3</v>
      </c>
      <c r="D4" s="95" t="s">
        <v>80</v>
      </c>
      <c r="E4" s="95" t="s">
        <v>63</v>
      </c>
      <c r="F4" s="39">
        <v>17</v>
      </c>
      <c r="G4" s="39">
        <v>1</v>
      </c>
      <c r="H4" s="39">
        <v>0</v>
      </c>
      <c r="I4" s="39">
        <v>1</v>
      </c>
      <c r="J4" s="39">
        <v>0</v>
      </c>
      <c r="K4" s="39">
        <v>0</v>
      </c>
      <c r="L4" s="39">
        <v>0</v>
      </c>
      <c r="M4" s="39">
        <v>0</v>
      </c>
      <c r="N4" s="39">
        <v>2</v>
      </c>
      <c r="O4" s="39">
        <v>19</v>
      </c>
      <c r="P4" s="39">
        <v>0</v>
      </c>
      <c r="Q4" s="40">
        <v>60</v>
      </c>
    </row>
    <row r="5" spans="2:17" ht="16.5">
      <c r="B5" s="94" t="s">
        <v>4</v>
      </c>
      <c r="C5" s="95" t="s">
        <v>5</v>
      </c>
      <c r="D5" s="95" t="s">
        <v>80</v>
      </c>
      <c r="E5" s="95" t="s">
        <v>65</v>
      </c>
      <c r="F5" s="39">
        <v>21</v>
      </c>
      <c r="G5" s="39">
        <v>0</v>
      </c>
      <c r="H5" s="39">
        <v>0</v>
      </c>
      <c r="I5" s="39">
        <v>0</v>
      </c>
      <c r="J5" s="39">
        <v>0</v>
      </c>
      <c r="K5" s="39">
        <v>0</v>
      </c>
      <c r="L5" s="39">
        <v>0</v>
      </c>
      <c r="M5" s="39">
        <v>0</v>
      </c>
      <c r="N5" s="39">
        <v>0</v>
      </c>
      <c r="O5" s="39">
        <v>21</v>
      </c>
      <c r="P5" s="39">
        <v>500</v>
      </c>
      <c r="Q5" s="40">
        <v>0</v>
      </c>
    </row>
    <row r="6" spans="2:17" ht="16.5">
      <c r="B6" s="94" t="s">
        <v>6</v>
      </c>
      <c r="C6" s="95" t="s">
        <v>7</v>
      </c>
      <c r="D6" s="95" t="s">
        <v>81</v>
      </c>
      <c r="E6" s="95" t="s">
        <v>67</v>
      </c>
      <c r="F6" s="39">
        <v>20</v>
      </c>
      <c r="G6" s="39">
        <v>0</v>
      </c>
      <c r="H6" s="39">
        <v>1</v>
      </c>
      <c r="I6" s="39">
        <v>0</v>
      </c>
      <c r="J6" s="39">
        <v>0</v>
      </c>
      <c r="K6" s="39">
        <v>0</v>
      </c>
      <c r="L6" s="39">
        <v>0</v>
      </c>
      <c r="M6" s="39">
        <v>0</v>
      </c>
      <c r="N6" s="39">
        <v>0</v>
      </c>
      <c r="O6" s="39">
        <v>20</v>
      </c>
      <c r="P6" s="39">
        <v>0</v>
      </c>
      <c r="Q6" s="40">
        <v>60</v>
      </c>
    </row>
    <row r="7" spans="2:17" ht="16.5">
      <c r="B7" s="94" t="s">
        <v>8</v>
      </c>
      <c r="C7" s="95" t="s">
        <v>9</v>
      </c>
      <c r="D7" s="95" t="s">
        <v>81</v>
      </c>
      <c r="E7" s="95" t="s">
        <v>67</v>
      </c>
      <c r="F7" s="39">
        <v>15</v>
      </c>
      <c r="G7" s="39">
        <v>0</v>
      </c>
      <c r="H7" s="39">
        <v>0</v>
      </c>
      <c r="I7" s="39">
        <v>1</v>
      </c>
      <c r="J7" s="39">
        <v>0</v>
      </c>
      <c r="K7" s="39">
        <v>0</v>
      </c>
      <c r="L7" s="39">
        <v>0</v>
      </c>
      <c r="M7" s="39">
        <v>5</v>
      </c>
      <c r="N7" s="39">
        <v>0</v>
      </c>
      <c r="O7" s="39">
        <v>15</v>
      </c>
      <c r="P7" s="39">
        <v>0</v>
      </c>
      <c r="Q7" s="40">
        <v>20</v>
      </c>
    </row>
    <row r="8" spans="2:17" ht="16.5">
      <c r="B8" s="94" t="s">
        <v>10</v>
      </c>
      <c r="C8" s="95" t="s">
        <v>11</v>
      </c>
      <c r="D8" s="95" t="s">
        <v>80</v>
      </c>
      <c r="E8" s="95" t="s">
        <v>70</v>
      </c>
      <c r="F8" s="39">
        <v>16</v>
      </c>
      <c r="G8" s="39">
        <v>0</v>
      </c>
      <c r="H8" s="39">
        <v>3</v>
      </c>
      <c r="I8" s="39">
        <v>0</v>
      </c>
      <c r="J8" s="39">
        <v>0</v>
      </c>
      <c r="K8" s="39">
        <v>2</v>
      </c>
      <c r="L8" s="39">
        <v>0</v>
      </c>
      <c r="M8" s="39">
        <v>0</v>
      </c>
      <c r="N8" s="39">
        <v>0</v>
      </c>
      <c r="O8" s="39">
        <v>16</v>
      </c>
      <c r="P8" s="39">
        <v>0</v>
      </c>
      <c r="Q8" s="40">
        <v>180</v>
      </c>
    </row>
    <row r="9" spans="2:17" ht="16.5">
      <c r="B9" s="94" t="s">
        <v>12</v>
      </c>
      <c r="C9" s="95" t="s">
        <v>13</v>
      </c>
      <c r="D9" s="95" t="s">
        <v>81</v>
      </c>
      <c r="E9" s="95" t="s">
        <v>63</v>
      </c>
      <c r="F9" s="39">
        <v>19</v>
      </c>
      <c r="G9" s="39">
        <v>0</v>
      </c>
      <c r="H9" s="39">
        <v>0</v>
      </c>
      <c r="I9" s="39">
        <v>0</v>
      </c>
      <c r="J9" s="39">
        <v>0</v>
      </c>
      <c r="K9" s="39">
        <v>0</v>
      </c>
      <c r="L9" s="39">
        <v>0</v>
      </c>
      <c r="M9" s="39">
        <v>0</v>
      </c>
      <c r="N9" s="39">
        <v>2</v>
      </c>
      <c r="O9" s="39">
        <v>21</v>
      </c>
      <c r="P9" s="39">
        <v>500</v>
      </c>
      <c r="Q9" s="40">
        <v>0</v>
      </c>
    </row>
    <row r="10" spans="2:17" ht="16.5">
      <c r="B10" s="94" t="s">
        <v>14</v>
      </c>
      <c r="C10" s="95" t="s">
        <v>15</v>
      </c>
      <c r="D10" s="95" t="s">
        <v>80</v>
      </c>
      <c r="E10" s="95" t="s">
        <v>70</v>
      </c>
      <c r="F10" s="39">
        <v>19</v>
      </c>
      <c r="G10" s="39">
        <v>0</v>
      </c>
      <c r="H10" s="39">
        <v>1</v>
      </c>
      <c r="I10" s="39">
        <v>0</v>
      </c>
      <c r="J10" s="39">
        <v>1</v>
      </c>
      <c r="K10" s="39">
        <v>0</v>
      </c>
      <c r="L10" s="39">
        <v>0</v>
      </c>
      <c r="M10" s="39">
        <v>0</v>
      </c>
      <c r="N10" s="39">
        <v>0</v>
      </c>
      <c r="O10" s="39">
        <v>19</v>
      </c>
      <c r="P10" s="39">
        <v>0</v>
      </c>
      <c r="Q10" s="40">
        <v>160</v>
      </c>
    </row>
    <row r="11" spans="2:17" ht="16.5">
      <c r="B11" s="94" t="s">
        <v>16</v>
      </c>
      <c r="C11" s="95" t="s">
        <v>17</v>
      </c>
      <c r="D11" s="95" t="s">
        <v>80</v>
      </c>
      <c r="E11" s="95" t="s">
        <v>71</v>
      </c>
      <c r="F11" s="39">
        <v>20</v>
      </c>
      <c r="G11" s="39">
        <v>0</v>
      </c>
      <c r="H11" s="39">
        <v>1</v>
      </c>
      <c r="I11" s="39">
        <v>0</v>
      </c>
      <c r="J11" s="39">
        <v>0</v>
      </c>
      <c r="K11" s="39">
        <v>0</v>
      </c>
      <c r="L11" s="39">
        <v>0</v>
      </c>
      <c r="M11" s="39">
        <v>0</v>
      </c>
      <c r="N11" s="39">
        <v>0</v>
      </c>
      <c r="O11" s="39">
        <v>20</v>
      </c>
      <c r="P11" s="39">
        <v>0</v>
      </c>
      <c r="Q11" s="40">
        <v>60</v>
      </c>
    </row>
    <row r="12" spans="2:17" ht="16.5">
      <c r="B12" s="94" t="s">
        <v>18</v>
      </c>
      <c r="C12" s="95" t="s">
        <v>19</v>
      </c>
      <c r="D12" s="95" t="s">
        <v>81</v>
      </c>
      <c r="E12" s="95" t="s">
        <v>63</v>
      </c>
      <c r="F12" s="39">
        <v>20</v>
      </c>
      <c r="G12" s="39">
        <v>0</v>
      </c>
      <c r="H12" s="39">
        <v>0</v>
      </c>
      <c r="I12" s="39">
        <v>0</v>
      </c>
      <c r="J12" s="39">
        <v>0</v>
      </c>
      <c r="K12" s="39">
        <v>0</v>
      </c>
      <c r="L12" s="39">
        <v>0</v>
      </c>
      <c r="M12" s="39">
        <v>0</v>
      </c>
      <c r="N12" s="39">
        <v>1</v>
      </c>
      <c r="O12" s="39">
        <v>21</v>
      </c>
      <c r="P12" s="39">
        <v>500</v>
      </c>
      <c r="Q12" s="40">
        <v>0</v>
      </c>
    </row>
    <row r="13" spans="2:17" ht="16.5">
      <c r="B13" s="94" t="s">
        <v>20</v>
      </c>
      <c r="C13" s="95" t="s">
        <v>21</v>
      </c>
      <c r="D13" s="95" t="s">
        <v>80</v>
      </c>
      <c r="E13" s="95" t="s">
        <v>65</v>
      </c>
      <c r="F13" s="39">
        <v>19</v>
      </c>
      <c r="G13" s="39">
        <v>1</v>
      </c>
      <c r="H13" s="39">
        <v>0</v>
      </c>
      <c r="I13" s="39">
        <v>0</v>
      </c>
      <c r="J13" s="39">
        <v>1</v>
      </c>
      <c r="K13" s="39">
        <v>0</v>
      </c>
      <c r="L13" s="39">
        <v>0</v>
      </c>
      <c r="M13" s="39">
        <v>0</v>
      </c>
      <c r="N13" s="39">
        <v>0</v>
      </c>
      <c r="O13" s="39">
        <v>19</v>
      </c>
      <c r="P13" s="39">
        <v>0</v>
      </c>
      <c r="Q13" s="40">
        <v>140</v>
      </c>
    </row>
    <row r="14" spans="2:17" ht="16.5">
      <c r="B14" s="94" t="s">
        <v>22</v>
      </c>
      <c r="C14" s="95" t="s">
        <v>23</v>
      </c>
      <c r="D14" s="95" t="s">
        <v>80</v>
      </c>
      <c r="E14" s="95" t="s">
        <v>63</v>
      </c>
      <c r="F14" s="39">
        <v>16</v>
      </c>
      <c r="G14" s="39">
        <v>0</v>
      </c>
      <c r="H14" s="39">
        <v>3</v>
      </c>
      <c r="I14" s="39">
        <v>2</v>
      </c>
      <c r="J14" s="39">
        <v>0</v>
      </c>
      <c r="K14" s="39">
        <v>0</v>
      </c>
      <c r="L14" s="39">
        <v>0</v>
      </c>
      <c r="M14" s="39">
        <v>0</v>
      </c>
      <c r="N14" s="39">
        <v>0</v>
      </c>
      <c r="O14" s="39">
        <v>16</v>
      </c>
      <c r="P14" s="39">
        <v>0</v>
      </c>
      <c r="Q14" s="40">
        <v>220</v>
      </c>
    </row>
    <row r="15" spans="2:17" ht="16.5">
      <c r="B15" s="94" t="s">
        <v>24</v>
      </c>
      <c r="C15" s="95" t="s">
        <v>25</v>
      </c>
      <c r="D15" s="95" t="s">
        <v>80</v>
      </c>
      <c r="E15" s="95" t="s">
        <v>67</v>
      </c>
      <c r="F15" s="39">
        <v>0</v>
      </c>
      <c r="G15" s="39">
        <v>0</v>
      </c>
      <c r="H15" s="39">
        <v>0</v>
      </c>
      <c r="I15" s="39">
        <v>0</v>
      </c>
      <c r="J15" s="39">
        <v>0</v>
      </c>
      <c r="K15" s="39">
        <v>0</v>
      </c>
      <c r="L15" s="39">
        <v>21</v>
      </c>
      <c r="M15" s="39">
        <v>0</v>
      </c>
      <c r="N15" s="39">
        <v>0</v>
      </c>
      <c r="O15" s="39">
        <v>0</v>
      </c>
      <c r="P15" s="39">
        <v>0</v>
      </c>
      <c r="Q15" s="40">
        <v>0</v>
      </c>
    </row>
    <row r="16" spans="2:17" ht="16.5">
      <c r="B16" s="94" t="s">
        <v>26</v>
      </c>
      <c r="C16" s="95" t="s">
        <v>27</v>
      </c>
      <c r="D16" s="95" t="s">
        <v>81</v>
      </c>
      <c r="E16" s="95" t="s">
        <v>63</v>
      </c>
      <c r="F16" s="39">
        <v>20</v>
      </c>
      <c r="G16" s="39">
        <v>0</v>
      </c>
      <c r="H16" s="39">
        <v>0</v>
      </c>
      <c r="I16" s="39">
        <v>1</v>
      </c>
      <c r="J16" s="39">
        <v>0</v>
      </c>
      <c r="K16" s="39">
        <v>0</v>
      </c>
      <c r="L16" s="39">
        <v>0</v>
      </c>
      <c r="M16" s="39">
        <v>0</v>
      </c>
      <c r="N16" s="39">
        <v>0</v>
      </c>
      <c r="O16" s="39">
        <v>20</v>
      </c>
      <c r="P16" s="39">
        <v>0</v>
      </c>
      <c r="Q16" s="40">
        <v>20</v>
      </c>
    </row>
    <row r="17" spans="2:17" ht="16.5">
      <c r="B17" s="94" t="s">
        <v>28</v>
      </c>
      <c r="C17" s="95" t="s">
        <v>29</v>
      </c>
      <c r="D17" s="95" t="s">
        <v>80</v>
      </c>
      <c r="E17" s="95" t="s">
        <v>71</v>
      </c>
      <c r="F17" s="39">
        <v>19</v>
      </c>
      <c r="G17" s="39">
        <v>1</v>
      </c>
      <c r="H17" s="39">
        <v>0</v>
      </c>
      <c r="I17" s="39">
        <v>1</v>
      </c>
      <c r="J17" s="39">
        <v>0</v>
      </c>
      <c r="K17" s="39">
        <v>0</v>
      </c>
      <c r="L17" s="39">
        <v>0</v>
      </c>
      <c r="M17" s="39">
        <v>0</v>
      </c>
      <c r="N17" s="39">
        <v>0</v>
      </c>
      <c r="O17" s="39">
        <v>19</v>
      </c>
      <c r="P17" s="39">
        <v>0</v>
      </c>
      <c r="Q17" s="40">
        <v>60</v>
      </c>
    </row>
    <row r="18" spans="2:17" ht="16.5">
      <c r="B18" s="94" t="s">
        <v>30</v>
      </c>
      <c r="C18" s="95" t="s">
        <v>31</v>
      </c>
      <c r="D18" s="95" t="s">
        <v>81</v>
      </c>
      <c r="E18" s="95" t="s">
        <v>70</v>
      </c>
      <c r="F18" s="39">
        <v>20</v>
      </c>
      <c r="G18" s="39">
        <v>0</v>
      </c>
      <c r="H18" s="39">
        <v>1</v>
      </c>
      <c r="I18" s="39">
        <v>0</v>
      </c>
      <c r="J18" s="39">
        <v>0</v>
      </c>
      <c r="K18" s="39">
        <v>0</v>
      </c>
      <c r="L18" s="39">
        <v>0</v>
      </c>
      <c r="M18" s="39">
        <v>0</v>
      </c>
      <c r="N18" s="39">
        <v>0</v>
      </c>
      <c r="O18" s="39">
        <v>20</v>
      </c>
      <c r="P18" s="39">
        <v>0</v>
      </c>
      <c r="Q18" s="40">
        <v>60</v>
      </c>
    </row>
    <row r="19" spans="2:17" ht="16.5">
      <c r="B19" s="94" t="s">
        <v>32</v>
      </c>
      <c r="C19" s="95" t="s">
        <v>33</v>
      </c>
      <c r="D19" s="95" t="s">
        <v>80</v>
      </c>
      <c r="E19" s="95" t="s">
        <v>63</v>
      </c>
      <c r="F19" s="39">
        <v>17</v>
      </c>
      <c r="G19" s="39">
        <v>0</v>
      </c>
      <c r="H19" s="39">
        <v>2</v>
      </c>
      <c r="I19" s="39">
        <v>2</v>
      </c>
      <c r="J19" s="39">
        <v>0</v>
      </c>
      <c r="K19" s="39">
        <v>0</v>
      </c>
      <c r="L19" s="39">
        <v>0</v>
      </c>
      <c r="M19" s="39">
        <v>0</v>
      </c>
      <c r="N19" s="39">
        <v>0</v>
      </c>
      <c r="O19" s="39">
        <v>17</v>
      </c>
      <c r="P19" s="39">
        <v>0</v>
      </c>
      <c r="Q19" s="40">
        <v>160</v>
      </c>
    </row>
    <row r="20" spans="2:17" ht="16.5">
      <c r="B20" s="94" t="s">
        <v>34</v>
      </c>
      <c r="C20" s="95" t="s">
        <v>35</v>
      </c>
      <c r="D20" s="95" t="s">
        <v>80</v>
      </c>
      <c r="E20" s="95" t="s">
        <v>71</v>
      </c>
      <c r="F20" s="39">
        <v>17</v>
      </c>
      <c r="G20" s="39">
        <v>0</v>
      </c>
      <c r="H20" s="39">
        <v>3</v>
      </c>
      <c r="I20" s="39">
        <v>0</v>
      </c>
      <c r="J20" s="39">
        <v>1</v>
      </c>
      <c r="K20" s="39">
        <v>0</v>
      </c>
      <c r="L20" s="39">
        <v>0</v>
      </c>
      <c r="M20" s="39">
        <v>0</v>
      </c>
      <c r="N20" s="39">
        <v>0</v>
      </c>
      <c r="O20" s="39">
        <v>17</v>
      </c>
      <c r="P20" s="39">
        <v>0</v>
      </c>
      <c r="Q20" s="40">
        <v>280</v>
      </c>
    </row>
    <row r="21" spans="2:17" ht="16.5">
      <c r="B21" s="94" t="s">
        <v>36</v>
      </c>
      <c r="C21" s="95" t="s">
        <v>37</v>
      </c>
      <c r="D21" s="95" t="s">
        <v>81</v>
      </c>
      <c r="E21" s="95" t="s">
        <v>71</v>
      </c>
      <c r="F21" s="39">
        <v>17</v>
      </c>
      <c r="G21" s="39">
        <v>1</v>
      </c>
      <c r="H21" s="39">
        <v>3</v>
      </c>
      <c r="I21" s="39">
        <v>0</v>
      </c>
      <c r="J21" s="39">
        <v>0</v>
      </c>
      <c r="K21" s="39">
        <v>0</v>
      </c>
      <c r="L21" s="39">
        <v>0</v>
      </c>
      <c r="M21" s="39">
        <v>0</v>
      </c>
      <c r="N21" s="39">
        <v>0</v>
      </c>
      <c r="O21" s="39">
        <v>17</v>
      </c>
      <c r="P21" s="39">
        <v>0</v>
      </c>
      <c r="Q21" s="40">
        <v>220</v>
      </c>
    </row>
    <row r="22" spans="2:17" ht="16.5">
      <c r="B22" s="94" t="s">
        <v>38</v>
      </c>
      <c r="C22" s="95" t="s">
        <v>230</v>
      </c>
      <c r="D22" s="95" t="s">
        <v>81</v>
      </c>
      <c r="E22" s="95" t="s">
        <v>63</v>
      </c>
      <c r="F22" s="39">
        <v>21</v>
      </c>
      <c r="G22" s="39">
        <v>0</v>
      </c>
      <c r="H22" s="39">
        <v>0</v>
      </c>
      <c r="I22" s="39">
        <v>0</v>
      </c>
      <c r="J22" s="39">
        <v>0</v>
      </c>
      <c r="K22" s="39">
        <v>0</v>
      </c>
      <c r="L22" s="39">
        <v>0</v>
      </c>
      <c r="M22" s="39">
        <v>0</v>
      </c>
      <c r="N22" s="39">
        <v>0</v>
      </c>
      <c r="O22" s="39">
        <v>21</v>
      </c>
      <c r="P22" s="39">
        <v>500</v>
      </c>
      <c r="Q22" s="40">
        <v>0</v>
      </c>
    </row>
    <row r="23" spans="2:17" ht="16.5">
      <c r="B23" s="94" t="s">
        <v>39</v>
      </c>
      <c r="C23" s="95" t="s">
        <v>40</v>
      </c>
      <c r="D23" s="95" t="s">
        <v>81</v>
      </c>
      <c r="E23" s="95" t="s">
        <v>70</v>
      </c>
      <c r="F23" s="39">
        <v>18</v>
      </c>
      <c r="G23" s="39">
        <v>1</v>
      </c>
      <c r="H23" s="39">
        <v>2</v>
      </c>
      <c r="I23" s="39">
        <v>0</v>
      </c>
      <c r="J23" s="39">
        <v>0</v>
      </c>
      <c r="K23" s="39">
        <v>0</v>
      </c>
      <c r="L23" s="39">
        <v>0</v>
      </c>
      <c r="M23" s="39">
        <v>0</v>
      </c>
      <c r="N23" s="39">
        <v>0</v>
      </c>
      <c r="O23" s="39">
        <v>18</v>
      </c>
      <c r="P23" s="39">
        <v>0</v>
      </c>
      <c r="Q23" s="40">
        <v>160</v>
      </c>
    </row>
    <row r="24" spans="2:17" ht="16.5">
      <c r="B24" s="94" t="s">
        <v>41</v>
      </c>
      <c r="C24" s="95" t="s">
        <v>42</v>
      </c>
      <c r="D24" s="95" t="s">
        <v>81</v>
      </c>
      <c r="E24" s="95" t="s">
        <v>63</v>
      </c>
      <c r="F24" s="39">
        <v>15</v>
      </c>
      <c r="G24" s="39">
        <v>0</v>
      </c>
      <c r="H24" s="39">
        <v>1</v>
      </c>
      <c r="I24" s="39">
        <v>3</v>
      </c>
      <c r="J24" s="39">
        <v>0</v>
      </c>
      <c r="K24" s="39">
        <v>0</v>
      </c>
      <c r="L24" s="39">
        <v>0</v>
      </c>
      <c r="M24" s="39">
        <v>0</v>
      </c>
      <c r="N24" s="39">
        <v>2</v>
      </c>
      <c r="O24" s="39">
        <v>17</v>
      </c>
      <c r="P24" s="39">
        <v>0</v>
      </c>
      <c r="Q24" s="40">
        <v>120</v>
      </c>
    </row>
    <row r="25" spans="2:17" ht="16.5">
      <c r="B25" s="94" t="s">
        <v>43</v>
      </c>
      <c r="C25" s="95" t="s">
        <v>44</v>
      </c>
      <c r="D25" s="95" t="s">
        <v>80</v>
      </c>
      <c r="E25" s="95" t="s">
        <v>63</v>
      </c>
      <c r="F25" s="39">
        <v>20</v>
      </c>
      <c r="G25" s="39">
        <v>1</v>
      </c>
      <c r="H25" s="39">
        <v>0</v>
      </c>
      <c r="I25" s="39">
        <v>0</v>
      </c>
      <c r="J25" s="39">
        <v>0</v>
      </c>
      <c r="K25" s="39">
        <v>0</v>
      </c>
      <c r="L25" s="39">
        <v>0</v>
      </c>
      <c r="M25" s="39">
        <v>0</v>
      </c>
      <c r="N25" s="39">
        <v>0</v>
      </c>
      <c r="O25" s="39">
        <v>20</v>
      </c>
      <c r="P25" s="39">
        <v>0</v>
      </c>
      <c r="Q25" s="40">
        <v>40</v>
      </c>
    </row>
    <row r="26" spans="2:17" ht="16.5">
      <c r="B26" s="94" t="s">
        <v>45</v>
      </c>
      <c r="C26" s="95" t="s">
        <v>46</v>
      </c>
      <c r="D26" s="95" t="s">
        <v>81</v>
      </c>
      <c r="E26" s="95" t="s">
        <v>67</v>
      </c>
      <c r="F26" s="39">
        <v>19</v>
      </c>
      <c r="G26" s="39">
        <v>1</v>
      </c>
      <c r="H26" s="39">
        <v>0</v>
      </c>
      <c r="I26" s="39">
        <v>1</v>
      </c>
      <c r="J26" s="39">
        <v>0</v>
      </c>
      <c r="K26" s="39">
        <v>0</v>
      </c>
      <c r="L26" s="39">
        <v>0</v>
      </c>
      <c r="M26" s="39">
        <v>0</v>
      </c>
      <c r="N26" s="39">
        <v>0</v>
      </c>
      <c r="O26" s="39">
        <v>19</v>
      </c>
      <c r="P26" s="39">
        <v>0</v>
      </c>
      <c r="Q26" s="40">
        <v>60</v>
      </c>
    </row>
    <row r="27" spans="2:17" ht="16.5">
      <c r="B27" s="94" t="s">
        <v>47</v>
      </c>
      <c r="C27" s="95" t="s">
        <v>48</v>
      </c>
      <c r="D27" s="95" t="s">
        <v>80</v>
      </c>
      <c r="E27" s="95" t="s">
        <v>65</v>
      </c>
      <c r="F27" s="39">
        <v>20</v>
      </c>
      <c r="G27" s="39">
        <v>0</v>
      </c>
      <c r="H27" s="39">
        <v>0</v>
      </c>
      <c r="I27" s="39">
        <v>1</v>
      </c>
      <c r="J27" s="39">
        <v>0</v>
      </c>
      <c r="K27" s="39">
        <v>0</v>
      </c>
      <c r="L27" s="39">
        <v>0</v>
      </c>
      <c r="M27" s="39">
        <v>0</v>
      </c>
      <c r="N27" s="39">
        <v>0</v>
      </c>
      <c r="O27" s="39">
        <v>20</v>
      </c>
      <c r="P27" s="39">
        <v>0</v>
      </c>
      <c r="Q27" s="40">
        <v>20</v>
      </c>
    </row>
    <row r="28" spans="2:17" ht="16.5">
      <c r="B28" s="94" t="s">
        <v>49</v>
      </c>
      <c r="C28" s="95" t="s">
        <v>50</v>
      </c>
      <c r="D28" s="95" t="s">
        <v>80</v>
      </c>
      <c r="E28" s="95" t="s">
        <v>70</v>
      </c>
      <c r="F28" s="39">
        <v>20</v>
      </c>
      <c r="G28" s="39">
        <v>0</v>
      </c>
      <c r="H28" s="39">
        <v>1</v>
      </c>
      <c r="I28" s="39">
        <v>0</v>
      </c>
      <c r="J28" s="39">
        <v>0</v>
      </c>
      <c r="K28" s="39">
        <v>0</v>
      </c>
      <c r="L28" s="39">
        <v>0</v>
      </c>
      <c r="M28" s="39">
        <v>0</v>
      </c>
      <c r="N28" s="39">
        <v>0</v>
      </c>
      <c r="O28" s="39">
        <v>20</v>
      </c>
      <c r="P28" s="39">
        <v>0</v>
      </c>
      <c r="Q28" s="40">
        <v>60</v>
      </c>
    </row>
    <row r="29" spans="2:17" ht="16.5">
      <c r="B29" s="94" t="s">
        <v>51</v>
      </c>
      <c r="C29" s="95" t="s">
        <v>52</v>
      </c>
      <c r="D29" s="95" t="s">
        <v>80</v>
      </c>
      <c r="E29" s="95" t="s">
        <v>63</v>
      </c>
      <c r="F29" s="39">
        <v>18</v>
      </c>
      <c r="G29" s="39">
        <v>0</v>
      </c>
      <c r="H29" s="39">
        <v>1</v>
      </c>
      <c r="I29" s="39">
        <v>2</v>
      </c>
      <c r="J29" s="39">
        <v>0</v>
      </c>
      <c r="K29" s="39">
        <v>0</v>
      </c>
      <c r="L29" s="39">
        <v>0</v>
      </c>
      <c r="M29" s="39">
        <v>0</v>
      </c>
      <c r="N29" s="39">
        <v>0</v>
      </c>
      <c r="O29" s="39">
        <v>18</v>
      </c>
      <c r="P29" s="39">
        <v>0</v>
      </c>
      <c r="Q29" s="40">
        <v>100</v>
      </c>
    </row>
    <row r="30" spans="2:17" ht="16.5">
      <c r="B30" s="94" t="s">
        <v>53</v>
      </c>
      <c r="C30" s="95" t="s">
        <v>54</v>
      </c>
      <c r="D30" s="95" t="s">
        <v>80</v>
      </c>
      <c r="E30" s="95" t="s">
        <v>70</v>
      </c>
      <c r="F30" s="39">
        <v>20</v>
      </c>
      <c r="G30" s="39">
        <v>1</v>
      </c>
      <c r="H30" s="39">
        <v>0</v>
      </c>
      <c r="I30" s="39">
        <v>0</v>
      </c>
      <c r="J30" s="39">
        <v>0</v>
      </c>
      <c r="K30" s="39">
        <v>0</v>
      </c>
      <c r="L30" s="39">
        <v>0</v>
      </c>
      <c r="M30" s="39">
        <v>0</v>
      </c>
      <c r="N30" s="39">
        <v>0</v>
      </c>
      <c r="O30" s="39">
        <v>20</v>
      </c>
      <c r="P30" s="39">
        <v>0</v>
      </c>
      <c r="Q30" s="40">
        <v>40</v>
      </c>
    </row>
    <row r="31" spans="2:17" ht="16.5">
      <c r="B31" s="94" t="s">
        <v>55</v>
      </c>
      <c r="C31" s="95" t="s">
        <v>56</v>
      </c>
      <c r="D31" s="95" t="s">
        <v>81</v>
      </c>
      <c r="E31" s="95" t="s">
        <v>71</v>
      </c>
      <c r="F31" s="39">
        <v>19</v>
      </c>
      <c r="G31" s="39">
        <v>1</v>
      </c>
      <c r="H31" s="39">
        <v>0</v>
      </c>
      <c r="I31" s="39">
        <v>1</v>
      </c>
      <c r="J31" s="39">
        <v>0</v>
      </c>
      <c r="K31" s="39">
        <v>0</v>
      </c>
      <c r="L31" s="39">
        <v>0</v>
      </c>
      <c r="M31" s="39">
        <v>0</v>
      </c>
      <c r="N31" s="39">
        <v>0</v>
      </c>
      <c r="O31" s="39">
        <v>19</v>
      </c>
      <c r="P31" s="39">
        <v>0</v>
      </c>
      <c r="Q31" s="40">
        <v>60</v>
      </c>
    </row>
    <row r="32" spans="2:17" ht="16.5">
      <c r="B32" s="94" t="s">
        <v>57</v>
      </c>
      <c r="C32" s="95" t="s">
        <v>58</v>
      </c>
      <c r="D32" s="95" t="s">
        <v>80</v>
      </c>
      <c r="E32" s="95" t="s">
        <v>63</v>
      </c>
      <c r="F32" s="39">
        <v>20</v>
      </c>
      <c r="G32" s="39">
        <v>0</v>
      </c>
      <c r="H32" s="39">
        <v>0</v>
      </c>
      <c r="I32" s="39">
        <v>0</v>
      </c>
      <c r="J32" s="39">
        <v>0</v>
      </c>
      <c r="K32" s="39">
        <v>0</v>
      </c>
      <c r="L32" s="39">
        <v>0</v>
      </c>
      <c r="M32" s="39">
        <v>0</v>
      </c>
      <c r="N32" s="39">
        <v>1</v>
      </c>
      <c r="O32" s="39">
        <v>21</v>
      </c>
      <c r="P32" s="39">
        <v>500</v>
      </c>
      <c r="Q32" s="40">
        <v>0</v>
      </c>
    </row>
    <row r="33" spans="2:17" ht="17.25" thickBot="1">
      <c r="B33" s="96" t="s">
        <v>59</v>
      </c>
      <c r="C33" s="97" t="s">
        <v>60</v>
      </c>
      <c r="D33" s="97" t="s">
        <v>80</v>
      </c>
      <c r="E33" s="97" t="s">
        <v>71</v>
      </c>
      <c r="F33" s="41">
        <v>19</v>
      </c>
      <c r="G33" s="41">
        <v>0</v>
      </c>
      <c r="H33" s="41">
        <v>1</v>
      </c>
      <c r="I33" s="41">
        <v>1</v>
      </c>
      <c r="J33" s="41">
        <v>0</v>
      </c>
      <c r="K33" s="41">
        <v>0</v>
      </c>
      <c r="L33" s="41">
        <v>0</v>
      </c>
      <c r="M33" s="41">
        <v>0</v>
      </c>
      <c r="N33" s="41">
        <v>0</v>
      </c>
      <c r="O33" s="41">
        <v>19</v>
      </c>
      <c r="P33" s="41">
        <v>0</v>
      </c>
      <c r="Q33" s="42">
        <v>80</v>
      </c>
    </row>
    <row r="34" spans="2:17" ht="14.25" thickTop="1"/>
  </sheetData>
  <mergeCells count="9">
    <mergeCell ref="B2:B3"/>
    <mergeCell ref="C1:N1"/>
    <mergeCell ref="O1:Q1"/>
    <mergeCell ref="C2:C3"/>
    <mergeCell ref="D2:D3"/>
    <mergeCell ref="E2:E3"/>
    <mergeCell ref="O2:O3"/>
    <mergeCell ref="P2:P3"/>
    <mergeCell ref="Q2:Q3"/>
  </mergeCells>
  <phoneticPr fontId="1" type="noConversion"/>
  <dataValidations count="1">
    <dataValidation type="list" allowBlank="1" showInputMessage="1" showErrorMessage="1" prompt="请选择输入所在部门！" sqref="E4:E33">
      <formula1>"行政部,销售部,网络安全部,企化部,财务部"</formula1>
    </dataValidation>
  </dataValidations>
  <pageMargins left="0.7" right="0.7" top="0.75" bottom="0.75" header="0.3" footer="0.3"/>
  <ignoredErrors>
    <ignoredError sqref="B4:E20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3"/>
  <sheetViews>
    <sheetView showGridLines="0" workbookViewId="0">
      <selection activeCell="N26" sqref="N26"/>
    </sheetView>
  </sheetViews>
  <sheetFormatPr defaultRowHeight="13.5"/>
  <cols>
    <col min="2" max="4" width="9" style="64" customWidth="1"/>
    <col min="5" max="5" width="15.625" style="64" customWidth="1"/>
    <col min="6" max="10" width="9.625" customWidth="1"/>
  </cols>
  <sheetData>
    <row r="1" spans="2:10" ht="33.75" customHeight="1" thickBot="1">
      <c r="B1" s="76" t="s">
        <v>137</v>
      </c>
      <c r="C1" s="76"/>
      <c r="D1" s="76"/>
      <c r="E1" s="76"/>
      <c r="F1" s="76"/>
      <c r="G1" s="86" t="s">
        <v>180</v>
      </c>
      <c r="H1" s="86"/>
      <c r="I1" s="86"/>
      <c r="J1" s="86"/>
    </row>
    <row r="2" spans="2:10" ht="28.5" thickTop="1" thickBot="1">
      <c r="B2" s="11" t="s">
        <v>112</v>
      </c>
      <c r="C2" s="11" t="s">
        <v>1</v>
      </c>
      <c r="D2" s="12" t="s">
        <v>131</v>
      </c>
      <c r="E2" s="12" t="s">
        <v>61</v>
      </c>
      <c r="F2" s="13" t="s">
        <v>138</v>
      </c>
      <c r="G2" s="13" t="s">
        <v>139</v>
      </c>
      <c r="H2" s="13" t="s">
        <v>140</v>
      </c>
      <c r="I2" s="14" t="s">
        <v>141</v>
      </c>
      <c r="J2" s="14" t="s">
        <v>143</v>
      </c>
    </row>
    <row r="3" spans="2:10" ht="17.25" thickTop="1">
      <c r="B3" s="99" t="s">
        <v>2</v>
      </c>
      <c r="C3" s="100" t="s">
        <v>224</v>
      </c>
      <c r="D3" s="100" t="s">
        <v>80</v>
      </c>
      <c r="E3" s="100" t="s">
        <v>63</v>
      </c>
      <c r="F3" s="15">
        <v>4</v>
      </c>
      <c r="G3" s="15">
        <v>1</v>
      </c>
      <c r="H3" s="15">
        <f>F3*50</f>
        <v>200</v>
      </c>
      <c r="I3" s="23">
        <f ca="1">ROUND((基本工资表!H3+基本工资表!I3)/21*G3*2,2)</f>
        <v>76.19</v>
      </c>
      <c r="J3" s="24">
        <f ca="1">H3+I3</f>
        <v>276.19</v>
      </c>
    </row>
    <row r="4" spans="2:10" ht="16.5">
      <c r="B4" s="101" t="s">
        <v>4</v>
      </c>
      <c r="C4" s="102" t="s">
        <v>225</v>
      </c>
      <c r="D4" s="102" t="s">
        <v>80</v>
      </c>
      <c r="E4" s="102" t="s">
        <v>65</v>
      </c>
      <c r="F4" s="15">
        <v>7</v>
      </c>
      <c r="G4" s="15">
        <v>1</v>
      </c>
      <c r="H4" s="15">
        <f t="shared" ref="H4:H32" si="0">F4*50</f>
        <v>350</v>
      </c>
      <c r="I4" s="25">
        <f ca="1">ROUND((基本工资表!H4+基本工资表!I4)/21*G4*2,2)</f>
        <v>257.14</v>
      </c>
      <c r="J4" s="24">
        <f t="shared" ref="J4:J32" ca="1" si="1">H4+I4</f>
        <v>607.14</v>
      </c>
    </row>
    <row r="5" spans="2:10" ht="16.5">
      <c r="B5" s="101" t="s">
        <v>6</v>
      </c>
      <c r="C5" s="102" t="s">
        <v>187</v>
      </c>
      <c r="D5" s="102" t="s">
        <v>81</v>
      </c>
      <c r="E5" s="102" t="s">
        <v>67</v>
      </c>
      <c r="F5" s="15">
        <v>4</v>
      </c>
      <c r="G5" s="15">
        <v>1</v>
      </c>
      <c r="H5" s="15">
        <f t="shared" si="0"/>
        <v>200</v>
      </c>
      <c r="I5" s="25">
        <f ca="1">ROUND((基本工资表!H5+基本工资表!I5)/21*G5*2,2)</f>
        <v>171.43</v>
      </c>
      <c r="J5" s="24">
        <f t="shared" ca="1" si="1"/>
        <v>371.43</v>
      </c>
    </row>
    <row r="6" spans="2:10" ht="16.5">
      <c r="B6" s="101" t="s">
        <v>8</v>
      </c>
      <c r="C6" s="102" t="s">
        <v>188</v>
      </c>
      <c r="D6" s="102" t="s">
        <v>81</v>
      </c>
      <c r="E6" s="102" t="s">
        <v>67</v>
      </c>
      <c r="F6" s="15">
        <v>8.5</v>
      </c>
      <c r="G6" s="15">
        <v>1</v>
      </c>
      <c r="H6" s="15">
        <f t="shared" si="0"/>
        <v>425</v>
      </c>
      <c r="I6" s="25">
        <f ca="1">ROUND((基本工资表!H6+基本工资表!I6)/21*G6*2,2)</f>
        <v>285.70999999999998</v>
      </c>
      <c r="J6" s="24">
        <f t="shared" ca="1" si="1"/>
        <v>710.71</v>
      </c>
    </row>
    <row r="7" spans="2:10" ht="16.5">
      <c r="B7" s="101" t="s">
        <v>10</v>
      </c>
      <c r="C7" s="102" t="s">
        <v>189</v>
      </c>
      <c r="D7" s="102" t="s">
        <v>80</v>
      </c>
      <c r="E7" s="102" t="s">
        <v>70</v>
      </c>
      <c r="F7" s="15">
        <v>1</v>
      </c>
      <c r="G7" s="15">
        <v>1</v>
      </c>
      <c r="H7" s="15">
        <f t="shared" si="0"/>
        <v>50</v>
      </c>
      <c r="I7" s="25">
        <f ca="1">ROUND((基本工资表!H7+基本工资表!I7)/21*G7*2,2)</f>
        <v>228.57</v>
      </c>
      <c r="J7" s="24">
        <f t="shared" ca="1" si="1"/>
        <v>278.57</v>
      </c>
    </row>
    <row r="8" spans="2:10" ht="16.5">
      <c r="B8" s="101" t="s">
        <v>12</v>
      </c>
      <c r="C8" s="102" t="s">
        <v>190</v>
      </c>
      <c r="D8" s="102" t="s">
        <v>81</v>
      </c>
      <c r="E8" s="102" t="s">
        <v>63</v>
      </c>
      <c r="F8" s="15">
        <v>0</v>
      </c>
      <c r="G8" s="15">
        <v>0</v>
      </c>
      <c r="H8" s="15">
        <f t="shared" si="0"/>
        <v>0</v>
      </c>
      <c r="I8" s="25">
        <f ca="1">ROUND((基本工资表!H8+基本工资表!I8)/21*G8*2,2)</f>
        <v>0</v>
      </c>
      <c r="J8" s="24">
        <f t="shared" ca="1" si="1"/>
        <v>0</v>
      </c>
    </row>
    <row r="9" spans="2:10" ht="16.5">
      <c r="B9" s="101" t="s">
        <v>14</v>
      </c>
      <c r="C9" s="102" t="s">
        <v>226</v>
      </c>
      <c r="D9" s="102" t="s">
        <v>80</v>
      </c>
      <c r="E9" s="102" t="s">
        <v>70</v>
      </c>
      <c r="F9" s="15">
        <v>3.5</v>
      </c>
      <c r="G9" s="15">
        <v>0</v>
      </c>
      <c r="H9" s="15">
        <f t="shared" si="0"/>
        <v>175</v>
      </c>
      <c r="I9" s="25">
        <f ca="1">ROUND((基本工资表!H9+基本工资表!I9)/21*G9*2,2)</f>
        <v>0</v>
      </c>
      <c r="J9" s="24">
        <f t="shared" ca="1" si="1"/>
        <v>175</v>
      </c>
    </row>
    <row r="10" spans="2:10" ht="16.5">
      <c r="B10" s="101" t="s">
        <v>16</v>
      </c>
      <c r="C10" s="102" t="s">
        <v>191</v>
      </c>
      <c r="D10" s="102" t="s">
        <v>80</v>
      </c>
      <c r="E10" s="102" t="s">
        <v>71</v>
      </c>
      <c r="F10" s="15">
        <v>2</v>
      </c>
      <c r="G10" s="15">
        <v>3</v>
      </c>
      <c r="H10" s="15">
        <f t="shared" si="0"/>
        <v>100</v>
      </c>
      <c r="I10" s="25">
        <f ca="1">ROUND((基本工资表!H10+基本工资表!I10)/21*G10*2,2)</f>
        <v>428.57</v>
      </c>
      <c r="J10" s="24">
        <f t="shared" ca="1" si="1"/>
        <v>528.56999999999994</v>
      </c>
    </row>
    <row r="11" spans="2:10" ht="16.5">
      <c r="B11" s="101" t="s">
        <v>18</v>
      </c>
      <c r="C11" s="102" t="s">
        <v>192</v>
      </c>
      <c r="D11" s="102" t="s">
        <v>81</v>
      </c>
      <c r="E11" s="102" t="s">
        <v>63</v>
      </c>
      <c r="F11" s="15">
        <v>0</v>
      </c>
      <c r="G11" s="15">
        <v>0</v>
      </c>
      <c r="H11" s="15">
        <f t="shared" si="0"/>
        <v>0</v>
      </c>
      <c r="I11" s="25">
        <f ca="1">ROUND((基本工资表!H11+基本工资表!I11)/21*G11*2,2)</f>
        <v>0</v>
      </c>
      <c r="J11" s="24">
        <f t="shared" ca="1" si="1"/>
        <v>0</v>
      </c>
    </row>
    <row r="12" spans="2:10" ht="16.5">
      <c r="B12" s="101" t="s">
        <v>20</v>
      </c>
      <c r="C12" s="102" t="s">
        <v>193</v>
      </c>
      <c r="D12" s="102" t="s">
        <v>80</v>
      </c>
      <c r="E12" s="102" t="s">
        <v>65</v>
      </c>
      <c r="F12" s="15">
        <v>0</v>
      </c>
      <c r="G12" s="15">
        <v>3</v>
      </c>
      <c r="H12" s="15">
        <f t="shared" si="0"/>
        <v>0</v>
      </c>
      <c r="I12" s="25">
        <f ca="1">ROUND((基本工资表!H12+基本工资表!I12)/21*G12*2,2)</f>
        <v>628.57000000000005</v>
      </c>
      <c r="J12" s="24">
        <f t="shared" ca="1" si="1"/>
        <v>628.57000000000005</v>
      </c>
    </row>
    <row r="13" spans="2:10" ht="16.5">
      <c r="B13" s="101" t="s">
        <v>22</v>
      </c>
      <c r="C13" s="102" t="s">
        <v>200</v>
      </c>
      <c r="D13" s="102" t="s">
        <v>80</v>
      </c>
      <c r="E13" s="102" t="s">
        <v>63</v>
      </c>
      <c r="F13" s="15">
        <v>2</v>
      </c>
      <c r="G13" s="15">
        <v>1</v>
      </c>
      <c r="H13" s="15">
        <f t="shared" si="0"/>
        <v>100</v>
      </c>
      <c r="I13" s="25">
        <f ca="1">ROUND((基本工资表!H13+基本工资表!I13)/21*G13*2,2)</f>
        <v>76.19</v>
      </c>
      <c r="J13" s="24">
        <f t="shared" ca="1" si="1"/>
        <v>176.19</v>
      </c>
    </row>
    <row r="14" spans="2:10" ht="16.5">
      <c r="B14" s="101" t="s">
        <v>24</v>
      </c>
      <c r="C14" s="102" t="s">
        <v>227</v>
      </c>
      <c r="D14" s="102" t="s">
        <v>80</v>
      </c>
      <c r="E14" s="102" t="s">
        <v>67</v>
      </c>
      <c r="F14" s="15">
        <v>6.5</v>
      </c>
      <c r="G14" s="15">
        <v>0</v>
      </c>
      <c r="H14" s="15">
        <f t="shared" si="0"/>
        <v>325</v>
      </c>
      <c r="I14" s="25">
        <f ca="1">ROUND((基本工资表!H14+基本工资表!I14)/21*G14*2,2)</f>
        <v>0</v>
      </c>
      <c r="J14" s="24">
        <f t="shared" ca="1" si="1"/>
        <v>325</v>
      </c>
    </row>
    <row r="15" spans="2:10" ht="16.5">
      <c r="B15" s="101" t="s">
        <v>26</v>
      </c>
      <c r="C15" s="102" t="s">
        <v>202</v>
      </c>
      <c r="D15" s="102" t="s">
        <v>81</v>
      </c>
      <c r="E15" s="102" t="s">
        <v>63</v>
      </c>
      <c r="F15" s="15">
        <v>2</v>
      </c>
      <c r="G15" s="15">
        <v>1</v>
      </c>
      <c r="H15" s="15">
        <f t="shared" si="0"/>
        <v>100</v>
      </c>
      <c r="I15" s="25">
        <f ca="1">ROUND((基本工资表!H15+基本工资表!I15)/21*G15*2,2)</f>
        <v>133.33000000000001</v>
      </c>
      <c r="J15" s="24">
        <f t="shared" ca="1" si="1"/>
        <v>233.33</v>
      </c>
    </row>
    <row r="16" spans="2:10" ht="16.5">
      <c r="B16" s="101" t="s">
        <v>28</v>
      </c>
      <c r="C16" s="102" t="s">
        <v>220</v>
      </c>
      <c r="D16" s="102" t="s">
        <v>80</v>
      </c>
      <c r="E16" s="102" t="s">
        <v>71</v>
      </c>
      <c r="F16" s="15">
        <v>5.5</v>
      </c>
      <c r="G16" s="15">
        <v>1</v>
      </c>
      <c r="H16" s="15">
        <f t="shared" si="0"/>
        <v>275</v>
      </c>
      <c r="I16" s="25">
        <f ca="1">ROUND((基本工资表!H16+基本工资表!I16)/21*G16*2,2)</f>
        <v>219.05</v>
      </c>
      <c r="J16" s="24">
        <f t="shared" ca="1" si="1"/>
        <v>494.05</v>
      </c>
    </row>
    <row r="17" spans="2:10" ht="16.5">
      <c r="B17" s="101" t="s">
        <v>30</v>
      </c>
      <c r="C17" s="102" t="s">
        <v>204</v>
      </c>
      <c r="D17" s="102" t="s">
        <v>81</v>
      </c>
      <c r="E17" s="102" t="s">
        <v>70</v>
      </c>
      <c r="F17" s="15">
        <v>4.5</v>
      </c>
      <c r="G17" s="15">
        <v>2</v>
      </c>
      <c r="H17" s="15">
        <f t="shared" si="0"/>
        <v>225</v>
      </c>
      <c r="I17" s="25">
        <f ca="1">ROUND((基本工资表!H17+基本工资表!I17)/21*G17*2,2)</f>
        <v>514.29</v>
      </c>
      <c r="J17" s="24">
        <f t="shared" ca="1" si="1"/>
        <v>739.29</v>
      </c>
    </row>
    <row r="18" spans="2:10" ht="16.5">
      <c r="B18" s="101" t="s">
        <v>32</v>
      </c>
      <c r="C18" s="102" t="s">
        <v>208</v>
      </c>
      <c r="D18" s="102" t="s">
        <v>80</v>
      </c>
      <c r="E18" s="102" t="s">
        <v>63</v>
      </c>
      <c r="F18" s="15">
        <v>0</v>
      </c>
      <c r="G18" s="15">
        <v>0</v>
      </c>
      <c r="H18" s="15">
        <f t="shared" si="0"/>
        <v>0</v>
      </c>
      <c r="I18" s="25">
        <f ca="1">ROUND((基本工资表!H18+基本工资表!I18)/21*G18*2,2)</f>
        <v>0</v>
      </c>
      <c r="J18" s="24">
        <f t="shared" ca="1" si="1"/>
        <v>0</v>
      </c>
    </row>
    <row r="19" spans="2:10" ht="16.5">
      <c r="B19" s="101" t="s">
        <v>34</v>
      </c>
      <c r="C19" s="102" t="s">
        <v>206</v>
      </c>
      <c r="D19" s="102" t="s">
        <v>80</v>
      </c>
      <c r="E19" s="102" t="s">
        <v>71</v>
      </c>
      <c r="F19" s="15">
        <v>5</v>
      </c>
      <c r="G19" s="15">
        <v>0</v>
      </c>
      <c r="H19" s="15">
        <f t="shared" si="0"/>
        <v>250</v>
      </c>
      <c r="I19" s="25">
        <f ca="1">ROUND((基本工资表!H19+基本工资表!I19)/21*G19*2,2)</f>
        <v>0</v>
      </c>
      <c r="J19" s="24">
        <f t="shared" ca="1" si="1"/>
        <v>250</v>
      </c>
    </row>
    <row r="20" spans="2:10" ht="16.5">
      <c r="B20" s="101" t="s">
        <v>36</v>
      </c>
      <c r="C20" s="102" t="s">
        <v>228</v>
      </c>
      <c r="D20" s="102" t="s">
        <v>81</v>
      </c>
      <c r="E20" s="102" t="s">
        <v>71</v>
      </c>
      <c r="F20" s="15">
        <v>0</v>
      </c>
      <c r="G20" s="15">
        <v>0</v>
      </c>
      <c r="H20" s="15">
        <f t="shared" si="0"/>
        <v>0</v>
      </c>
      <c r="I20" s="25">
        <f ca="1">ROUND((基本工资表!H20+基本工资表!I20)/21*G20*2,2)</f>
        <v>0</v>
      </c>
      <c r="J20" s="24">
        <f t="shared" ca="1" si="1"/>
        <v>0</v>
      </c>
    </row>
    <row r="21" spans="2:10" ht="16.5">
      <c r="B21" s="101" t="s">
        <v>38</v>
      </c>
      <c r="C21" s="102" t="s">
        <v>229</v>
      </c>
      <c r="D21" s="102" t="s">
        <v>81</v>
      </c>
      <c r="E21" s="102" t="s">
        <v>63</v>
      </c>
      <c r="F21" s="15">
        <v>0</v>
      </c>
      <c r="G21" s="15">
        <v>0</v>
      </c>
      <c r="H21" s="15">
        <f t="shared" si="0"/>
        <v>0</v>
      </c>
      <c r="I21" s="25">
        <f ca="1">ROUND((基本工资表!H21+基本工资表!I21)/21*G21*2,2)</f>
        <v>0</v>
      </c>
      <c r="J21" s="24">
        <f t="shared" ca="1" si="1"/>
        <v>0</v>
      </c>
    </row>
    <row r="22" spans="2:10" ht="16.5">
      <c r="B22" s="101" t="s">
        <v>39</v>
      </c>
      <c r="C22" s="102" t="s">
        <v>194</v>
      </c>
      <c r="D22" s="102" t="s">
        <v>81</v>
      </c>
      <c r="E22" s="102" t="s">
        <v>70</v>
      </c>
      <c r="F22" s="15">
        <v>2.5</v>
      </c>
      <c r="G22" s="15">
        <v>1</v>
      </c>
      <c r="H22" s="15">
        <f t="shared" si="0"/>
        <v>125</v>
      </c>
      <c r="I22" s="25">
        <f ca="1">ROUND((基本工资表!H22+基本工资表!I22)/21*G22*2,2)</f>
        <v>228.57</v>
      </c>
      <c r="J22" s="24">
        <f t="shared" ca="1" si="1"/>
        <v>353.57</v>
      </c>
    </row>
    <row r="23" spans="2:10" ht="16.5">
      <c r="B23" s="101" t="s">
        <v>41</v>
      </c>
      <c r="C23" s="102" t="s">
        <v>195</v>
      </c>
      <c r="D23" s="102" t="s">
        <v>81</v>
      </c>
      <c r="E23" s="102" t="s">
        <v>63</v>
      </c>
      <c r="F23" s="15">
        <v>3</v>
      </c>
      <c r="G23" s="15">
        <v>0</v>
      </c>
      <c r="H23" s="15">
        <f t="shared" si="0"/>
        <v>150</v>
      </c>
      <c r="I23" s="25">
        <f ca="1">ROUND((基本工资表!H23+基本工资表!I23)/21*G23*2,2)</f>
        <v>0</v>
      </c>
      <c r="J23" s="24">
        <f t="shared" ca="1" si="1"/>
        <v>150</v>
      </c>
    </row>
    <row r="24" spans="2:10" ht="16.5">
      <c r="B24" s="101" t="s">
        <v>43</v>
      </c>
      <c r="C24" s="102" t="s">
        <v>196</v>
      </c>
      <c r="D24" s="102" t="s">
        <v>80</v>
      </c>
      <c r="E24" s="102" t="s">
        <v>63</v>
      </c>
      <c r="F24" s="15">
        <v>0</v>
      </c>
      <c r="G24" s="15">
        <v>0</v>
      </c>
      <c r="H24" s="15">
        <f t="shared" si="0"/>
        <v>0</v>
      </c>
      <c r="I24" s="25">
        <f ca="1">ROUND((基本工资表!H24+基本工资表!I24)/21*G24*2,2)</f>
        <v>0</v>
      </c>
      <c r="J24" s="24">
        <f t="shared" ca="1" si="1"/>
        <v>0</v>
      </c>
    </row>
    <row r="25" spans="2:10" ht="16.5">
      <c r="B25" s="101" t="s">
        <v>45</v>
      </c>
      <c r="C25" s="102" t="s">
        <v>197</v>
      </c>
      <c r="D25" s="102" t="s">
        <v>81</v>
      </c>
      <c r="E25" s="102" t="s">
        <v>67</v>
      </c>
      <c r="F25" s="15">
        <v>0</v>
      </c>
      <c r="G25" s="15">
        <v>3</v>
      </c>
      <c r="H25" s="15">
        <f t="shared" si="0"/>
        <v>0</v>
      </c>
      <c r="I25" s="25">
        <f ca="1">ROUND((基本工资表!H25+基本工资表!I25)/21*G25*2,2)</f>
        <v>657.14</v>
      </c>
      <c r="J25" s="24">
        <f t="shared" ca="1" si="1"/>
        <v>657.14</v>
      </c>
    </row>
    <row r="26" spans="2:10" ht="16.5">
      <c r="B26" s="101" t="s">
        <v>47</v>
      </c>
      <c r="C26" s="102" t="s">
        <v>210</v>
      </c>
      <c r="D26" s="102" t="s">
        <v>80</v>
      </c>
      <c r="E26" s="102" t="s">
        <v>65</v>
      </c>
      <c r="F26" s="15">
        <v>3</v>
      </c>
      <c r="G26" s="15">
        <v>0</v>
      </c>
      <c r="H26" s="15">
        <f t="shared" si="0"/>
        <v>150</v>
      </c>
      <c r="I26" s="25">
        <f ca="1">ROUND((基本工资表!H26+基本工资表!I26)/21*G26*2,2)</f>
        <v>0</v>
      </c>
      <c r="J26" s="24">
        <f t="shared" ca="1" si="1"/>
        <v>150</v>
      </c>
    </row>
    <row r="27" spans="2:10" ht="16.5">
      <c r="B27" s="101" t="s">
        <v>49</v>
      </c>
      <c r="C27" s="102" t="s">
        <v>212</v>
      </c>
      <c r="D27" s="102" t="s">
        <v>80</v>
      </c>
      <c r="E27" s="102" t="s">
        <v>70</v>
      </c>
      <c r="F27" s="15">
        <v>5.5</v>
      </c>
      <c r="G27" s="15">
        <v>4</v>
      </c>
      <c r="H27" s="15">
        <f t="shared" si="0"/>
        <v>275</v>
      </c>
      <c r="I27" s="25">
        <f ca="1">ROUND((基本工资表!H27+基本工资表!I27)/21*G27*2,2)</f>
        <v>1257.1400000000001</v>
      </c>
      <c r="J27" s="24">
        <f t="shared" ca="1" si="1"/>
        <v>1532.14</v>
      </c>
    </row>
    <row r="28" spans="2:10" ht="16.5">
      <c r="B28" s="101" t="s">
        <v>51</v>
      </c>
      <c r="C28" s="102" t="s">
        <v>214</v>
      </c>
      <c r="D28" s="102" t="s">
        <v>80</v>
      </c>
      <c r="E28" s="102" t="s">
        <v>63</v>
      </c>
      <c r="F28" s="15">
        <v>0</v>
      </c>
      <c r="G28" s="15">
        <v>0</v>
      </c>
      <c r="H28" s="15">
        <f t="shared" si="0"/>
        <v>0</v>
      </c>
      <c r="I28" s="25">
        <f ca="1">ROUND((基本工资表!H28+基本工资表!I28)/21*G28*2,2)</f>
        <v>0</v>
      </c>
      <c r="J28" s="24">
        <f t="shared" ca="1" si="1"/>
        <v>0</v>
      </c>
    </row>
    <row r="29" spans="2:10" ht="16.5">
      <c r="B29" s="101" t="s">
        <v>53</v>
      </c>
      <c r="C29" s="102" t="s">
        <v>230</v>
      </c>
      <c r="D29" s="102" t="s">
        <v>80</v>
      </c>
      <c r="E29" s="102" t="s">
        <v>70</v>
      </c>
      <c r="F29" s="15">
        <v>5.5</v>
      </c>
      <c r="G29" s="15">
        <v>2</v>
      </c>
      <c r="H29" s="15">
        <f t="shared" si="0"/>
        <v>275</v>
      </c>
      <c r="I29" s="25">
        <f ca="1">ROUND((基本工资表!H29+基本工资表!I29)/21*G29*2,2)</f>
        <v>514.29</v>
      </c>
      <c r="J29" s="24">
        <f t="shared" ca="1" si="1"/>
        <v>789.29</v>
      </c>
    </row>
    <row r="30" spans="2:10" ht="16.5">
      <c r="B30" s="101" t="s">
        <v>55</v>
      </c>
      <c r="C30" s="102" t="s">
        <v>198</v>
      </c>
      <c r="D30" s="102" t="s">
        <v>81</v>
      </c>
      <c r="E30" s="102" t="s">
        <v>71</v>
      </c>
      <c r="F30" s="15">
        <v>0</v>
      </c>
      <c r="G30" s="15">
        <v>0</v>
      </c>
      <c r="H30" s="15">
        <f t="shared" si="0"/>
        <v>0</v>
      </c>
      <c r="I30" s="25">
        <f ca="1">ROUND((基本工资表!H30+基本工资表!I30)/21*G30*2,2)</f>
        <v>0</v>
      </c>
      <c r="J30" s="24">
        <f t="shared" ca="1" si="1"/>
        <v>0</v>
      </c>
    </row>
    <row r="31" spans="2:10" ht="16.5">
      <c r="B31" s="101" t="s">
        <v>57</v>
      </c>
      <c r="C31" s="102" t="s">
        <v>216</v>
      </c>
      <c r="D31" s="102" t="s">
        <v>80</v>
      </c>
      <c r="E31" s="102" t="s">
        <v>63</v>
      </c>
      <c r="F31" s="15">
        <v>0</v>
      </c>
      <c r="G31" s="15">
        <v>0</v>
      </c>
      <c r="H31" s="15">
        <f t="shared" si="0"/>
        <v>0</v>
      </c>
      <c r="I31" s="25">
        <f ca="1">ROUND((基本工资表!H31+基本工资表!I31)/21*G31*2,2)</f>
        <v>0</v>
      </c>
      <c r="J31" s="24">
        <f t="shared" ca="1" si="1"/>
        <v>0</v>
      </c>
    </row>
    <row r="32" spans="2:10" ht="17.25" thickBot="1">
      <c r="B32" s="103" t="s">
        <v>59</v>
      </c>
      <c r="C32" s="104" t="s">
        <v>218</v>
      </c>
      <c r="D32" s="104" t="s">
        <v>80</v>
      </c>
      <c r="E32" s="104" t="s">
        <v>71</v>
      </c>
      <c r="F32" s="15">
        <v>0</v>
      </c>
      <c r="G32" s="15">
        <v>1</v>
      </c>
      <c r="H32" s="15">
        <f t="shared" si="0"/>
        <v>0</v>
      </c>
      <c r="I32" s="25">
        <f ca="1">ROUND((基本工资表!H32+基本工资表!I32)/21*G32*2,2)</f>
        <v>228.57</v>
      </c>
      <c r="J32" s="24">
        <f t="shared" ca="1" si="1"/>
        <v>228.57</v>
      </c>
    </row>
    <row r="33" ht="14.25" thickTop="1"/>
  </sheetData>
  <mergeCells count="2">
    <mergeCell ref="B1:F1"/>
    <mergeCell ref="G1:J1"/>
  </mergeCells>
  <phoneticPr fontId="1" type="noConversion"/>
  <dataValidations count="1">
    <dataValidation type="list" allowBlank="1" showInputMessage="1" showErrorMessage="1" prompt="请选择输入所在部门！" sqref="E3:E32">
      <formula1>"行政部,销售部,网络安全部,企化部,财务部"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A3" sqref="A3"/>
    </sheetView>
  </sheetViews>
  <sheetFormatPr defaultRowHeight="13.5"/>
  <cols>
    <col min="1" max="1" width="11" bestFit="1" customWidth="1"/>
    <col min="2" max="2" width="17.625" bestFit="1" customWidth="1"/>
  </cols>
  <sheetData>
    <row r="3" spans="1:2">
      <c r="A3" s="49" t="s">
        <v>161</v>
      </c>
      <c r="B3" t="s">
        <v>186</v>
      </c>
    </row>
    <row r="4" spans="1:2">
      <c r="A4" s="50" t="s">
        <v>65</v>
      </c>
      <c r="B4" s="5">
        <v>8330.0500000000011</v>
      </c>
    </row>
    <row r="5" spans="1:2">
      <c r="A5" s="50" t="s">
        <v>67</v>
      </c>
      <c r="B5" s="5">
        <v>11541.82</v>
      </c>
    </row>
    <row r="6" spans="1:2">
      <c r="A6" s="50" t="s">
        <v>70</v>
      </c>
      <c r="B6" s="5">
        <v>16267.18</v>
      </c>
    </row>
    <row r="7" spans="1:2">
      <c r="A7" s="50" t="s">
        <v>63</v>
      </c>
      <c r="B7" s="5">
        <v>112897.21</v>
      </c>
    </row>
    <row r="8" spans="1:2">
      <c r="A8" s="50" t="s">
        <v>71</v>
      </c>
      <c r="B8" s="5">
        <v>11129.39</v>
      </c>
    </row>
    <row r="9" spans="1:2">
      <c r="A9" s="50" t="s">
        <v>162</v>
      </c>
      <c r="B9" s="5">
        <v>160165.65000000002</v>
      </c>
    </row>
  </sheetData>
  <phoneticPr fontId="1" type="noConversion"/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opLeftCell="A16" workbookViewId="0">
      <selection activeCell="K43" sqref="K43"/>
    </sheetView>
  </sheetViews>
  <sheetFormatPr defaultRowHeight="13.5"/>
  <cols>
    <col min="1" max="1" width="4.25" customWidth="1"/>
    <col min="2" max="2" width="6.875" customWidth="1"/>
    <col min="3" max="3" width="10.125" customWidth="1"/>
    <col min="4" max="5" width="8.25" customWidth="1"/>
    <col min="6" max="6" width="8.5" customWidth="1"/>
    <col min="7" max="7" width="10.25" customWidth="1"/>
    <col min="8" max="8" width="8.375" customWidth="1"/>
    <col min="9" max="9" width="8.25" customWidth="1"/>
    <col min="10" max="10" width="10" customWidth="1"/>
    <col min="11" max="11" width="12.625" customWidth="1"/>
    <col min="12" max="12" width="15.625" customWidth="1"/>
    <col min="13" max="13" width="10" customWidth="1"/>
    <col min="14" max="14" width="8.625" customWidth="1"/>
    <col min="15" max="15" width="9.125" customWidth="1"/>
    <col min="16" max="16" width="9.625" customWidth="1"/>
  </cols>
  <sheetData>
    <row r="1" spans="1:16" ht="36.75" customHeight="1" thickBot="1">
      <c r="A1" s="87" t="s">
        <v>158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</row>
    <row r="2" spans="1:16" ht="27" customHeight="1" thickTop="1" thickBot="1">
      <c r="A2" s="43" t="s">
        <v>144</v>
      </c>
      <c r="B2" s="43" t="s">
        <v>145</v>
      </c>
      <c r="C2" s="43" t="s">
        <v>146</v>
      </c>
      <c r="D2" s="43" t="s">
        <v>147</v>
      </c>
      <c r="E2" s="43" t="s">
        <v>148</v>
      </c>
      <c r="F2" s="43" t="s">
        <v>156</v>
      </c>
      <c r="G2" s="43" t="s">
        <v>149</v>
      </c>
      <c r="H2" s="43" t="s">
        <v>150</v>
      </c>
      <c r="I2" s="43" t="s">
        <v>151</v>
      </c>
      <c r="J2" s="44" t="s">
        <v>157</v>
      </c>
      <c r="K2" s="43" t="s">
        <v>152</v>
      </c>
      <c r="L2" s="43" t="s">
        <v>153</v>
      </c>
      <c r="M2" s="43" t="s">
        <v>154</v>
      </c>
      <c r="N2" s="43" t="s">
        <v>155</v>
      </c>
      <c r="O2" s="44" t="s">
        <v>160</v>
      </c>
      <c r="P2" s="45" t="s">
        <v>159</v>
      </c>
    </row>
    <row r="3" spans="1:16" ht="17.25" thickTop="1" thickBot="1">
      <c r="A3" s="56" t="str">
        <f>基本工资表!B3</f>
        <v>001</v>
      </c>
      <c r="B3" s="57" t="str">
        <f>基本工资表!C3</f>
        <v>王小波</v>
      </c>
      <c r="C3" s="57" t="str">
        <f>基本工资表!D3</f>
        <v>销售部</v>
      </c>
      <c r="D3" s="57">
        <f>VLOOKUP(A3,基本工资表!$B$2:$I$32,7)</f>
        <v>800</v>
      </c>
      <c r="E3" s="57">
        <f ca="1">VLOOKUP(A3,基本工资表!$B$2:$I$32,8)</f>
        <v>0</v>
      </c>
      <c r="F3" s="57">
        <f>VLOOKUP(A3,福利补贴管理表!$B$2:$I$32,8)</f>
        <v>800</v>
      </c>
      <c r="G3" s="57">
        <f>IF(ISERROR(VLOOKUP(A3,本月奖惩管理表!$B$2:$G$40,5,FALSE)),"",VLOOKUP(A3,本月奖惩管理表!$B$2:$G$40,5,FALSE))</f>
        <v>22400</v>
      </c>
      <c r="H3" s="57">
        <f ca="1">VLOOKUP(A3,加班统计表!$B$2:$J$32,9)</f>
        <v>276.19</v>
      </c>
      <c r="I3" s="57">
        <f>VLOOKUP(A3,考勤统计表!$B$4:$Q$33,15)</f>
        <v>0</v>
      </c>
      <c r="J3" s="58">
        <f t="shared" ref="J3:J32" ca="1" si="0">SUM(D3:I3)</f>
        <v>24276.19</v>
      </c>
      <c r="K3" s="57">
        <f>VLOOKUP(A3,考勤统计表!$B$4:$Q$33,16)</f>
        <v>60</v>
      </c>
      <c r="L3" s="57">
        <f t="shared" ref="L3:L32" ca="1" si="1">(D3+E3)*0.08+(D3+E3)*0.02+(D3+E3)*0.12</f>
        <v>176</v>
      </c>
      <c r="M3" s="57">
        <f ca="1">VLOOKUP(A3,所得税计算表!B2:I32,8)</f>
        <v>4189.0474999999997</v>
      </c>
      <c r="N3" s="57">
        <f>IF(ISERROR(VLOOKUP(A3,本月奖惩管理表!$B$2:$G$40,6,FALSE)),"",VLOOKUP(A3,本月奖惩管理表!$B$2:$G$40,6,FALSE))</f>
        <v>0</v>
      </c>
      <c r="O3" s="58">
        <f ca="1">SUM(K3:N3)</f>
        <v>4425.0474999999997</v>
      </c>
      <c r="P3" s="59">
        <f ca="1">J3-O3</f>
        <v>19851.142499999998</v>
      </c>
    </row>
    <row r="4" spans="1:16" ht="17.25" thickTop="1" thickBot="1">
      <c r="A4" s="60" t="str">
        <f>基本工资表!B4</f>
        <v>002</v>
      </c>
      <c r="B4" s="61" t="str">
        <f>基本工资表!C4</f>
        <v>周涛</v>
      </c>
      <c r="C4" s="61" t="str">
        <f>基本工资表!D4</f>
        <v>财务部</v>
      </c>
      <c r="D4" s="61">
        <f>VLOOKUP(A4,基本工资表!$B$2:$I$32,7)</f>
        <v>2500</v>
      </c>
      <c r="E4" s="61">
        <f ca="1">VLOOKUP(A4,基本工资表!$B$2:$I$32,8)</f>
        <v>200</v>
      </c>
      <c r="F4" s="61">
        <f>VLOOKUP(A4,福利补贴管理表!$B$2:$I$32,8)</f>
        <v>500</v>
      </c>
      <c r="G4" s="61" t="str">
        <f>IF(ISERROR(VLOOKUP(A4,本月奖惩管理表!$B$2:$G$40,5,FALSE)),"",VLOOKUP(A4,本月奖惩管理表!$B$2:$G$40,5,FALSE))</f>
        <v/>
      </c>
      <c r="H4" s="61">
        <f ca="1">VLOOKUP(A4,加班统计表!$B$2:$J$32,9)</f>
        <v>607.14</v>
      </c>
      <c r="I4" s="61">
        <f>VLOOKUP(A4,考勤统计表!$B$4:$Q$33,15)</f>
        <v>500</v>
      </c>
      <c r="J4" s="62">
        <f t="shared" ca="1" si="0"/>
        <v>4307.1399999999994</v>
      </c>
      <c r="K4" s="57">
        <f>VLOOKUP(A4,考勤统计表!$B$4:$Q$33,16)</f>
        <v>0</v>
      </c>
      <c r="L4" s="57">
        <f t="shared" ref="L4:L28" ca="1" si="2">(D4+E4)*0.08+(D4+E4)*0.02+(D4+E4)*0.12</f>
        <v>594</v>
      </c>
      <c r="M4" s="57">
        <f ca="1">VLOOKUP(A4,所得税计算表!B3:I33,8)</f>
        <v>24.21419999999998</v>
      </c>
      <c r="N4" s="57" t="str">
        <f>IF(ISERROR(VLOOKUP(A4,本月奖惩管理表!$B$2:$G$40,6,FALSE)),"",VLOOKUP(A4,本月奖惩管理表!$B$2:$G$40,6,FALSE))</f>
        <v/>
      </c>
      <c r="O4" s="58">
        <f t="shared" ref="O4:O28" ca="1" si="3">SUM(K4:N4)</f>
        <v>618.21420000000001</v>
      </c>
      <c r="P4" s="59">
        <f t="shared" ref="P4:P28" ca="1" si="4">J4-O4</f>
        <v>3688.9257999999995</v>
      </c>
    </row>
    <row r="5" spans="1:16" ht="17.25" thickTop="1" thickBot="1">
      <c r="A5" s="60" t="str">
        <f>基本工资表!B5</f>
        <v>003</v>
      </c>
      <c r="B5" s="61" t="str">
        <f>基本工资表!C5</f>
        <v>周保国</v>
      </c>
      <c r="C5" s="61" t="str">
        <f>基本工资表!D5</f>
        <v>企划部</v>
      </c>
      <c r="D5" s="61">
        <f>VLOOKUP(A5,基本工资表!$B$2:$I$32,7)</f>
        <v>1800</v>
      </c>
      <c r="E5" s="61">
        <f ca="1">VLOOKUP(A5,基本工资表!$B$2:$I$32,8)</f>
        <v>0</v>
      </c>
      <c r="F5" s="61">
        <f>VLOOKUP(A5,福利补贴管理表!$B$2:$I$32,8)</f>
        <v>550</v>
      </c>
      <c r="G5" s="61" t="str">
        <f>IF(ISERROR(VLOOKUP(A5,本月奖惩管理表!$B$2:$G$40,5,FALSE)),"",VLOOKUP(A5,本月奖惩管理表!$B$2:$G$40,5,FALSE))</f>
        <v/>
      </c>
      <c r="H5" s="61">
        <f ca="1">VLOOKUP(A5,加班统计表!$B$2:$J$32,9)</f>
        <v>371.43</v>
      </c>
      <c r="I5" s="61">
        <f>VLOOKUP(A5,考勤统计表!$B$4:$Q$33,15)</f>
        <v>0</v>
      </c>
      <c r="J5" s="62">
        <f t="shared" ca="1" si="0"/>
        <v>2721.43</v>
      </c>
      <c r="K5" s="57">
        <f>VLOOKUP(A5,考勤统计表!$B$4:$Q$33,16)</f>
        <v>60</v>
      </c>
      <c r="L5" s="57">
        <f t="shared" ca="1" si="2"/>
        <v>396</v>
      </c>
      <c r="M5" s="57">
        <f ca="1">VLOOKUP(A5,所得税计算表!B4:I34,8)</f>
        <v>0</v>
      </c>
      <c r="N5" s="57" t="str">
        <f>IF(ISERROR(VLOOKUP(A5,本月奖惩管理表!$B$2:$G$40,6,FALSE)),"",VLOOKUP(A5,本月奖惩管理表!$B$2:$G$40,6,FALSE))</f>
        <v/>
      </c>
      <c r="O5" s="58">
        <f t="shared" ca="1" si="3"/>
        <v>456</v>
      </c>
      <c r="P5" s="59">
        <f t="shared" ca="1" si="4"/>
        <v>2265.4299999999998</v>
      </c>
    </row>
    <row r="6" spans="1:16" ht="17.25" thickTop="1" thickBot="1">
      <c r="A6" s="60" t="str">
        <f>基本工资表!B6</f>
        <v>004</v>
      </c>
      <c r="B6" s="61" t="str">
        <f>基本工资表!C6</f>
        <v>王芬</v>
      </c>
      <c r="C6" s="61" t="str">
        <f>基本工资表!D6</f>
        <v>企划部</v>
      </c>
      <c r="D6" s="61">
        <f>VLOOKUP(A6,基本工资表!$B$2:$I$32,7)</f>
        <v>2500</v>
      </c>
      <c r="E6" s="61">
        <f ca="1">VLOOKUP(A6,基本工资表!$B$2:$I$32,8)</f>
        <v>500</v>
      </c>
      <c r="F6" s="61">
        <f>VLOOKUP(A6,福利补贴管理表!$B$2:$I$32,8)</f>
        <v>550</v>
      </c>
      <c r="G6" s="61">
        <f>IF(ISERROR(VLOOKUP(A6,本月奖惩管理表!$B$2:$G$40,5,FALSE)),"",VLOOKUP(A6,本月奖惩管理表!$B$2:$G$40,5,FALSE))</f>
        <v>0</v>
      </c>
      <c r="H6" s="61">
        <f ca="1">VLOOKUP(A6,加班统计表!$B$2:$J$32,9)</f>
        <v>710.71</v>
      </c>
      <c r="I6" s="61">
        <f>VLOOKUP(A6,考勤统计表!$B$4:$Q$33,15)</f>
        <v>0</v>
      </c>
      <c r="J6" s="62">
        <f t="shared" ca="1" si="0"/>
        <v>4260.71</v>
      </c>
      <c r="K6" s="57">
        <f>VLOOKUP(A6,考勤统计表!$B$4:$Q$33,16)</f>
        <v>20</v>
      </c>
      <c r="L6" s="57">
        <f t="shared" ca="1" si="2"/>
        <v>660</v>
      </c>
      <c r="M6" s="57">
        <f ca="1">VLOOKUP(A6,所得税计算表!B5:I35,8)</f>
        <v>22.821300000000001</v>
      </c>
      <c r="N6" s="57">
        <f>IF(ISERROR(VLOOKUP(A6,本月奖惩管理表!$B$2:$G$40,6,FALSE)),"",VLOOKUP(A6,本月奖惩管理表!$B$2:$G$40,6,FALSE))</f>
        <v>200</v>
      </c>
      <c r="O6" s="58">
        <f t="shared" ca="1" si="3"/>
        <v>902.82129999999995</v>
      </c>
      <c r="P6" s="59">
        <f t="shared" ca="1" si="4"/>
        <v>3357.8887</v>
      </c>
    </row>
    <row r="7" spans="1:16" ht="17.25" thickTop="1" thickBot="1">
      <c r="A7" s="60" t="str">
        <f>基本工资表!B7</f>
        <v>005</v>
      </c>
      <c r="B7" s="61" t="str">
        <f>基本工资表!C7</f>
        <v>陈南</v>
      </c>
      <c r="C7" s="61" t="str">
        <f>基本工资表!D7</f>
        <v>网络安全部</v>
      </c>
      <c r="D7" s="61">
        <f>VLOOKUP(A7,基本工资表!$B$2:$I$32,7)</f>
        <v>2000</v>
      </c>
      <c r="E7" s="61">
        <f ca="1">VLOOKUP(A7,基本工资表!$B$2:$I$32,8)</f>
        <v>400</v>
      </c>
      <c r="F7" s="61">
        <f>VLOOKUP(A7,福利补贴管理表!$B$2:$I$32,8)</f>
        <v>650</v>
      </c>
      <c r="G7" s="61" t="str">
        <f>IF(ISERROR(VLOOKUP(A7,本月奖惩管理表!$B$2:$G$40,5,FALSE)),"",VLOOKUP(A7,本月奖惩管理表!$B$2:$G$40,5,FALSE))</f>
        <v/>
      </c>
      <c r="H7" s="61">
        <f ca="1">VLOOKUP(A7,加班统计表!$B$2:$J$32,9)</f>
        <v>278.57</v>
      </c>
      <c r="I7" s="61">
        <f>VLOOKUP(A7,考勤统计表!$B$4:$Q$33,15)</f>
        <v>0</v>
      </c>
      <c r="J7" s="62">
        <f t="shared" ca="1" si="0"/>
        <v>3328.57</v>
      </c>
      <c r="K7" s="57">
        <f>VLOOKUP(A7,考勤统计表!$B$4:$Q$33,16)</f>
        <v>180</v>
      </c>
      <c r="L7" s="57">
        <f t="shared" ca="1" si="2"/>
        <v>528</v>
      </c>
      <c r="M7" s="57">
        <f ca="1">VLOOKUP(A7,所得税计算表!B6:I36,8)</f>
        <v>0</v>
      </c>
      <c r="N7" s="57" t="str">
        <f>IF(ISERROR(VLOOKUP(A7,本月奖惩管理表!$B$2:$G$40,6,FALSE)),"",VLOOKUP(A7,本月奖惩管理表!$B$2:$G$40,6,FALSE))</f>
        <v/>
      </c>
      <c r="O7" s="58">
        <f t="shared" ca="1" si="3"/>
        <v>708</v>
      </c>
      <c r="P7" s="59">
        <f t="shared" ca="1" si="4"/>
        <v>2620.5700000000002</v>
      </c>
    </row>
    <row r="8" spans="1:16" ht="17.25" thickTop="1" thickBot="1">
      <c r="A8" s="60" t="str">
        <f>基本工资表!B8</f>
        <v>006</v>
      </c>
      <c r="B8" s="61" t="str">
        <f>基本工资表!C8</f>
        <v>吴军</v>
      </c>
      <c r="C8" s="61" t="str">
        <f>基本工资表!D8</f>
        <v>销售部</v>
      </c>
      <c r="D8" s="61">
        <f>VLOOKUP(A8,基本工资表!$B$2:$I$32,7)</f>
        <v>800</v>
      </c>
      <c r="E8" s="61">
        <f ca="1">VLOOKUP(A8,基本工资表!$B$2:$I$32,8)</f>
        <v>100</v>
      </c>
      <c r="F8" s="61">
        <f>VLOOKUP(A8,福利补贴管理表!$B$2:$I$32,8)</f>
        <v>700</v>
      </c>
      <c r="G8" s="61">
        <f>IF(ISERROR(VLOOKUP(A8,本月奖惩管理表!$B$2:$G$40,5,FALSE)),"",VLOOKUP(A8,本月奖惩管理表!$B$2:$G$40,5,FALSE))</f>
        <v>4480</v>
      </c>
      <c r="H8" s="61">
        <f ca="1">VLOOKUP(A8,加班统计表!$B$2:$J$32,9)</f>
        <v>0</v>
      </c>
      <c r="I8" s="61">
        <f>VLOOKUP(A8,考勤统计表!$B$4:$Q$33,15)</f>
        <v>500</v>
      </c>
      <c r="J8" s="62">
        <f t="shared" ca="1" si="0"/>
        <v>6580</v>
      </c>
      <c r="K8" s="57">
        <f>VLOOKUP(A8,考勤统计表!$B$4:$Q$33,16)</f>
        <v>0</v>
      </c>
      <c r="L8" s="57">
        <f t="shared" ca="1" si="2"/>
        <v>198</v>
      </c>
      <c r="M8" s="57">
        <f ca="1">VLOOKUP(A8,所得税计算表!B7:I37,8)</f>
        <v>203</v>
      </c>
      <c r="N8" s="57">
        <f>IF(ISERROR(VLOOKUP(A8,本月奖惩管理表!$B$2:$G$40,6,FALSE)),"",VLOOKUP(A8,本月奖惩管理表!$B$2:$G$40,6,FALSE))</f>
        <v>100</v>
      </c>
      <c r="O8" s="58">
        <f t="shared" ca="1" si="3"/>
        <v>501</v>
      </c>
      <c r="P8" s="59">
        <f t="shared" ca="1" si="4"/>
        <v>6079</v>
      </c>
    </row>
    <row r="9" spans="1:16" ht="17.25" thickTop="1" thickBot="1">
      <c r="A9" s="60" t="str">
        <f>基本工资表!B9</f>
        <v>007</v>
      </c>
      <c r="B9" s="61" t="str">
        <f>基本工资表!C9</f>
        <v>王青</v>
      </c>
      <c r="C9" s="61" t="str">
        <f>基本工资表!D9</f>
        <v>网络安全部</v>
      </c>
      <c r="D9" s="61">
        <f>VLOOKUP(A9,基本工资表!$B$2:$I$32,7)</f>
        <v>3000</v>
      </c>
      <c r="E9" s="61">
        <f ca="1">VLOOKUP(A9,基本工资表!$B$2:$I$32,8)</f>
        <v>400</v>
      </c>
      <c r="F9" s="61">
        <f>VLOOKUP(A9,福利补贴管理表!$B$2:$I$32,8)</f>
        <v>650</v>
      </c>
      <c r="G9" s="61" t="str">
        <f>IF(ISERROR(VLOOKUP(A9,本月奖惩管理表!$B$2:$G$40,5,FALSE)),"",VLOOKUP(A9,本月奖惩管理表!$B$2:$G$40,5,FALSE))</f>
        <v/>
      </c>
      <c r="H9" s="61">
        <f ca="1">VLOOKUP(A9,加班统计表!$B$2:$J$32,9)</f>
        <v>175</v>
      </c>
      <c r="I9" s="61">
        <f>VLOOKUP(A9,考勤统计表!$B$4:$Q$33,15)</f>
        <v>0</v>
      </c>
      <c r="J9" s="62">
        <f t="shared" ca="1" si="0"/>
        <v>4225</v>
      </c>
      <c r="K9" s="57">
        <f>VLOOKUP(A9,考勤统计表!$B$4:$Q$33,16)</f>
        <v>160</v>
      </c>
      <c r="L9" s="57">
        <f t="shared" ca="1" si="2"/>
        <v>748</v>
      </c>
      <c r="M9" s="57">
        <f ca="1">VLOOKUP(A9,所得税计算表!B8:I38,8)</f>
        <v>21.75</v>
      </c>
      <c r="N9" s="57" t="str">
        <f>IF(ISERROR(VLOOKUP(A9,本月奖惩管理表!$B$2:$G$40,6,FALSE)),"",VLOOKUP(A9,本月奖惩管理表!$B$2:$G$40,6,FALSE))</f>
        <v/>
      </c>
      <c r="O9" s="58">
        <f t="shared" ca="1" si="3"/>
        <v>929.75</v>
      </c>
      <c r="P9" s="59">
        <f t="shared" ca="1" si="4"/>
        <v>3295.25</v>
      </c>
    </row>
    <row r="10" spans="1:16" ht="17.25" thickTop="1" thickBot="1">
      <c r="A10" s="60" t="str">
        <f>基本工资表!B10</f>
        <v>008</v>
      </c>
      <c r="B10" s="61" t="str">
        <f>基本工资表!C10</f>
        <v>刘勇</v>
      </c>
      <c r="C10" s="61" t="str">
        <f>基本工资表!D10</f>
        <v>行政部</v>
      </c>
      <c r="D10" s="61">
        <f>VLOOKUP(A10,基本工资表!$B$2:$I$32,7)</f>
        <v>1500</v>
      </c>
      <c r="E10" s="61">
        <f ca="1">VLOOKUP(A10,基本工资表!$B$2:$I$32,8)</f>
        <v>0</v>
      </c>
      <c r="F10" s="61">
        <f>VLOOKUP(A10,福利补贴管理表!$B$2:$I$32,8)</f>
        <v>500</v>
      </c>
      <c r="G10" s="61" t="str">
        <f>IF(ISERROR(VLOOKUP(A10,本月奖惩管理表!$B$2:$G$40,5,FALSE)),"",VLOOKUP(A10,本月奖惩管理表!$B$2:$G$40,5,FALSE))</f>
        <v/>
      </c>
      <c r="H10" s="61">
        <f ca="1">VLOOKUP(A10,加班统计表!$B$2:$J$32,9)</f>
        <v>528.56999999999994</v>
      </c>
      <c r="I10" s="61">
        <f>VLOOKUP(A10,考勤统计表!$B$4:$Q$33,15)</f>
        <v>0</v>
      </c>
      <c r="J10" s="62">
        <f t="shared" ca="1" si="0"/>
        <v>2528.5699999999997</v>
      </c>
      <c r="K10" s="57">
        <f>VLOOKUP(A10,考勤统计表!$B$4:$Q$33,16)</f>
        <v>60</v>
      </c>
      <c r="L10" s="57">
        <f t="shared" ca="1" si="2"/>
        <v>330</v>
      </c>
      <c r="M10" s="57">
        <f ca="1">VLOOKUP(A10,所得税计算表!B9:I39,8)</f>
        <v>0</v>
      </c>
      <c r="N10" s="57" t="str">
        <f>IF(ISERROR(VLOOKUP(A10,本月奖惩管理表!$B$2:$G$40,6,FALSE)),"",VLOOKUP(A10,本月奖惩管理表!$B$2:$G$40,6,FALSE))</f>
        <v/>
      </c>
      <c r="O10" s="58">
        <f t="shared" ca="1" si="3"/>
        <v>390</v>
      </c>
      <c r="P10" s="59">
        <f t="shared" ca="1" si="4"/>
        <v>2138.5699999999997</v>
      </c>
    </row>
    <row r="11" spans="1:16" ht="17.25" thickTop="1" thickBot="1">
      <c r="A11" s="60" t="str">
        <f>基本工资表!B11</f>
        <v>009</v>
      </c>
      <c r="B11" s="61" t="str">
        <f>基本工资表!C11</f>
        <v>马梅</v>
      </c>
      <c r="C11" s="61" t="str">
        <f>基本工资表!D11</f>
        <v>销售部</v>
      </c>
      <c r="D11" s="61">
        <f>VLOOKUP(A11,基本工资表!$B$2:$I$32,7)</f>
        <v>2200</v>
      </c>
      <c r="E11" s="61">
        <f ca="1">VLOOKUP(A11,基本工资表!$B$2:$I$32,8)</f>
        <v>400</v>
      </c>
      <c r="F11" s="61">
        <f>VLOOKUP(A11,福利补贴管理表!$B$2:$I$32,8)</f>
        <v>700</v>
      </c>
      <c r="G11" s="61">
        <f>IF(ISERROR(VLOOKUP(A11,本月奖惩管理表!$B$2:$G$40,5,FALSE)),"",VLOOKUP(A11,本月奖惩管理表!$B$2:$G$40,5,FALSE))</f>
        <v>2425</v>
      </c>
      <c r="H11" s="61">
        <f ca="1">VLOOKUP(A11,加班统计表!$B$2:$J$32,9)</f>
        <v>0</v>
      </c>
      <c r="I11" s="61">
        <f>VLOOKUP(A11,考勤统计表!$B$4:$Q$33,15)</f>
        <v>500</v>
      </c>
      <c r="J11" s="62">
        <f t="shared" ca="1" si="0"/>
        <v>6225</v>
      </c>
      <c r="K11" s="57">
        <f>VLOOKUP(A11,考勤统计表!$B$4:$Q$33,16)</f>
        <v>0</v>
      </c>
      <c r="L11" s="57">
        <f t="shared" ca="1" si="2"/>
        <v>572</v>
      </c>
      <c r="M11" s="57">
        <f ca="1">VLOOKUP(A11,所得税计算表!B10:I40,8)</f>
        <v>167.5</v>
      </c>
      <c r="N11" s="57">
        <f>IF(ISERROR(VLOOKUP(A11,本月奖惩管理表!$B$2:$G$40,6,FALSE)),"",VLOOKUP(A11,本月奖惩管理表!$B$2:$G$40,6,FALSE))</f>
        <v>0</v>
      </c>
      <c r="O11" s="58">
        <f t="shared" ca="1" si="3"/>
        <v>739.5</v>
      </c>
      <c r="P11" s="59">
        <f t="shared" ca="1" si="4"/>
        <v>5485.5</v>
      </c>
    </row>
    <row r="12" spans="1:16" ht="17.25" thickTop="1" thickBot="1">
      <c r="A12" s="60" t="str">
        <f>基本工资表!B12</f>
        <v>010</v>
      </c>
      <c r="B12" s="61" t="str">
        <f>基本工资表!C12</f>
        <v>吴小华</v>
      </c>
      <c r="C12" s="61" t="str">
        <f>基本工资表!D12</f>
        <v>财务部</v>
      </c>
      <c r="D12" s="61">
        <f>VLOOKUP(A12,基本工资表!$B$2:$I$32,7)</f>
        <v>1500</v>
      </c>
      <c r="E12" s="61">
        <f ca="1">VLOOKUP(A12,基本工资表!$B$2:$I$32,8)</f>
        <v>700</v>
      </c>
      <c r="F12" s="61">
        <f>VLOOKUP(A12,福利补贴管理表!$B$2:$I$32,8)</f>
        <v>500</v>
      </c>
      <c r="G12" s="61">
        <f>IF(ISERROR(VLOOKUP(A12,本月奖惩管理表!$B$2:$G$40,5,FALSE)),"",VLOOKUP(A12,本月奖惩管理表!$B$2:$G$40,5,FALSE))</f>
        <v>200</v>
      </c>
      <c r="H12" s="61">
        <f ca="1">VLOOKUP(A12,加班统计表!$B$2:$J$32,9)</f>
        <v>628.57000000000005</v>
      </c>
      <c r="I12" s="61">
        <f>VLOOKUP(A12,考勤统计表!$B$4:$Q$33,15)</f>
        <v>0</v>
      </c>
      <c r="J12" s="62">
        <f t="shared" ca="1" si="0"/>
        <v>3528.57</v>
      </c>
      <c r="K12" s="57">
        <f>VLOOKUP(A12,考勤统计表!$B$4:$Q$33,16)</f>
        <v>140</v>
      </c>
      <c r="L12" s="57">
        <f t="shared" ca="1" si="2"/>
        <v>484</v>
      </c>
      <c r="M12" s="57">
        <f ca="1">VLOOKUP(A12,所得税计算表!B11:I41,8)</f>
        <v>0.85710000000000486</v>
      </c>
      <c r="N12" s="57">
        <f>IF(ISERROR(VLOOKUP(A12,本月奖惩管理表!$B$2:$G$40,6,FALSE)),"",VLOOKUP(A12,本月奖惩管理表!$B$2:$G$40,6,FALSE))</f>
        <v>0</v>
      </c>
      <c r="O12" s="58">
        <f t="shared" ca="1" si="3"/>
        <v>624.85710000000006</v>
      </c>
      <c r="P12" s="59">
        <f t="shared" ca="1" si="4"/>
        <v>2903.7129</v>
      </c>
    </row>
    <row r="13" spans="1:16" ht="17.25" thickTop="1" thickBot="1">
      <c r="A13" s="60" t="str">
        <f>基本工资表!B13</f>
        <v>011</v>
      </c>
      <c r="B13" s="61" t="str">
        <f>基本工资表!C13</f>
        <v>唐嫣</v>
      </c>
      <c r="C13" s="61" t="str">
        <f>基本工资表!D13</f>
        <v>销售部</v>
      </c>
      <c r="D13" s="61">
        <f>VLOOKUP(A13,基本工资表!$B$2:$I$32,7)</f>
        <v>800</v>
      </c>
      <c r="E13" s="61">
        <f ca="1">VLOOKUP(A13,基本工资表!$B$2:$I$32,8)</f>
        <v>0</v>
      </c>
      <c r="F13" s="61">
        <f>VLOOKUP(A13,福利补贴管理表!$B$2:$I$32,8)</f>
        <v>800</v>
      </c>
      <c r="G13" s="61">
        <f>IF(ISERROR(VLOOKUP(A13,本月奖惩管理表!$B$2:$G$40,5,FALSE)),"",VLOOKUP(A13,本月奖惩管理表!$B$2:$G$40,5,FALSE))</f>
        <v>2284.5</v>
      </c>
      <c r="H13" s="61">
        <f ca="1">VLOOKUP(A13,加班统计表!$B$2:$J$32,9)</f>
        <v>176.19</v>
      </c>
      <c r="I13" s="61">
        <f>VLOOKUP(A13,考勤统计表!$B$4:$Q$33,15)</f>
        <v>0</v>
      </c>
      <c r="J13" s="62">
        <f t="shared" ca="1" si="0"/>
        <v>4060.69</v>
      </c>
      <c r="K13" s="57">
        <f>VLOOKUP(A13,考勤统计表!$B$4:$Q$33,16)</f>
        <v>220</v>
      </c>
      <c r="L13" s="57">
        <f t="shared" ca="1" si="2"/>
        <v>176</v>
      </c>
      <c r="M13" s="57">
        <f ca="1">VLOOKUP(A13,所得税计算表!B12:I42,8)</f>
        <v>16.820700000000002</v>
      </c>
      <c r="N13" s="57">
        <f>IF(ISERROR(VLOOKUP(A13,本月奖惩管理表!$B$2:$G$40,6,FALSE)),"",VLOOKUP(A13,本月奖惩管理表!$B$2:$G$40,6,FALSE))</f>
        <v>0</v>
      </c>
      <c r="O13" s="58">
        <f t="shared" ca="1" si="3"/>
        <v>412.82069999999999</v>
      </c>
      <c r="P13" s="59">
        <f t="shared" ca="1" si="4"/>
        <v>3647.8693000000003</v>
      </c>
    </row>
    <row r="14" spans="1:16" ht="17.25" thickTop="1" thickBot="1">
      <c r="A14" s="60" t="str">
        <f>基本工资表!B14</f>
        <v>012</v>
      </c>
      <c r="B14" s="61" t="str">
        <f>基本工资表!C14</f>
        <v>周丽萍</v>
      </c>
      <c r="C14" s="61" t="str">
        <f>基本工资表!D14</f>
        <v>企划部</v>
      </c>
      <c r="D14" s="61">
        <f>VLOOKUP(A14,基本工资表!$B$2:$I$32,7)</f>
        <v>1800</v>
      </c>
      <c r="E14" s="61">
        <f ca="1">VLOOKUP(A14,基本工资表!$B$2:$I$32,8)</f>
        <v>600</v>
      </c>
      <c r="F14" s="61">
        <f>VLOOKUP(A14,福利补贴管理表!$B$2:$I$32,8)</f>
        <v>650</v>
      </c>
      <c r="G14" s="61">
        <f>IF(ISERROR(VLOOKUP(A14,本月奖惩管理表!$B$2:$G$40,5,FALSE)),"",VLOOKUP(A14,本月奖惩管理表!$B$2:$G$40,5,FALSE))</f>
        <v>1000</v>
      </c>
      <c r="H14" s="61">
        <f ca="1">VLOOKUP(A14,加班统计表!$B$2:$J$32,9)</f>
        <v>325</v>
      </c>
      <c r="I14" s="61">
        <f>VLOOKUP(A14,考勤统计表!$B$4:$Q$33,15)</f>
        <v>0</v>
      </c>
      <c r="J14" s="62">
        <f t="shared" ca="1" si="0"/>
        <v>4375</v>
      </c>
      <c r="K14" s="57">
        <f>VLOOKUP(A14,考勤统计表!$B$4:$Q$33,16)</f>
        <v>0</v>
      </c>
      <c r="L14" s="57">
        <f t="shared" ca="1" si="2"/>
        <v>528</v>
      </c>
      <c r="M14" s="57">
        <f ca="1">VLOOKUP(A14,所得税计算表!B13:I43,8)</f>
        <v>26.25</v>
      </c>
      <c r="N14" s="57">
        <f>IF(ISERROR(VLOOKUP(A14,本月奖惩管理表!$B$2:$G$40,6,FALSE)),"",VLOOKUP(A14,本月奖惩管理表!$B$2:$G$40,6,FALSE))</f>
        <v>0</v>
      </c>
      <c r="O14" s="58">
        <f t="shared" ca="1" si="3"/>
        <v>554.25</v>
      </c>
      <c r="P14" s="59">
        <f t="shared" ca="1" si="4"/>
        <v>3820.75</v>
      </c>
    </row>
    <row r="15" spans="1:16" ht="17.25" thickTop="1" thickBot="1">
      <c r="A15" s="60" t="str">
        <f>基本工资表!B15</f>
        <v>013</v>
      </c>
      <c r="B15" s="61" t="str">
        <f>基本工资表!C15</f>
        <v>王华</v>
      </c>
      <c r="C15" s="61" t="str">
        <f>基本工资表!D15</f>
        <v>销售部</v>
      </c>
      <c r="D15" s="61">
        <f>VLOOKUP(A15,基本工资表!$B$2:$I$32,7)</f>
        <v>800</v>
      </c>
      <c r="E15" s="61">
        <f ca="1">VLOOKUP(A15,基本工资表!$B$2:$I$32,8)</f>
        <v>600</v>
      </c>
      <c r="F15" s="61">
        <f>VLOOKUP(A15,福利补贴管理表!$B$2:$I$32,8)</f>
        <v>700</v>
      </c>
      <c r="G15" s="61">
        <f>IF(ISERROR(VLOOKUP(A15,本月奖惩管理表!$B$2:$G$40,5,FALSE)),"",VLOOKUP(A15,本月奖惩管理表!$B$2:$G$40,5,FALSE))</f>
        <v>1850</v>
      </c>
      <c r="H15" s="61">
        <f ca="1">VLOOKUP(A15,加班统计表!$B$2:$J$32,9)</f>
        <v>233.33</v>
      </c>
      <c r="I15" s="61">
        <f>VLOOKUP(A15,考勤统计表!$B$4:$Q$33,15)</f>
        <v>0</v>
      </c>
      <c r="J15" s="62">
        <f t="shared" ca="1" si="0"/>
        <v>4183.33</v>
      </c>
      <c r="K15" s="57">
        <f>VLOOKUP(A15,考勤统计表!$B$4:$Q$33,16)</f>
        <v>20</v>
      </c>
      <c r="L15" s="57">
        <f t="shared" ca="1" si="2"/>
        <v>308</v>
      </c>
      <c r="M15" s="57">
        <f ca="1">VLOOKUP(A15,所得税计算表!B14:I44,8)</f>
        <v>20.499899999999997</v>
      </c>
      <c r="N15" s="57">
        <f>IF(ISERROR(VLOOKUP(A15,本月奖惩管理表!$B$2:$G$40,6,FALSE)),"",VLOOKUP(A15,本月奖惩管理表!$B$2:$G$40,6,FALSE))</f>
        <v>0</v>
      </c>
      <c r="O15" s="58">
        <f t="shared" ca="1" si="3"/>
        <v>348.49990000000003</v>
      </c>
      <c r="P15" s="59">
        <f t="shared" ca="1" si="4"/>
        <v>3834.8301000000001</v>
      </c>
    </row>
    <row r="16" spans="1:16" ht="17.25" thickTop="1" thickBot="1">
      <c r="A16" s="60" t="str">
        <f>基本工资表!B16</f>
        <v>014</v>
      </c>
      <c r="B16" s="61" t="str">
        <f>基本工资表!C16</f>
        <v>张学兴</v>
      </c>
      <c r="C16" s="61" t="str">
        <f>基本工资表!D16</f>
        <v>行政部</v>
      </c>
      <c r="D16" s="61">
        <f>VLOOKUP(A16,基本工资表!$B$2:$I$32,7)</f>
        <v>1500</v>
      </c>
      <c r="E16" s="61">
        <f ca="1">VLOOKUP(A16,基本工资表!$B$2:$I$32,8)</f>
        <v>800</v>
      </c>
      <c r="F16" s="61">
        <f>VLOOKUP(A16,福利补贴管理表!$B$2:$I$32,8)</f>
        <v>500</v>
      </c>
      <c r="G16" s="61" t="str">
        <f>IF(ISERROR(VLOOKUP(A16,本月奖惩管理表!$B$2:$G$40,5,FALSE)),"",VLOOKUP(A16,本月奖惩管理表!$B$2:$G$40,5,FALSE))</f>
        <v/>
      </c>
      <c r="H16" s="61">
        <f ca="1">VLOOKUP(A16,加班统计表!$B$2:$J$32,9)</f>
        <v>494.05</v>
      </c>
      <c r="I16" s="61">
        <f>VLOOKUP(A16,考勤统计表!$B$4:$Q$33,15)</f>
        <v>0</v>
      </c>
      <c r="J16" s="62">
        <f t="shared" ca="1" si="0"/>
        <v>3294.05</v>
      </c>
      <c r="K16" s="57">
        <f>VLOOKUP(A16,考勤统计表!$B$4:$Q$33,16)</f>
        <v>60</v>
      </c>
      <c r="L16" s="57">
        <f t="shared" ca="1" si="2"/>
        <v>506</v>
      </c>
      <c r="M16" s="57">
        <f ca="1">VLOOKUP(A16,所得税计算表!B15:I45,8)</f>
        <v>0</v>
      </c>
      <c r="N16" s="57" t="str">
        <f>IF(ISERROR(VLOOKUP(A16,本月奖惩管理表!$B$2:$G$40,6,FALSE)),"",VLOOKUP(A16,本月奖惩管理表!$B$2:$G$40,6,FALSE))</f>
        <v/>
      </c>
      <c r="O16" s="58">
        <f t="shared" ca="1" si="3"/>
        <v>566</v>
      </c>
      <c r="P16" s="59">
        <f t="shared" ca="1" si="4"/>
        <v>2728.05</v>
      </c>
    </row>
    <row r="17" spans="1:16" ht="17.25" thickTop="1" thickBot="1">
      <c r="A17" s="60" t="str">
        <f>基本工资表!B17</f>
        <v>015</v>
      </c>
      <c r="B17" s="61" t="str">
        <f>基本工资表!C17</f>
        <v>汪磊</v>
      </c>
      <c r="C17" s="61" t="str">
        <f>基本工资表!D17</f>
        <v>网络安全部</v>
      </c>
      <c r="D17" s="61">
        <f>VLOOKUP(A17,基本工资表!$B$2:$I$32,7)</f>
        <v>2000</v>
      </c>
      <c r="E17" s="61">
        <f ca="1">VLOOKUP(A17,基本工资表!$B$2:$I$32,8)</f>
        <v>700</v>
      </c>
      <c r="F17" s="61">
        <f>VLOOKUP(A17,福利补贴管理表!$B$2:$I$32,8)</f>
        <v>550</v>
      </c>
      <c r="G17" s="61" t="str">
        <f>IF(ISERROR(VLOOKUP(A17,本月奖惩管理表!$B$2:$G$40,5,FALSE)),"",VLOOKUP(A17,本月奖惩管理表!$B$2:$G$40,5,FALSE))</f>
        <v/>
      </c>
      <c r="H17" s="61">
        <f ca="1">VLOOKUP(A17,加班统计表!$B$2:$J$32,9)</f>
        <v>739.29</v>
      </c>
      <c r="I17" s="61">
        <f>VLOOKUP(A17,考勤统计表!$B$4:$Q$33,15)</f>
        <v>0</v>
      </c>
      <c r="J17" s="62">
        <f t="shared" ca="1" si="0"/>
        <v>3989.29</v>
      </c>
      <c r="K17" s="57">
        <f>VLOOKUP(A17,考勤统计表!$B$4:$Q$33,16)</f>
        <v>60</v>
      </c>
      <c r="L17" s="57">
        <f t="shared" ca="1" si="2"/>
        <v>594</v>
      </c>
      <c r="M17" s="57">
        <f ca="1">VLOOKUP(A17,所得税计算表!B16:I46,8)</f>
        <v>14.678699999999999</v>
      </c>
      <c r="N17" s="57" t="str">
        <f>IF(ISERROR(VLOOKUP(A17,本月奖惩管理表!$B$2:$G$40,6,FALSE)),"",VLOOKUP(A17,本月奖惩管理表!$B$2:$G$40,6,FALSE))</f>
        <v/>
      </c>
      <c r="O17" s="58">
        <f t="shared" ca="1" si="3"/>
        <v>668.67870000000005</v>
      </c>
      <c r="P17" s="59">
        <f t="shared" ca="1" si="4"/>
        <v>3320.6113</v>
      </c>
    </row>
    <row r="18" spans="1:16" ht="17.25" thickTop="1" thickBot="1">
      <c r="A18" s="60" t="str">
        <f>基本工资表!B18</f>
        <v>016</v>
      </c>
      <c r="B18" s="61" t="str">
        <f>基本工资表!C18</f>
        <v>陈华</v>
      </c>
      <c r="C18" s="61" t="str">
        <f>基本工资表!D18</f>
        <v>销售部</v>
      </c>
      <c r="D18" s="61">
        <f>VLOOKUP(A18,基本工资表!$B$2:$I$32,7)</f>
        <v>800</v>
      </c>
      <c r="E18" s="61">
        <f ca="1">VLOOKUP(A18,基本工资表!$B$2:$I$32,8)</f>
        <v>600</v>
      </c>
      <c r="F18" s="61">
        <f>VLOOKUP(A18,福利补贴管理表!$B$2:$I$32,8)</f>
        <v>800</v>
      </c>
      <c r="G18" s="61">
        <f>IF(ISERROR(VLOOKUP(A18,本月奖惩管理表!$B$2:$G$40,5,FALSE)),"",VLOOKUP(A18,本月奖惩管理表!$B$2:$G$40,5,FALSE))</f>
        <v>510</v>
      </c>
      <c r="H18" s="61">
        <f ca="1">VLOOKUP(A18,加班统计表!$B$2:$J$32,9)</f>
        <v>0</v>
      </c>
      <c r="I18" s="61">
        <f>VLOOKUP(A18,考勤统计表!$B$4:$Q$33,15)</f>
        <v>0</v>
      </c>
      <c r="J18" s="62">
        <f t="shared" ca="1" si="0"/>
        <v>2710</v>
      </c>
      <c r="K18" s="57">
        <f>VLOOKUP(A18,考勤统计表!$B$4:$Q$33,16)</f>
        <v>160</v>
      </c>
      <c r="L18" s="57">
        <f t="shared" ca="1" si="2"/>
        <v>308</v>
      </c>
      <c r="M18" s="57">
        <f ca="1">VLOOKUP(A18,所得税计算表!B17:I47,8)</f>
        <v>0</v>
      </c>
      <c r="N18" s="57">
        <f>IF(ISERROR(VLOOKUP(A18,本月奖惩管理表!$B$2:$G$40,6,FALSE)),"",VLOOKUP(A18,本月奖惩管理表!$B$2:$G$40,6,FALSE))</f>
        <v>0</v>
      </c>
      <c r="O18" s="58">
        <f t="shared" ca="1" si="3"/>
        <v>468</v>
      </c>
      <c r="P18" s="59">
        <f t="shared" ca="1" si="4"/>
        <v>2242</v>
      </c>
    </row>
    <row r="19" spans="1:16" ht="17.25" thickTop="1" thickBot="1">
      <c r="A19" s="60" t="str">
        <f>基本工资表!B19</f>
        <v>017</v>
      </c>
      <c r="B19" s="61" t="str">
        <f>基本工资表!C19</f>
        <v>刘俊</v>
      </c>
      <c r="C19" s="61" t="str">
        <f>基本工资表!D19</f>
        <v>行政部</v>
      </c>
      <c r="D19" s="61">
        <f>VLOOKUP(A19,基本工资表!$B$2:$I$32,7)</f>
        <v>1500</v>
      </c>
      <c r="E19" s="61">
        <f ca="1">VLOOKUP(A19,基本工资表!$B$2:$I$32,8)</f>
        <v>200</v>
      </c>
      <c r="F19" s="61">
        <f>VLOOKUP(A19,福利补贴管理表!$B$2:$I$32,8)</f>
        <v>500</v>
      </c>
      <c r="G19" s="61" t="str">
        <f>IF(ISERROR(VLOOKUP(A19,本月奖惩管理表!$B$2:$G$40,5,FALSE)),"",VLOOKUP(A19,本月奖惩管理表!$B$2:$G$40,5,FALSE))</f>
        <v/>
      </c>
      <c r="H19" s="61">
        <f ca="1">VLOOKUP(A19,加班统计表!$B$2:$J$32,9)</f>
        <v>250</v>
      </c>
      <c r="I19" s="61">
        <f>VLOOKUP(A19,考勤统计表!$B$4:$Q$33,15)</f>
        <v>0</v>
      </c>
      <c r="J19" s="62">
        <f t="shared" ca="1" si="0"/>
        <v>2450</v>
      </c>
      <c r="K19" s="57">
        <f>VLOOKUP(A19,考勤统计表!$B$4:$Q$33,16)</f>
        <v>280</v>
      </c>
      <c r="L19" s="57">
        <f t="shared" ca="1" si="2"/>
        <v>374</v>
      </c>
      <c r="M19" s="57">
        <f ca="1">VLOOKUP(A19,所得税计算表!B18:I48,8)</f>
        <v>0</v>
      </c>
      <c r="N19" s="57" t="str">
        <f>IF(ISERROR(VLOOKUP(A19,本月奖惩管理表!$B$2:$G$40,6,FALSE)),"",VLOOKUP(A19,本月奖惩管理表!$B$2:$G$40,6,FALSE))</f>
        <v/>
      </c>
      <c r="O19" s="58">
        <f t="shared" ca="1" si="3"/>
        <v>654</v>
      </c>
      <c r="P19" s="59">
        <f t="shared" ca="1" si="4"/>
        <v>1796</v>
      </c>
    </row>
    <row r="20" spans="1:16" ht="17.25" thickTop="1" thickBot="1">
      <c r="A20" s="60" t="str">
        <f>基本工资表!B20</f>
        <v>018</v>
      </c>
      <c r="B20" s="61" t="str">
        <f>基本工资表!C20</f>
        <v>邓超</v>
      </c>
      <c r="C20" s="61" t="str">
        <f>基本工资表!D20</f>
        <v>行政部</v>
      </c>
      <c r="D20" s="61">
        <f>VLOOKUP(A20,基本工资表!$B$2:$I$32,7)</f>
        <v>1500</v>
      </c>
      <c r="E20" s="61">
        <f ca="1">VLOOKUP(A20,基本工资表!$B$2:$I$32,8)</f>
        <v>300</v>
      </c>
      <c r="F20" s="61">
        <f>VLOOKUP(A20,福利补贴管理表!$B$2:$I$32,8)</f>
        <v>400</v>
      </c>
      <c r="G20" s="61" t="str">
        <f>IF(ISERROR(VLOOKUP(A20,本月奖惩管理表!$B$2:$G$40,5,FALSE)),"",VLOOKUP(A20,本月奖惩管理表!$B$2:$G$40,5,FALSE))</f>
        <v/>
      </c>
      <c r="H20" s="61">
        <f ca="1">VLOOKUP(A20,加班统计表!$B$2:$J$32,9)</f>
        <v>0</v>
      </c>
      <c r="I20" s="61">
        <f>VLOOKUP(A20,考勤统计表!$B$4:$Q$33,15)</f>
        <v>0</v>
      </c>
      <c r="J20" s="62">
        <f t="shared" ca="1" si="0"/>
        <v>2200</v>
      </c>
      <c r="K20" s="57">
        <f>VLOOKUP(A20,考勤统计表!$B$4:$Q$33,16)</f>
        <v>220</v>
      </c>
      <c r="L20" s="57">
        <f t="shared" ca="1" si="2"/>
        <v>396</v>
      </c>
      <c r="M20" s="57">
        <f ca="1">VLOOKUP(A20,所得税计算表!B19:I49,8)</f>
        <v>0</v>
      </c>
      <c r="N20" s="57" t="str">
        <f>IF(ISERROR(VLOOKUP(A20,本月奖惩管理表!$B$2:$G$40,6,FALSE)),"",VLOOKUP(A20,本月奖惩管理表!$B$2:$G$40,6,FALSE))</f>
        <v/>
      </c>
      <c r="O20" s="58">
        <f t="shared" ca="1" si="3"/>
        <v>616</v>
      </c>
      <c r="P20" s="59">
        <f t="shared" ca="1" si="4"/>
        <v>1584</v>
      </c>
    </row>
    <row r="21" spans="1:16" ht="17.25" thickTop="1" thickBot="1">
      <c r="A21" s="60" t="str">
        <f>基本工资表!B21</f>
        <v>019</v>
      </c>
      <c r="B21" s="61" t="str">
        <f>基本工资表!C21</f>
        <v>何晓飞</v>
      </c>
      <c r="C21" s="61" t="str">
        <f>基本工资表!D21</f>
        <v>销售部</v>
      </c>
      <c r="D21" s="61">
        <f>VLOOKUP(A21,基本工资表!$B$2:$I$32,7)</f>
        <v>800</v>
      </c>
      <c r="E21" s="61">
        <f ca="1">VLOOKUP(A21,基本工资表!$B$2:$I$32,8)</f>
        <v>100</v>
      </c>
      <c r="F21" s="61">
        <f>VLOOKUP(A21,福利补贴管理表!$B$2:$I$32,8)</f>
        <v>700</v>
      </c>
      <c r="G21" s="61">
        <f>IF(ISERROR(VLOOKUP(A21,本月奖惩管理表!$B$2:$G$40,5,FALSE)),"",VLOOKUP(A21,本月奖惩管理表!$B$2:$G$40,5,FALSE))</f>
        <v>10032</v>
      </c>
      <c r="H21" s="61">
        <f ca="1">VLOOKUP(A21,加班统计表!$B$2:$J$32,9)</f>
        <v>0</v>
      </c>
      <c r="I21" s="61">
        <f>VLOOKUP(A21,考勤统计表!$B$4:$Q$33,15)</f>
        <v>500</v>
      </c>
      <c r="J21" s="62">
        <f t="shared" ca="1" si="0"/>
        <v>12132</v>
      </c>
      <c r="K21" s="57">
        <f>VLOOKUP(A21,考勤统计表!$B$4:$Q$33,16)</f>
        <v>0</v>
      </c>
      <c r="L21" s="57">
        <f t="shared" ca="1" si="2"/>
        <v>198</v>
      </c>
      <c r="M21" s="57">
        <f ca="1">VLOOKUP(A21,所得税计算表!B20:I50,8)</f>
        <v>1171.4000000000001</v>
      </c>
      <c r="N21" s="57">
        <f>IF(ISERROR(VLOOKUP(A21,本月奖惩管理表!$B$2:$G$40,6,FALSE)),"",VLOOKUP(A21,本月奖惩管理表!$B$2:$G$40,6,FALSE))</f>
        <v>0</v>
      </c>
      <c r="O21" s="58">
        <f t="shared" ca="1" si="3"/>
        <v>1369.4</v>
      </c>
      <c r="P21" s="59">
        <f t="shared" ca="1" si="4"/>
        <v>10762.6</v>
      </c>
    </row>
    <row r="22" spans="1:16" ht="17.25" thickTop="1" thickBot="1">
      <c r="A22" s="60" t="str">
        <f>基本工资表!B22</f>
        <v>020</v>
      </c>
      <c r="B22" s="61" t="str">
        <f>基本工资表!C22</f>
        <v>杨静</v>
      </c>
      <c r="C22" s="61" t="str">
        <f>基本工资表!D22</f>
        <v>网络安全部</v>
      </c>
      <c r="D22" s="61">
        <f>VLOOKUP(A22,基本工资表!$B$2:$I$32,7)</f>
        <v>2000</v>
      </c>
      <c r="E22" s="61">
        <f ca="1">VLOOKUP(A22,基本工资表!$B$2:$I$32,8)</f>
        <v>400</v>
      </c>
      <c r="F22" s="61">
        <f>VLOOKUP(A22,福利补贴管理表!$B$2:$I$32,8)</f>
        <v>550</v>
      </c>
      <c r="G22" s="61">
        <f>IF(ISERROR(VLOOKUP(A22,本月奖惩管理表!$B$2:$G$40,5,FALSE)),"",VLOOKUP(A22,本月奖惩管理表!$B$2:$G$40,5,FALSE))</f>
        <v>0</v>
      </c>
      <c r="H22" s="61">
        <f ca="1">VLOOKUP(A22,加班统计表!$B$2:$J$32,9)</f>
        <v>353.57</v>
      </c>
      <c r="I22" s="61">
        <f>VLOOKUP(A22,考勤统计表!$B$4:$Q$33,15)</f>
        <v>0</v>
      </c>
      <c r="J22" s="62">
        <f t="shared" ca="1" si="0"/>
        <v>3303.57</v>
      </c>
      <c r="K22" s="57">
        <f>VLOOKUP(A22,考勤统计表!$B$4:$Q$33,16)</f>
        <v>160</v>
      </c>
      <c r="L22" s="57">
        <f t="shared" ca="1" si="2"/>
        <v>528</v>
      </c>
      <c r="M22" s="57">
        <f ca="1">VLOOKUP(A22,所得税计算表!B21:I51,8)</f>
        <v>0</v>
      </c>
      <c r="N22" s="57">
        <f>IF(ISERROR(VLOOKUP(A22,本月奖惩管理表!$B$2:$G$40,6,FALSE)),"",VLOOKUP(A22,本月奖惩管理表!$B$2:$G$40,6,FALSE))</f>
        <v>180</v>
      </c>
      <c r="O22" s="58">
        <f t="shared" ca="1" si="3"/>
        <v>868</v>
      </c>
      <c r="P22" s="59">
        <f t="shared" ca="1" si="4"/>
        <v>2435.5700000000002</v>
      </c>
    </row>
    <row r="23" spans="1:16" ht="17.25" thickTop="1" thickBot="1">
      <c r="A23" s="60" t="str">
        <f>基本工资表!B23</f>
        <v>021</v>
      </c>
      <c r="B23" s="61" t="str">
        <f>基本工资表!C23</f>
        <v>汪任</v>
      </c>
      <c r="C23" s="61" t="str">
        <f>基本工资表!D23</f>
        <v>销售部</v>
      </c>
      <c r="D23" s="61">
        <f>VLOOKUP(A23,基本工资表!$B$2:$I$32,7)</f>
        <v>800</v>
      </c>
      <c r="E23" s="61">
        <f ca="1">VLOOKUP(A23,基本工资表!$B$2:$I$32,8)</f>
        <v>500</v>
      </c>
      <c r="F23" s="61">
        <f>VLOOKUP(A23,福利补贴管理表!$B$2:$I$32,8)</f>
        <v>700</v>
      </c>
      <c r="G23" s="61">
        <f>IF(ISERROR(VLOOKUP(A23,本月奖惩管理表!$B$2:$G$40,5,FALSE)),"",VLOOKUP(A23,本月奖惩管理表!$B$2:$G$40,5,FALSE))</f>
        <v>35081.599999999999</v>
      </c>
      <c r="H23" s="61">
        <f ca="1">VLOOKUP(A23,加班统计表!$B$2:$J$32,9)</f>
        <v>150</v>
      </c>
      <c r="I23" s="61">
        <f>VLOOKUP(A23,考勤统计表!$B$4:$Q$33,15)</f>
        <v>0</v>
      </c>
      <c r="J23" s="62">
        <f t="shared" ca="1" si="0"/>
        <v>37231.599999999999</v>
      </c>
      <c r="K23" s="57">
        <f>VLOOKUP(A23,考勤统计表!$B$4:$Q$33,16)</f>
        <v>120</v>
      </c>
      <c r="L23" s="57">
        <f t="shared" ca="1" si="2"/>
        <v>286</v>
      </c>
      <c r="M23" s="57">
        <f ca="1">VLOOKUP(A23,所得税计算表!B22:I52,8)</f>
        <v>7427.9</v>
      </c>
      <c r="N23" s="57">
        <f>IF(ISERROR(VLOOKUP(A23,本月奖惩管理表!$B$2:$G$40,6,FALSE)),"",VLOOKUP(A23,本月奖惩管理表!$B$2:$G$40,6,FALSE))</f>
        <v>0</v>
      </c>
      <c r="O23" s="58">
        <f t="shared" ca="1" si="3"/>
        <v>7833.9</v>
      </c>
      <c r="P23" s="59">
        <f t="shared" ca="1" si="4"/>
        <v>29397.699999999997</v>
      </c>
    </row>
    <row r="24" spans="1:16" ht="17.25" thickTop="1" thickBot="1">
      <c r="A24" s="60" t="str">
        <f>基本工资表!B24</f>
        <v>022</v>
      </c>
      <c r="B24" s="61" t="str">
        <f>基本工资表!C24</f>
        <v>张燕</v>
      </c>
      <c r="C24" s="61" t="str">
        <f>基本工资表!D24</f>
        <v>销售部</v>
      </c>
      <c r="D24" s="61">
        <f>VLOOKUP(A24,基本工资表!$B$2:$I$32,7)</f>
        <v>2300</v>
      </c>
      <c r="E24" s="61">
        <f ca="1">VLOOKUP(A24,基本工资表!$B$2:$I$32,8)</f>
        <v>300</v>
      </c>
      <c r="F24" s="61">
        <f>VLOOKUP(A24,福利补贴管理表!$B$2:$I$32,8)</f>
        <v>800</v>
      </c>
      <c r="G24" s="61">
        <f>IF(ISERROR(VLOOKUP(A24,本月奖惩管理表!$B$2:$G$40,5,FALSE)),"",VLOOKUP(A24,本月奖惩管理表!$B$2:$G$40,5,FALSE))</f>
        <v>26240</v>
      </c>
      <c r="H24" s="61">
        <f ca="1">VLOOKUP(A24,加班统计表!$B$2:$J$32,9)</f>
        <v>0</v>
      </c>
      <c r="I24" s="61">
        <f>VLOOKUP(A24,考勤统计表!$B$4:$Q$33,15)</f>
        <v>0</v>
      </c>
      <c r="J24" s="62">
        <f t="shared" ca="1" si="0"/>
        <v>29640</v>
      </c>
      <c r="K24" s="57">
        <f>VLOOKUP(A24,考勤统计表!$B$4:$Q$33,16)</f>
        <v>40</v>
      </c>
      <c r="L24" s="57">
        <f t="shared" ca="1" si="2"/>
        <v>572</v>
      </c>
      <c r="M24" s="57">
        <f ca="1">VLOOKUP(A24,所得税计算表!B23:I53,8)</f>
        <v>5530</v>
      </c>
      <c r="N24" s="57">
        <f>IF(ISERROR(VLOOKUP(A24,本月奖惩管理表!$B$2:$G$40,6,FALSE)),"",VLOOKUP(A24,本月奖惩管理表!$B$2:$G$40,6,FALSE))</f>
        <v>0</v>
      </c>
      <c r="O24" s="58">
        <f t="shared" ca="1" si="3"/>
        <v>6142</v>
      </c>
      <c r="P24" s="59">
        <f t="shared" ca="1" si="4"/>
        <v>23498</v>
      </c>
    </row>
    <row r="25" spans="1:16" ht="17.25" thickTop="1" thickBot="1">
      <c r="A25" s="60" t="str">
        <f>基本工资表!B25</f>
        <v>023</v>
      </c>
      <c r="B25" s="61" t="str">
        <f>基本工资表!C25</f>
        <v>江雷</v>
      </c>
      <c r="C25" s="61" t="str">
        <f>基本工资表!D25</f>
        <v>企划部</v>
      </c>
      <c r="D25" s="61">
        <f>VLOOKUP(A25,基本工资表!$B$2:$I$32,7)</f>
        <v>1800</v>
      </c>
      <c r="E25" s="61">
        <f ca="1">VLOOKUP(A25,基本工资表!$B$2:$I$32,8)</f>
        <v>500</v>
      </c>
      <c r="F25" s="61">
        <f>VLOOKUP(A25,福利补贴管理表!$B$2:$I$32,8)</f>
        <v>550</v>
      </c>
      <c r="G25" s="61" t="str">
        <f>IF(ISERROR(VLOOKUP(A25,本月奖惩管理表!$B$2:$G$40,5,FALSE)),"",VLOOKUP(A25,本月奖惩管理表!$B$2:$G$40,5,FALSE))</f>
        <v/>
      </c>
      <c r="H25" s="61">
        <f ca="1">VLOOKUP(A25,加班统计表!$B$2:$J$32,9)</f>
        <v>657.14</v>
      </c>
      <c r="I25" s="61">
        <f>VLOOKUP(A25,考勤统计表!$B$4:$Q$33,15)</f>
        <v>0</v>
      </c>
      <c r="J25" s="62">
        <f t="shared" ca="1" si="0"/>
        <v>3507.14</v>
      </c>
      <c r="K25" s="57">
        <f>VLOOKUP(A25,考勤统计表!$B$4:$Q$33,16)</f>
        <v>60</v>
      </c>
      <c r="L25" s="57">
        <f t="shared" ca="1" si="2"/>
        <v>506</v>
      </c>
      <c r="M25" s="57">
        <f ca="1">VLOOKUP(A25,所得税计算表!B24:I54,8)</f>
        <v>0.21419999999999617</v>
      </c>
      <c r="N25" s="57" t="str">
        <f>IF(ISERROR(VLOOKUP(A25,本月奖惩管理表!$B$2:$G$40,6,FALSE)),"",VLOOKUP(A25,本月奖惩管理表!$B$2:$G$40,6,FALSE))</f>
        <v/>
      </c>
      <c r="O25" s="58">
        <f t="shared" ca="1" si="3"/>
        <v>566.21420000000001</v>
      </c>
      <c r="P25" s="59">
        <f t="shared" ca="1" si="4"/>
        <v>2940.9258</v>
      </c>
    </row>
    <row r="26" spans="1:16" ht="17.25" thickTop="1" thickBot="1">
      <c r="A26" s="60" t="str">
        <f>基本工资表!B26</f>
        <v>024</v>
      </c>
      <c r="B26" s="61" t="str">
        <f>基本工资表!C26</f>
        <v>彭华</v>
      </c>
      <c r="C26" s="61" t="str">
        <f>基本工资表!D26</f>
        <v>财务部</v>
      </c>
      <c r="D26" s="61">
        <f>VLOOKUP(A26,基本工资表!$B$2:$I$32,7)</f>
        <v>1500</v>
      </c>
      <c r="E26" s="61">
        <f ca="1">VLOOKUP(A26,基本工资表!$B$2:$I$32,8)</f>
        <v>500</v>
      </c>
      <c r="F26" s="61">
        <f>VLOOKUP(A26,福利补贴管理表!$B$2:$I$32,8)</f>
        <v>500</v>
      </c>
      <c r="G26" s="61" t="str">
        <f>IF(ISERROR(VLOOKUP(A26,本月奖惩管理表!$B$2:$G$40,5,FALSE)),"",VLOOKUP(A26,本月奖惩管理表!$B$2:$G$40,5,FALSE))</f>
        <v/>
      </c>
      <c r="H26" s="61">
        <f ca="1">VLOOKUP(A26,加班统计表!$B$2:$J$32,9)</f>
        <v>150</v>
      </c>
      <c r="I26" s="61">
        <f>VLOOKUP(A26,考勤统计表!$B$4:$Q$33,15)</f>
        <v>0</v>
      </c>
      <c r="J26" s="62">
        <f t="shared" ca="1" si="0"/>
        <v>2650</v>
      </c>
      <c r="K26" s="57">
        <f>VLOOKUP(A26,考勤统计表!$B$4:$Q$33,16)</f>
        <v>20</v>
      </c>
      <c r="L26" s="57">
        <f t="shared" ca="1" si="2"/>
        <v>440</v>
      </c>
      <c r="M26" s="57">
        <f ca="1">VLOOKUP(A26,所得税计算表!B25:I55,8)</f>
        <v>0</v>
      </c>
      <c r="N26" s="57" t="str">
        <f>IF(ISERROR(VLOOKUP(A26,本月奖惩管理表!$B$2:$G$40,6,FALSE)),"",VLOOKUP(A26,本月奖惩管理表!$B$2:$G$40,6,FALSE))</f>
        <v/>
      </c>
      <c r="O26" s="58">
        <f t="shared" ca="1" si="3"/>
        <v>460</v>
      </c>
      <c r="P26" s="59">
        <f t="shared" ca="1" si="4"/>
        <v>2190</v>
      </c>
    </row>
    <row r="27" spans="1:16" ht="17.25" thickTop="1" thickBot="1">
      <c r="A27" s="60" t="str">
        <f>基本工资表!B27</f>
        <v>025</v>
      </c>
      <c r="B27" s="61" t="str">
        <f>基本工资表!C27</f>
        <v>赵青</v>
      </c>
      <c r="C27" s="61" t="str">
        <f>基本工资表!D27</f>
        <v>网络安全部</v>
      </c>
      <c r="D27" s="61">
        <f>VLOOKUP(A27,基本工资表!$B$2:$I$32,7)</f>
        <v>2500</v>
      </c>
      <c r="E27" s="61">
        <f ca="1">VLOOKUP(A27,基本工资表!$B$2:$I$32,8)</f>
        <v>800</v>
      </c>
      <c r="F27" s="61">
        <f>VLOOKUP(A27,福利补贴管理表!$B$2:$I$32,8)</f>
        <v>650</v>
      </c>
      <c r="G27" s="61">
        <f>IF(ISERROR(VLOOKUP(A27,本月奖惩管理表!$B$2:$G$40,5,FALSE)),"",VLOOKUP(A27,本月奖惩管理表!$B$2:$G$40,5,FALSE))</f>
        <v>500</v>
      </c>
      <c r="H27" s="61">
        <f ca="1">VLOOKUP(A27,加班统计表!$B$2:$J$32,9)</f>
        <v>1532.14</v>
      </c>
      <c r="I27" s="61">
        <f>VLOOKUP(A27,考勤统计表!$B$4:$Q$33,15)</f>
        <v>0</v>
      </c>
      <c r="J27" s="62">
        <f t="shared" ca="1" si="0"/>
        <v>5982.14</v>
      </c>
      <c r="K27" s="57">
        <f>VLOOKUP(A27,考勤统计表!$B$4:$Q$33,16)</f>
        <v>60</v>
      </c>
      <c r="L27" s="57">
        <f t="shared" ca="1" si="2"/>
        <v>726</v>
      </c>
      <c r="M27" s="57">
        <f ca="1">VLOOKUP(A27,所得税计算表!B26:I56,8)</f>
        <v>143.21400000000006</v>
      </c>
      <c r="N27" s="57">
        <f>IF(ISERROR(VLOOKUP(A27,本月奖惩管理表!$B$2:$G$40,6,FALSE)),"",VLOOKUP(A27,本月奖惩管理表!$B$2:$G$40,6,FALSE))</f>
        <v>0</v>
      </c>
      <c r="O27" s="58">
        <f t="shared" ca="1" si="3"/>
        <v>929.21400000000006</v>
      </c>
      <c r="P27" s="59">
        <f t="shared" ca="1" si="4"/>
        <v>5052.9260000000004</v>
      </c>
    </row>
    <row r="28" spans="1:16" ht="16.5" thickTop="1">
      <c r="A28" s="60" t="str">
        <f>基本工资表!B28</f>
        <v>026</v>
      </c>
      <c r="B28" s="61" t="str">
        <f>基本工资表!C28</f>
        <v>汪丽萍</v>
      </c>
      <c r="C28" s="61" t="str">
        <f>基本工资表!D28</f>
        <v>销售部</v>
      </c>
      <c r="D28" s="61">
        <f>VLOOKUP(A28,基本工资表!$B$2:$I$32,7)</f>
        <v>800</v>
      </c>
      <c r="E28" s="61">
        <f ca="1">VLOOKUP(A28,基本工资表!$B$2:$I$32,8)</f>
        <v>0</v>
      </c>
      <c r="F28" s="61">
        <f>VLOOKUP(A28,福利补贴管理表!$B$2:$I$32,8)</f>
        <v>800</v>
      </c>
      <c r="G28" s="61">
        <f>IF(ISERROR(VLOOKUP(A28,本月奖惩管理表!$B$2:$G$40,5,FALSE)),"",VLOOKUP(A28,本月奖惩管理表!$B$2:$G$40,5,FALSE))</f>
        <v>16364.800000000001</v>
      </c>
      <c r="H28" s="61">
        <f ca="1">VLOOKUP(A28,加班统计表!$B$2:$J$32,9)</f>
        <v>0</v>
      </c>
      <c r="I28" s="61">
        <f>VLOOKUP(A28,考勤统计表!$B$4:$Q$33,15)</f>
        <v>0</v>
      </c>
      <c r="J28" s="62">
        <f t="shared" ca="1" si="0"/>
        <v>17964.800000000003</v>
      </c>
      <c r="K28" s="57">
        <f>VLOOKUP(A28,考勤统计表!$B$4:$Q$33,16)</f>
        <v>100</v>
      </c>
      <c r="L28" s="57">
        <f t="shared" ca="1" si="2"/>
        <v>176</v>
      </c>
      <c r="M28" s="57">
        <f ca="1">VLOOKUP(A28,所得税计算表!B27:I57,8)</f>
        <v>2611.2000000000007</v>
      </c>
      <c r="N28" s="57">
        <f>IF(ISERROR(VLOOKUP(A28,本月奖惩管理表!$B$2:$G$40,6,FALSE)),"",VLOOKUP(A28,本月奖惩管理表!$B$2:$G$40,6,FALSE))</f>
        <v>0</v>
      </c>
      <c r="O28" s="58">
        <f t="shared" ca="1" si="3"/>
        <v>2887.2000000000007</v>
      </c>
      <c r="P28" s="59">
        <f t="shared" ca="1" si="4"/>
        <v>15077.600000000002</v>
      </c>
    </row>
    <row r="29" spans="1:16" ht="15.75">
      <c r="A29" s="60" t="str">
        <f>基本工资表!B29</f>
        <v>027</v>
      </c>
      <c r="B29" s="61" t="str">
        <f>基本工资表!C29</f>
        <v>周江</v>
      </c>
      <c r="C29" s="61" t="str">
        <f>基本工资表!D29</f>
        <v>网络安全部</v>
      </c>
      <c r="D29" s="61">
        <f>VLOOKUP(A29,基本工资表!$B$2:$I$32,7)</f>
        <v>2000</v>
      </c>
      <c r="E29" s="61">
        <f ca="1">VLOOKUP(A29,基本工资表!$B$2:$I$32,8)</f>
        <v>700</v>
      </c>
      <c r="F29" s="61">
        <f>VLOOKUP(A29,福利补贴管理表!$B$2:$I$32,8)</f>
        <v>650</v>
      </c>
      <c r="G29" s="61" t="str">
        <f>IF(ISERROR(VLOOKUP(A29,本月奖惩管理表!$B$2:$G$40,5,FALSE)),"",VLOOKUP(A29,本月奖惩管理表!$B$2:$G$40,5,FALSE))</f>
        <v/>
      </c>
      <c r="H29" s="61">
        <f ca="1">VLOOKUP(A29,加班统计表!$B$2:$J$32,9)</f>
        <v>789.29</v>
      </c>
      <c r="I29" s="61">
        <f>VLOOKUP(A29,考勤统计表!$B$4:$Q$33,15)</f>
        <v>0</v>
      </c>
      <c r="J29" s="62">
        <f t="shared" ca="1" si="0"/>
        <v>4139.29</v>
      </c>
      <c r="K29" s="61"/>
      <c r="L29" s="61"/>
      <c r="M29" s="61"/>
      <c r="N29" s="61"/>
      <c r="O29" s="62"/>
      <c r="P29" s="63"/>
    </row>
    <row r="30" spans="1:16" ht="15.75">
      <c r="A30" s="60" t="str">
        <f>基本工资表!B30</f>
        <v>028</v>
      </c>
      <c r="B30" s="61" t="str">
        <f>基本工资表!C30</f>
        <v>韩学平</v>
      </c>
      <c r="C30" s="61" t="str">
        <f>基本工资表!D30</f>
        <v>行政部</v>
      </c>
      <c r="D30" s="61">
        <f>VLOOKUP(A30,基本工资表!$B$2:$I$32,7)</f>
        <v>1500</v>
      </c>
      <c r="E30" s="61">
        <f ca="1">VLOOKUP(A30,基本工资表!$B$2:$I$32,8)</f>
        <v>300</v>
      </c>
      <c r="F30" s="61">
        <f>VLOOKUP(A30,福利补贴管理表!$B$2:$I$32,8)</f>
        <v>400</v>
      </c>
      <c r="G30" s="61">
        <f>IF(ISERROR(VLOOKUP(A30,本月奖惩管理表!$B$2:$G$40,5,FALSE)),"",VLOOKUP(A30,本月奖惩管理表!$B$2:$G$40,5,FALSE))</f>
        <v>0</v>
      </c>
      <c r="H30" s="61">
        <f ca="1">VLOOKUP(A30,加班统计表!$B$2:$J$32,9)</f>
        <v>0</v>
      </c>
      <c r="I30" s="61">
        <f>VLOOKUP(A30,考勤统计表!$B$4:$Q$33,15)</f>
        <v>0</v>
      </c>
      <c r="J30" s="62">
        <f t="shared" ca="1" si="0"/>
        <v>2200</v>
      </c>
      <c r="K30" s="61"/>
      <c r="L30" s="61"/>
      <c r="M30" s="61"/>
      <c r="N30" s="61"/>
      <c r="O30" s="62"/>
      <c r="P30" s="63"/>
    </row>
    <row r="31" spans="1:16" ht="15.75">
      <c r="A31" s="60" t="str">
        <f>基本工资表!B31</f>
        <v>029</v>
      </c>
      <c r="B31" s="61" t="str">
        <f>基本工资表!C31</f>
        <v>吴子</v>
      </c>
      <c r="C31" s="61" t="str">
        <f>基本工资表!D31</f>
        <v>销售部</v>
      </c>
      <c r="D31" s="61">
        <f>VLOOKUP(A31,基本工资表!$B$2:$I$32,7)</f>
        <v>800</v>
      </c>
      <c r="E31" s="61">
        <f ca="1">VLOOKUP(A31,基本工资表!$B$2:$I$32,8)</f>
        <v>0</v>
      </c>
      <c r="F31" s="61">
        <f>VLOOKUP(A31,福利补贴管理表!$B$2:$I$32,8)</f>
        <v>800</v>
      </c>
      <c r="G31" s="61">
        <f>IF(ISERROR(VLOOKUP(A31,本月奖惩管理表!$B$2:$G$40,5,FALSE)),"",VLOOKUP(A31,本月奖惩管理表!$B$2:$G$40,5,FALSE))</f>
        <v>360</v>
      </c>
      <c r="H31" s="61">
        <f ca="1">VLOOKUP(A31,加班统计表!$B$2:$J$32,9)</f>
        <v>0</v>
      </c>
      <c r="I31" s="61">
        <f>VLOOKUP(A31,考勤统计表!$B$4:$Q$33,15)</f>
        <v>500</v>
      </c>
      <c r="J31" s="62">
        <f t="shared" ca="1" si="0"/>
        <v>2460</v>
      </c>
      <c r="K31" s="61"/>
      <c r="L31" s="61"/>
      <c r="M31" s="61"/>
      <c r="N31" s="61"/>
      <c r="O31" s="62"/>
      <c r="P31" s="63"/>
    </row>
    <row r="32" spans="1:16" ht="15.75">
      <c r="A32" s="60" t="str">
        <f>基本工资表!B32</f>
        <v>030</v>
      </c>
      <c r="B32" s="61" t="str">
        <f>基本工资表!C32</f>
        <v>汪明明</v>
      </c>
      <c r="C32" s="61" t="str">
        <f>基本工资表!D32</f>
        <v>行政部</v>
      </c>
      <c r="D32" s="61">
        <f>VLOOKUP(A32,基本工资表!$B$2:$I$32,7)</f>
        <v>2200</v>
      </c>
      <c r="E32" s="61">
        <f ca="1">VLOOKUP(A32,基本工资表!$B$2:$I$32,8)</f>
        <v>200</v>
      </c>
      <c r="F32" s="61">
        <f>VLOOKUP(A32,福利补贴管理表!$B$2:$I$32,8)</f>
        <v>500</v>
      </c>
      <c r="G32" s="61" t="str">
        <f>IF(ISERROR(VLOOKUP(A32,本月奖惩管理表!$B$2:$G$40,5,FALSE)),"",VLOOKUP(A32,本月奖惩管理表!$B$2:$G$40,5,FALSE))</f>
        <v/>
      </c>
      <c r="H32" s="61">
        <f ca="1">VLOOKUP(A32,加班统计表!$B$2:$J$32,9)</f>
        <v>228.57</v>
      </c>
      <c r="I32" s="61">
        <f>VLOOKUP(A32,考勤统计表!$B$4:$Q$33,15)</f>
        <v>0</v>
      </c>
      <c r="J32" s="62">
        <f t="shared" ca="1" si="0"/>
        <v>3128.57</v>
      </c>
      <c r="K32" s="61">
        <f>VLOOKUP(A32,考勤统计表!$B$4:$Q$33,16)</f>
        <v>80</v>
      </c>
      <c r="L32" s="61">
        <f t="shared" ca="1" si="1"/>
        <v>528</v>
      </c>
      <c r="M32" s="61">
        <f t="shared" ref="M32" ca="1" si="5">IF(J32&lt;=500,ROUND((J32-1000)*0.05,2),IF(J32&lt;=2000,ROUND(((J32-1000)*0.1-25),2),IF(J32&lt;=5000,ROUND((J32-1000)*0.15-125,2),IF(J32&lt;=20000,ROUND((J32-1000)*0.2-375,2),IF(J32&lt;=40000,ROUND((J32-1000)*0.25-1375,2),ROUND((J32-1000)*0.3-3375,2))))))</f>
        <v>194.29</v>
      </c>
      <c r="N32" s="61" t="str">
        <f>IF(ISERROR(VLOOKUP(A32,本月奖惩管理表!$B$2:$G$40,6,FALSE)),"",VLOOKUP(A32,本月奖惩管理表!$B$2:$G$40,6,FALSE))</f>
        <v/>
      </c>
      <c r="O32" s="62">
        <f t="shared" ref="O32" ca="1" si="6">SUM(K32:N32)</f>
        <v>802.29</v>
      </c>
      <c r="P32" s="63">
        <f t="shared" ref="P32" ca="1" si="7">J32-O32</f>
        <v>2326.2800000000002</v>
      </c>
    </row>
    <row r="33" spans="1:16">
      <c r="A33" s="64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</row>
  </sheetData>
  <mergeCells count="1">
    <mergeCell ref="A1:P1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2"/>
  <sheetViews>
    <sheetView showGridLines="0" tabSelected="1" workbookViewId="0">
      <selection activeCell="M19" sqref="M19"/>
    </sheetView>
  </sheetViews>
  <sheetFormatPr defaultRowHeight="13.5"/>
  <cols>
    <col min="2" max="2" width="8.75" customWidth="1"/>
    <col min="3" max="3" width="10.125" customWidth="1"/>
    <col min="4" max="4" width="8.875" customWidth="1"/>
    <col min="5" max="5" width="11.125" customWidth="1"/>
    <col min="6" max="6" width="14.375" customWidth="1"/>
    <col min="7" max="7" width="8.625" customWidth="1"/>
    <col min="8" max="8" width="12.5" customWidth="1"/>
    <col min="9" max="9" width="12.625" customWidth="1"/>
  </cols>
  <sheetData>
    <row r="1" spans="2:9" ht="48" customHeight="1" thickBot="1">
      <c r="B1" s="73" t="s">
        <v>181</v>
      </c>
      <c r="C1" s="73"/>
      <c r="D1" s="73"/>
      <c r="E1" s="73"/>
      <c r="F1" s="73"/>
      <c r="G1" s="73"/>
      <c r="H1" s="73"/>
      <c r="I1" s="73"/>
    </row>
    <row r="2" spans="2:9" ht="18.75" customHeight="1">
      <c r="B2" s="46" t="s">
        <v>0</v>
      </c>
      <c r="C2" s="47" t="s">
        <v>1</v>
      </c>
      <c r="D2" s="47" t="s">
        <v>77</v>
      </c>
      <c r="E2" s="47" t="s">
        <v>61</v>
      </c>
      <c r="F2" s="47" t="s">
        <v>182</v>
      </c>
      <c r="G2" s="47" t="s">
        <v>183</v>
      </c>
      <c r="H2" s="47" t="s">
        <v>184</v>
      </c>
      <c r="I2" s="48" t="s">
        <v>185</v>
      </c>
    </row>
    <row r="3" spans="2:9" ht="16.5">
      <c r="B3" s="65" t="s">
        <v>2</v>
      </c>
      <c r="C3" s="29" t="s">
        <v>224</v>
      </c>
      <c r="D3" s="29" t="s">
        <v>80</v>
      </c>
      <c r="E3" s="29" t="s">
        <v>63</v>
      </c>
      <c r="F3" s="66">
        <f ca="1">IF(工资统计表!J3&gt;3500,工资统计表!J3-3500,0)</f>
        <v>20776.189999999999</v>
      </c>
      <c r="G3" s="66">
        <f ca="1">IF(F3&lt;=1500,0.03,IF(F3&lt;=4500,0.1,IF(F3&lt;=9000,0.2,IF(F3&lt;=35000,0.25,IF(F3&lt;=55000,0.3,IF(F3&lt;=80000,0.35,0.45))))))</f>
        <v>0.25</v>
      </c>
      <c r="H3" s="66">
        <f ca="1">VLOOKUP(G3,{0.03,0;0.1,105;0.2,555;0.25,1005;0.3,2755;0.35,5505;0.45,13505},2,)</f>
        <v>1005</v>
      </c>
      <c r="I3" s="67">
        <f ca="1">F3*G3-H3</f>
        <v>4189.0474999999997</v>
      </c>
    </row>
    <row r="4" spans="2:9" ht="16.5">
      <c r="B4" s="65" t="s">
        <v>116</v>
      </c>
      <c r="C4" s="30" t="s">
        <v>225</v>
      </c>
      <c r="D4" s="30" t="s">
        <v>80</v>
      </c>
      <c r="E4" s="30" t="s">
        <v>65</v>
      </c>
      <c r="F4" s="66">
        <f ca="1">IF(工资统计表!J4&gt;3500,工资统计表!J4-3500,0)</f>
        <v>807.13999999999942</v>
      </c>
      <c r="G4" s="66">
        <f t="shared" ref="G4:G32" ca="1" si="0">IF(F4&lt;=1500,0.03,IF(F4&lt;=4500,0.1,IF(F4&lt;=9000,0.2,IF(F4&lt;=35000,0.25,IF(F4&lt;=55000,0.3,IF(F4&lt;=80000,0.35,0.45))))))</f>
        <v>0.03</v>
      </c>
      <c r="H4" s="66">
        <f ca="1">VLOOKUP(G4,{0.03,0;0.1,105;0.2,555;0.25,1005;0.3,2755;0.35,5505;0.45,13505},2,)</f>
        <v>0</v>
      </c>
      <c r="I4" s="67">
        <f t="shared" ref="I4:I32" ca="1" si="1">F4*G4-H4</f>
        <v>24.21419999999998</v>
      </c>
    </row>
    <row r="5" spans="2:9" ht="16.5">
      <c r="B5" s="68" t="s">
        <v>84</v>
      </c>
      <c r="C5" s="30" t="s">
        <v>187</v>
      </c>
      <c r="D5" s="30" t="s">
        <v>81</v>
      </c>
      <c r="E5" s="30" t="s">
        <v>67</v>
      </c>
      <c r="F5" s="66">
        <f ca="1">IF(工资统计表!J5&gt;3500,工资统计表!J5-3500,0)</f>
        <v>0</v>
      </c>
      <c r="G5" s="66">
        <f t="shared" ca="1" si="0"/>
        <v>0.03</v>
      </c>
      <c r="H5" s="66">
        <f ca="1">VLOOKUP(G5,{0.03,0;0.1,105;0.2,555;0.25,1005;0.3,2755;0.35,5505;0.45,13505},2,)</f>
        <v>0</v>
      </c>
      <c r="I5" s="67">
        <f t="shared" ca="1" si="1"/>
        <v>0</v>
      </c>
    </row>
    <row r="6" spans="2:9" ht="16.5">
      <c r="B6" s="68" t="s">
        <v>85</v>
      </c>
      <c r="C6" s="30" t="s">
        <v>188</v>
      </c>
      <c r="D6" s="30" t="s">
        <v>81</v>
      </c>
      <c r="E6" s="30" t="s">
        <v>67</v>
      </c>
      <c r="F6" s="66">
        <f ca="1">IF(工资统计表!J6&gt;3500,工资统计表!J6-3500,0)</f>
        <v>760.71</v>
      </c>
      <c r="G6" s="66">
        <f t="shared" ca="1" si="0"/>
        <v>0.03</v>
      </c>
      <c r="H6" s="66">
        <f ca="1">VLOOKUP(G6,{0.03,0;0.1,105;0.2,555;0.25,1005;0.3,2755;0.35,5505;0.45,13505},2,)</f>
        <v>0</v>
      </c>
      <c r="I6" s="67">
        <f t="shared" ca="1" si="1"/>
        <v>22.821300000000001</v>
      </c>
    </row>
    <row r="7" spans="2:9" ht="16.5">
      <c r="B7" s="68" t="s">
        <v>86</v>
      </c>
      <c r="C7" s="30" t="s">
        <v>189</v>
      </c>
      <c r="D7" s="30" t="s">
        <v>80</v>
      </c>
      <c r="E7" s="30" t="s">
        <v>70</v>
      </c>
      <c r="F7" s="66">
        <f ca="1">IF(工资统计表!J7&gt;3500,工资统计表!J7-3500,0)</f>
        <v>0</v>
      </c>
      <c r="G7" s="66">
        <f t="shared" ca="1" si="0"/>
        <v>0.03</v>
      </c>
      <c r="H7" s="66">
        <f ca="1">VLOOKUP(G7,{0.03,0;0.1,105;0.2,555;0.25,1005;0.3,2755;0.35,5505;0.45,13505},2,)</f>
        <v>0</v>
      </c>
      <c r="I7" s="67">
        <f t="shared" ca="1" si="1"/>
        <v>0</v>
      </c>
    </row>
    <row r="8" spans="2:9" ht="16.5">
      <c r="B8" s="68" t="s">
        <v>87</v>
      </c>
      <c r="C8" s="30" t="s">
        <v>190</v>
      </c>
      <c r="D8" s="30" t="s">
        <v>81</v>
      </c>
      <c r="E8" s="30" t="s">
        <v>63</v>
      </c>
      <c r="F8" s="66">
        <f ca="1">IF(工资统计表!J8&gt;3500,工资统计表!J8-3500,0)</f>
        <v>3080</v>
      </c>
      <c r="G8" s="66">
        <f t="shared" ca="1" si="0"/>
        <v>0.1</v>
      </c>
      <c r="H8" s="66">
        <f ca="1">VLOOKUP(G8,{0.03,0;0.1,105;0.2,555;0.25,1005;0.3,2755;0.35,5505;0.45,13505},2,)</f>
        <v>105</v>
      </c>
      <c r="I8" s="67">
        <f t="shared" ca="1" si="1"/>
        <v>203</v>
      </c>
    </row>
    <row r="9" spans="2:9" ht="16.5">
      <c r="B9" s="68" t="s">
        <v>88</v>
      </c>
      <c r="C9" s="30" t="s">
        <v>226</v>
      </c>
      <c r="D9" s="30" t="s">
        <v>80</v>
      </c>
      <c r="E9" s="30" t="s">
        <v>70</v>
      </c>
      <c r="F9" s="66">
        <f ca="1">IF(工资统计表!J9&gt;3500,工资统计表!J9-3500,0)</f>
        <v>725</v>
      </c>
      <c r="G9" s="66">
        <f t="shared" ca="1" si="0"/>
        <v>0.03</v>
      </c>
      <c r="H9" s="66">
        <f ca="1">VLOOKUP(G9,{0.03,0;0.1,105;0.2,555;0.25,1005;0.3,2755;0.35,5505;0.45,13505},2,)</f>
        <v>0</v>
      </c>
      <c r="I9" s="67">
        <f t="shared" ca="1" si="1"/>
        <v>21.75</v>
      </c>
    </row>
    <row r="10" spans="2:9" ht="16.5">
      <c r="B10" s="68" t="s">
        <v>89</v>
      </c>
      <c r="C10" s="30" t="s">
        <v>191</v>
      </c>
      <c r="D10" s="30" t="s">
        <v>80</v>
      </c>
      <c r="E10" s="30" t="s">
        <v>71</v>
      </c>
      <c r="F10" s="66">
        <f ca="1">IF(工资统计表!J10&gt;3500,工资统计表!J10-3500,0)</f>
        <v>0</v>
      </c>
      <c r="G10" s="66">
        <f t="shared" ca="1" si="0"/>
        <v>0.03</v>
      </c>
      <c r="H10" s="66">
        <f ca="1">VLOOKUP(G10,{0.03,0;0.1,105;0.2,555;0.25,1005;0.3,2755;0.35,5505;0.45,13505},2,)</f>
        <v>0</v>
      </c>
      <c r="I10" s="67">
        <f t="shared" ca="1" si="1"/>
        <v>0</v>
      </c>
    </row>
    <row r="11" spans="2:9" ht="16.5">
      <c r="B11" s="68" t="s">
        <v>90</v>
      </c>
      <c r="C11" s="30" t="s">
        <v>192</v>
      </c>
      <c r="D11" s="30" t="s">
        <v>81</v>
      </c>
      <c r="E11" s="30" t="s">
        <v>63</v>
      </c>
      <c r="F11" s="66">
        <f ca="1">IF(工资统计表!J11&gt;3500,工资统计表!J11-3500,0)</f>
        <v>2725</v>
      </c>
      <c r="G11" s="66">
        <f t="shared" ca="1" si="0"/>
        <v>0.1</v>
      </c>
      <c r="H11" s="66">
        <f ca="1">VLOOKUP(G11,{0.03,0;0.1,105;0.2,555;0.25,1005;0.3,2755;0.35,5505;0.45,13505},2,)</f>
        <v>105</v>
      </c>
      <c r="I11" s="67">
        <f t="shared" ca="1" si="1"/>
        <v>167.5</v>
      </c>
    </row>
    <row r="12" spans="2:9" ht="16.5">
      <c r="B12" s="68" t="s">
        <v>91</v>
      </c>
      <c r="C12" s="30" t="s">
        <v>193</v>
      </c>
      <c r="D12" s="30" t="s">
        <v>80</v>
      </c>
      <c r="E12" s="30" t="s">
        <v>65</v>
      </c>
      <c r="F12" s="66">
        <f ca="1">IF(工资统计表!J12&gt;3500,工资统计表!J12-3500,0)</f>
        <v>28.570000000000164</v>
      </c>
      <c r="G12" s="66">
        <f t="shared" ca="1" si="0"/>
        <v>0.03</v>
      </c>
      <c r="H12" s="66">
        <f ca="1">VLOOKUP(G12,{0.03,0;0.1,105;0.2,555;0.25,1005;0.3,2755;0.35,5505;0.45,13505},2,)</f>
        <v>0</v>
      </c>
      <c r="I12" s="67">
        <f t="shared" ca="1" si="1"/>
        <v>0.85710000000000486</v>
      </c>
    </row>
    <row r="13" spans="2:9" ht="16.5">
      <c r="B13" s="68" t="s">
        <v>92</v>
      </c>
      <c r="C13" s="30" t="s">
        <v>200</v>
      </c>
      <c r="D13" s="30" t="s">
        <v>80</v>
      </c>
      <c r="E13" s="30" t="s">
        <v>63</v>
      </c>
      <c r="F13" s="66">
        <f ca="1">IF(工资统计表!J13&gt;3500,工资统计表!J13-3500,0)</f>
        <v>560.69000000000005</v>
      </c>
      <c r="G13" s="66">
        <f t="shared" ca="1" si="0"/>
        <v>0.03</v>
      </c>
      <c r="H13" s="66">
        <f ca="1">VLOOKUP(G13,{0.03,0;0.1,105;0.2,555;0.25,1005;0.3,2755;0.35,5505;0.45,13505},2,)</f>
        <v>0</v>
      </c>
      <c r="I13" s="67">
        <f t="shared" ca="1" si="1"/>
        <v>16.820700000000002</v>
      </c>
    </row>
    <row r="14" spans="2:9" ht="16.5">
      <c r="B14" s="68" t="s">
        <v>93</v>
      </c>
      <c r="C14" s="30" t="s">
        <v>227</v>
      </c>
      <c r="D14" s="30" t="s">
        <v>80</v>
      </c>
      <c r="E14" s="30" t="s">
        <v>67</v>
      </c>
      <c r="F14" s="66">
        <f ca="1">IF(工资统计表!J14&gt;3500,工资统计表!J14-3500,0)</f>
        <v>875</v>
      </c>
      <c r="G14" s="66">
        <f t="shared" ca="1" si="0"/>
        <v>0.03</v>
      </c>
      <c r="H14" s="66">
        <f ca="1">VLOOKUP(G14,{0.03,0;0.1,105;0.2,555;0.25,1005;0.3,2755;0.35,5505;0.45,13505},2,)</f>
        <v>0</v>
      </c>
      <c r="I14" s="67">
        <f t="shared" ca="1" si="1"/>
        <v>26.25</v>
      </c>
    </row>
    <row r="15" spans="2:9" ht="16.5">
      <c r="B15" s="68" t="s">
        <v>94</v>
      </c>
      <c r="C15" s="30" t="s">
        <v>202</v>
      </c>
      <c r="D15" s="30" t="s">
        <v>81</v>
      </c>
      <c r="E15" s="30" t="s">
        <v>63</v>
      </c>
      <c r="F15" s="66">
        <f ca="1">IF(工资统计表!J15&gt;3500,工资统计表!J15-3500,0)</f>
        <v>683.32999999999993</v>
      </c>
      <c r="G15" s="66">
        <f t="shared" ca="1" si="0"/>
        <v>0.03</v>
      </c>
      <c r="H15" s="66">
        <f ca="1">VLOOKUP(G15,{0.03,0;0.1,105;0.2,555;0.25,1005;0.3,2755;0.35,5505;0.45,13505},2,)</f>
        <v>0</v>
      </c>
      <c r="I15" s="67">
        <f t="shared" ca="1" si="1"/>
        <v>20.499899999999997</v>
      </c>
    </row>
    <row r="16" spans="2:9" ht="16.5">
      <c r="B16" s="68" t="s">
        <v>95</v>
      </c>
      <c r="C16" s="30" t="s">
        <v>220</v>
      </c>
      <c r="D16" s="30" t="s">
        <v>80</v>
      </c>
      <c r="E16" s="30" t="s">
        <v>71</v>
      </c>
      <c r="F16" s="66">
        <f ca="1">IF(工资统计表!J16&gt;3500,工资统计表!J16-3500,0)</f>
        <v>0</v>
      </c>
      <c r="G16" s="66">
        <f t="shared" ca="1" si="0"/>
        <v>0.03</v>
      </c>
      <c r="H16" s="66">
        <f ca="1">VLOOKUP(G16,{0.03,0;0.1,105;0.2,555;0.25,1005;0.3,2755;0.35,5505;0.45,13505},2,)</f>
        <v>0</v>
      </c>
      <c r="I16" s="67">
        <f t="shared" ca="1" si="1"/>
        <v>0</v>
      </c>
    </row>
    <row r="17" spans="2:9" ht="16.5">
      <c r="B17" s="68" t="s">
        <v>96</v>
      </c>
      <c r="C17" s="30" t="s">
        <v>204</v>
      </c>
      <c r="D17" s="30" t="s">
        <v>81</v>
      </c>
      <c r="E17" s="30" t="s">
        <v>70</v>
      </c>
      <c r="F17" s="66">
        <f ca="1">IF(工资统计表!J17&gt;3500,工资统计表!J17-3500,0)</f>
        <v>489.28999999999996</v>
      </c>
      <c r="G17" s="66">
        <f t="shared" ca="1" si="0"/>
        <v>0.03</v>
      </c>
      <c r="H17" s="66">
        <f ca="1">VLOOKUP(G17,{0.03,0;0.1,105;0.2,555;0.25,1005;0.3,2755;0.35,5505;0.45,13505},2,)</f>
        <v>0</v>
      </c>
      <c r="I17" s="67">
        <f t="shared" ca="1" si="1"/>
        <v>14.678699999999999</v>
      </c>
    </row>
    <row r="18" spans="2:9" ht="16.5">
      <c r="B18" s="68" t="s">
        <v>97</v>
      </c>
      <c r="C18" s="30" t="s">
        <v>208</v>
      </c>
      <c r="D18" s="30" t="s">
        <v>80</v>
      </c>
      <c r="E18" s="30" t="s">
        <v>63</v>
      </c>
      <c r="F18" s="66">
        <f ca="1">IF(工资统计表!J18&gt;3500,工资统计表!J18-3500,0)</f>
        <v>0</v>
      </c>
      <c r="G18" s="66">
        <f t="shared" ca="1" si="0"/>
        <v>0.03</v>
      </c>
      <c r="H18" s="66">
        <f ca="1">VLOOKUP(G18,{0.03,0;0.1,105;0.2,555;0.25,1005;0.3,2755;0.35,5505;0.45,13505},2,)</f>
        <v>0</v>
      </c>
      <c r="I18" s="67">
        <f t="shared" ca="1" si="1"/>
        <v>0</v>
      </c>
    </row>
    <row r="19" spans="2:9" ht="16.5">
      <c r="B19" s="68" t="s">
        <v>98</v>
      </c>
      <c r="C19" s="30" t="s">
        <v>206</v>
      </c>
      <c r="D19" s="30" t="s">
        <v>80</v>
      </c>
      <c r="E19" s="30" t="s">
        <v>71</v>
      </c>
      <c r="F19" s="66">
        <f ca="1">IF(工资统计表!J19&gt;3500,工资统计表!J19-3500,0)</f>
        <v>0</v>
      </c>
      <c r="G19" s="66">
        <f t="shared" ca="1" si="0"/>
        <v>0.03</v>
      </c>
      <c r="H19" s="66">
        <f ca="1">VLOOKUP(G19,{0.03,0;0.1,105;0.2,555;0.25,1005;0.3,2755;0.35,5505;0.45,13505},2,)</f>
        <v>0</v>
      </c>
      <c r="I19" s="67">
        <f t="shared" ca="1" si="1"/>
        <v>0</v>
      </c>
    </row>
    <row r="20" spans="2:9" ht="16.5">
      <c r="B20" s="68" t="s">
        <v>99</v>
      </c>
      <c r="C20" s="30" t="s">
        <v>228</v>
      </c>
      <c r="D20" s="30" t="s">
        <v>81</v>
      </c>
      <c r="E20" s="30" t="s">
        <v>71</v>
      </c>
      <c r="F20" s="66">
        <f ca="1">IF(工资统计表!J20&gt;3500,工资统计表!J20-3500,0)</f>
        <v>0</v>
      </c>
      <c r="G20" s="66">
        <f t="shared" ca="1" si="0"/>
        <v>0.03</v>
      </c>
      <c r="H20" s="66">
        <f ca="1">VLOOKUP(G20,{0.03,0;0.1,105;0.2,555;0.25,1005;0.3,2755;0.35,5505;0.45,13505},2,)</f>
        <v>0</v>
      </c>
      <c r="I20" s="67">
        <f t="shared" ca="1" si="1"/>
        <v>0</v>
      </c>
    </row>
    <row r="21" spans="2:9" ht="16.5">
      <c r="B21" s="68" t="s">
        <v>100</v>
      </c>
      <c r="C21" s="30" t="s">
        <v>229</v>
      </c>
      <c r="D21" s="30" t="s">
        <v>81</v>
      </c>
      <c r="E21" s="30" t="s">
        <v>63</v>
      </c>
      <c r="F21" s="66">
        <f ca="1">IF(工资统计表!J21&gt;3500,工资统计表!J21-3500,0)</f>
        <v>8632</v>
      </c>
      <c r="G21" s="66">
        <f t="shared" ca="1" si="0"/>
        <v>0.2</v>
      </c>
      <c r="H21" s="66">
        <f ca="1">VLOOKUP(G21,{0.03,0;0.1,105;0.2,555;0.25,1005;0.3,2755;0.35,5505;0.45,13505},2,)</f>
        <v>555</v>
      </c>
      <c r="I21" s="67">
        <f t="shared" ca="1" si="1"/>
        <v>1171.4000000000001</v>
      </c>
    </row>
    <row r="22" spans="2:9" ht="16.5">
      <c r="B22" s="68" t="s">
        <v>101</v>
      </c>
      <c r="C22" s="30" t="s">
        <v>194</v>
      </c>
      <c r="D22" s="30" t="s">
        <v>81</v>
      </c>
      <c r="E22" s="30" t="s">
        <v>70</v>
      </c>
      <c r="F22" s="66">
        <f ca="1">IF(工资统计表!J22&gt;3500,工资统计表!J22-3500,0)</f>
        <v>0</v>
      </c>
      <c r="G22" s="66">
        <f t="shared" ca="1" si="0"/>
        <v>0.03</v>
      </c>
      <c r="H22" s="66">
        <f ca="1">VLOOKUP(G22,{0.03,0;0.1,105;0.2,555;0.25,1005;0.3,2755;0.35,5505;0.45,13505},2,)</f>
        <v>0</v>
      </c>
      <c r="I22" s="67">
        <f t="shared" ca="1" si="1"/>
        <v>0</v>
      </c>
    </row>
    <row r="23" spans="2:9" ht="16.5">
      <c r="B23" s="68" t="s">
        <v>102</v>
      </c>
      <c r="C23" s="30" t="s">
        <v>195</v>
      </c>
      <c r="D23" s="30" t="s">
        <v>81</v>
      </c>
      <c r="E23" s="30" t="s">
        <v>63</v>
      </c>
      <c r="F23" s="66">
        <f ca="1">IF(工资统计表!J23&gt;3500,工资统计表!J23-3500,0)</f>
        <v>33731.599999999999</v>
      </c>
      <c r="G23" s="66">
        <f t="shared" ca="1" si="0"/>
        <v>0.25</v>
      </c>
      <c r="H23" s="66">
        <f ca="1">VLOOKUP(G23,{0.03,0;0.1,105;0.2,555;0.25,1005;0.3,2755;0.35,5505;0.45,13505},2,)</f>
        <v>1005</v>
      </c>
      <c r="I23" s="67">
        <f t="shared" ca="1" si="1"/>
        <v>7427.9</v>
      </c>
    </row>
    <row r="24" spans="2:9" ht="16.5">
      <c r="B24" s="68" t="s">
        <v>103</v>
      </c>
      <c r="C24" s="30" t="s">
        <v>196</v>
      </c>
      <c r="D24" s="30" t="s">
        <v>80</v>
      </c>
      <c r="E24" s="30" t="s">
        <v>63</v>
      </c>
      <c r="F24" s="66">
        <f ca="1">IF(工资统计表!J24&gt;3500,工资统计表!J24-3500,0)</f>
        <v>26140</v>
      </c>
      <c r="G24" s="66">
        <f t="shared" ca="1" si="0"/>
        <v>0.25</v>
      </c>
      <c r="H24" s="66">
        <f ca="1">VLOOKUP(G24,{0.03,0;0.1,105;0.2,555;0.25,1005;0.3,2755;0.35,5505;0.45,13505},2,)</f>
        <v>1005</v>
      </c>
      <c r="I24" s="67">
        <f t="shared" ca="1" si="1"/>
        <v>5530</v>
      </c>
    </row>
    <row r="25" spans="2:9" ht="16.5">
      <c r="B25" s="68" t="s">
        <v>104</v>
      </c>
      <c r="C25" s="30" t="s">
        <v>197</v>
      </c>
      <c r="D25" s="30" t="s">
        <v>81</v>
      </c>
      <c r="E25" s="30" t="s">
        <v>67</v>
      </c>
      <c r="F25" s="66">
        <f ca="1">IF(工资统计表!J25&gt;3500,工资统计表!J25-3500,0)</f>
        <v>7.1399999999998727</v>
      </c>
      <c r="G25" s="66">
        <f t="shared" ca="1" si="0"/>
        <v>0.03</v>
      </c>
      <c r="H25" s="66">
        <f ca="1">VLOOKUP(G25,{0.03,0;0.1,105;0.2,555;0.25,1005;0.3,2755;0.35,5505;0.45,13505},2,)</f>
        <v>0</v>
      </c>
      <c r="I25" s="67">
        <f t="shared" ca="1" si="1"/>
        <v>0.21419999999999617</v>
      </c>
    </row>
    <row r="26" spans="2:9" ht="16.5">
      <c r="B26" s="68" t="s">
        <v>105</v>
      </c>
      <c r="C26" s="30" t="s">
        <v>210</v>
      </c>
      <c r="D26" s="30" t="s">
        <v>80</v>
      </c>
      <c r="E26" s="30" t="s">
        <v>65</v>
      </c>
      <c r="F26" s="66">
        <f ca="1">IF(工资统计表!J26&gt;3500,工资统计表!J26-3500,0)</f>
        <v>0</v>
      </c>
      <c r="G26" s="66">
        <f t="shared" ca="1" si="0"/>
        <v>0.03</v>
      </c>
      <c r="H26" s="66">
        <f ca="1">VLOOKUP(G26,{0.03,0;0.1,105;0.2,555;0.25,1005;0.3,2755;0.35,5505;0.45,13505},2,)</f>
        <v>0</v>
      </c>
      <c r="I26" s="67">
        <f t="shared" ca="1" si="1"/>
        <v>0</v>
      </c>
    </row>
    <row r="27" spans="2:9" ht="16.5">
      <c r="B27" s="68" t="s">
        <v>106</v>
      </c>
      <c r="C27" s="30" t="s">
        <v>212</v>
      </c>
      <c r="D27" s="30" t="s">
        <v>80</v>
      </c>
      <c r="E27" s="30" t="s">
        <v>70</v>
      </c>
      <c r="F27" s="66">
        <f ca="1">IF(工资统计表!J27&gt;3500,工资统计表!J27-3500,0)</f>
        <v>2482.1400000000003</v>
      </c>
      <c r="G27" s="66">
        <f t="shared" ca="1" si="0"/>
        <v>0.1</v>
      </c>
      <c r="H27" s="66">
        <f ca="1">VLOOKUP(G27,{0.03,0;0.1,105;0.2,555;0.25,1005;0.3,2755;0.35,5505;0.45,13505},2,)</f>
        <v>105</v>
      </c>
      <c r="I27" s="67">
        <f t="shared" ca="1" si="1"/>
        <v>143.21400000000006</v>
      </c>
    </row>
    <row r="28" spans="2:9" ht="16.5">
      <c r="B28" s="68" t="s">
        <v>107</v>
      </c>
      <c r="C28" s="30" t="s">
        <v>214</v>
      </c>
      <c r="D28" s="30" t="s">
        <v>80</v>
      </c>
      <c r="E28" s="30" t="s">
        <v>63</v>
      </c>
      <c r="F28" s="66">
        <f ca="1">IF(工资统计表!J28&gt;3500,工资统计表!J28-3500,0)</f>
        <v>14464.800000000003</v>
      </c>
      <c r="G28" s="66">
        <f t="shared" ca="1" si="0"/>
        <v>0.25</v>
      </c>
      <c r="H28" s="66">
        <f ca="1">VLOOKUP(G28,{0.03,0;0.1,105;0.2,555;0.25,1005;0.3,2755;0.35,5505;0.45,13505},2,)</f>
        <v>1005</v>
      </c>
      <c r="I28" s="67">
        <f t="shared" ca="1" si="1"/>
        <v>2611.2000000000007</v>
      </c>
    </row>
    <row r="29" spans="2:9" ht="16.5">
      <c r="B29" s="68" t="s">
        <v>108</v>
      </c>
      <c r="C29" s="30" t="s">
        <v>230</v>
      </c>
      <c r="D29" s="30" t="s">
        <v>80</v>
      </c>
      <c r="E29" s="30" t="s">
        <v>70</v>
      </c>
      <c r="F29" s="66">
        <f ca="1">IF(工资统计表!J29&gt;3500,工资统计表!J29-3500,0)</f>
        <v>639.29</v>
      </c>
      <c r="G29" s="66">
        <f t="shared" ca="1" si="0"/>
        <v>0.03</v>
      </c>
      <c r="H29" s="66">
        <f ca="1">VLOOKUP(G29,{0.03,0;0.1,105;0.2,555;0.25,1005;0.3,2755;0.35,5505;0.45,13505},2,)</f>
        <v>0</v>
      </c>
      <c r="I29" s="67">
        <f t="shared" ca="1" si="1"/>
        <v>19.178699999999999</v>
      </c>
    </row>
    <row r="30" spans="2:9" ht="16.5">
      <c r="B30" s="68" t="s">
        <v>109</v>
      </c>
      <c r="C30" s="30" t="s">
        <v>198</v>
      </c>
      <c r="D30" s="30" t="s">
        <v>81</v>
      </c>
      <c r="E30" s="30" t="s">
        <v>71</v>
      </c>
      <c r="F30" s="66">
        <f ca="1">IF(工资统计表!J30&gt;3500,工资统计表!J30-3500,0)</f>
        <v>0</v>
      </c>
      <c r="G30" s="66">
        <f t="shared" ca="1" si="0"/>
        <v>0.03</v>
      </c>
      <c r="H30" s="66">
        <f ca="1">VLOOKUP(G30,{0.03,0;0.1,105;0.2,555;0.25,1005;0.3,2755;0.35,5505;0.45,13505},2,)</f>
        <v>0</v>
      </c>
      <c r="I30" s="67">
        <f t="shared" ca="1" si="1"/>
        <v>0</v>
      </c>
    </row>
    <row r="31" spans="2:9" ht="16.5">
      <c r="B31" s="68" t="s">
        <v>110</v>
      </c>
      <c r="C31" s="30" t="s">
        <v>216</v>
      </c>
      <c r="D31" s="30" t="s">
        <v>80</v>
      </c>
      <c r="E31" s="30" t="s">
        <v>63</v>
      </c>
      <c r="F31" s="66">
        <f ca="1">IF(工资统计表!J31&gt;3500,工资统计表!J31-3500,0)</f>
        <v>0</v>
      </c>
      <c r="G31" s="66">
        <f t="shared" ca="1" si="0"/>
        <v>0.03</v>
      </c>
      <c r="H31" s="66">
        <f ca="1">VLOOKUP(G31,{0.03,0;0.1,105;0.2,555;0.25,1005;0.3,2755;0.35,5505;0.45,13505},2,)</f>
        <v>0</v>
      </c>
      <c r="I31" s="67">
        <f t="shared" ca="1" si="1"/>
        <v>0</v>
      </c>
    </row>
    <row r="32" spans="2:9" ht="16.5">
      <c r="B32" s="69" t="s">
        <v>111</v>
      </c>
      <c r="C32" s="31" t="s">
        <v>218</v>
      </c>
      <c r="D32" s="31" t="s">
        <v>80</v>
      </c>
      <c r="E32" s="31" t="s">
        <v>71</v>
      </c>
      <c r="F32" s="66">
        <f ca="1">IF(工资统计表!J32&gt;3500,工资统计表!J32-3500,0)</f>
        <v>0</v>
      </c>
      <c r="G32" s="66">
        <f t="shared" ca="1" si="0"/>
        <v>0.03</v>
      </c>
      <c r="H32" s="66">
        <f ca="1">VLOOKUP(G32,{0.03,0;0.1,105;0.2,555;0.25,1005;0.3,2755;0.35,5505;0.45,13505},2,)</f>
        <v>0</v>
      </c>
      <c r="I32" s="67">
        <f t="shared" ca="1" si="1"/>
        <v>0</v>
      </c>
    </row>
  </sheetData>
  <mergeCells count="1">
    <mergeCell ref="B1:I1"/>
  </mergeCells>
  <phoneticPr fontId="1" type="noConversion"/>
  <dataValidations count="1">
    <dataValidation type="list" allowBlank="1" showInputMessage="1" showErrorMessage="1" prompt="请选择输入所在部门！" sqref="E3:E32">
      <formula1>"行政部,销售部,网络安全部,企化部,财务部"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1"/>
  <sheetViews>
    <sheetView workbookViewId="0">
      <selection activeCell="N38" sqref="N38"/>
    </sheetView>
  </sheetViews>
  <sheetFormatPr defaultRowHeight="13.5"/>
  <cols>
    <col min="1" max="1" width="8.875" customWidth="1"/>
    <col min="2" max="2" width="8.625" customWidth="1"/>
    <col min="3" max="3" width="9" customWidth="1"/>
    <col min="4" max="4" width="10.375" customWidth="1"/>
    <col min="5" max="5" width="9.25" customWidth="1"/>
    <col min="6" max="6" width="8.5" customWidth="1"/>
    <col min="7" max="7" width="9.125" customWidth="1"/>
    <col min="8" max="8" width="12.375" customWidth="1"/>
    <col min="9" max="9" width="15.625" customWidth="1"/>
    <col min="10" max="10" width="10.375" customWidth="1"/>
    <col min="11" max="11" width="9" customWidth="1"/>
    <col min="12" max="12" width="9.5" customWidth="1"/>
  </cols>
  <sheetData>
    <row r="1" spans="1:12" ht="24" customHeight="1" thickBot="1">
      <c r="A1" s="88" t="s">
        <v>231</v>
      </c>
      <c r="B1" s="88"/>
      <c r="C1" s="88"/>
      <c r="D1" s="88"/>
      <c r="E1" s="88"/>
      <c r="F1" s="88"/>
      <c r="G1" s="88"/>
      <c r="H1" s="88"/>
      <c r="I1" s="88"/>
      <c r="J1" s="88"/>
      <c r="K1" s="88"/>
    </row>
    <row r="2" spans="1:12" ht="20.25" customHeight="1" thickTop="1">
      <c r="A2" s="70" t="s">
        <v>232</v>
      </c>
      <c r="B2" s="22" t="s">
        <v>2</v>
      </c>
      <c r="C2" s="17"/>
      <c r="D2" s="70" t="s">
        <v>145</v>
      </c>
      <c r="E2" s="16" t="str">
        <f>VLOOKUP(B2,工资表,2)</f>
        <v>王小波</v>
      </c>
      <c r="F2" s="17"/>
      <c r="G2" s="70" t="s">
        <v>165</v>
      </c>
      <c r="H2" s="16" t="str">
        <f>VLOOKUP(B2,工资表,3)</f>
        <v>销售部</v>
      </c>
      <c r="I2" s="17"/>
      <c r="J2" s="70" t="s">
        <v>166</v>
      </c>
      <c r="K2" s="18">
        <f ca="1">VLOOKUP(B2,工资表,16)</f>
        <v>19851.142499999998</v>
      </c>
      <c r="L2" s="19"/>
    </row>
    <row r="3" spans="1:12" ht="14.25">
      <c r="A3" s="21" t="s">
        <v>164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</row>
    <row r="4" spans="1:12" ht="20.25" customHeight="1">
      <c r="A4" s="71" t="s">
        <v>147</v>
      </c>
      <c r="B4" s="71" t="s">
        <v>148</v>
      </c>
      <c r="C4" s="71" t="s">
        <v>156</v>
      </c>
      <c r="D4" s="71" t="s">
        <v>149</v>
      </c>
      <c r="E4" s="71" t="s">
        <v>150</v>
      </c>
      <c r="F4" s="71" t="s">
        <v>151</v>
      </c>
      <c r="G4" s="72" t="s">
        <v>157</v>
      </c>
      <c r="H4" s="71" t="s">
        <v>152</v>
      </c>
      <c r="I4" s="71" t="s">
        <v>153</v>
      </c>
      <c r="J4" s="71" t="s">
        <v>154</v>
      </c>
      <c r="K4" s="71" t="s">
        <v>155</v>
      </c>
      <c r="L4" s="72" t="s">
        <v>163</v>
      </c>
    </row>
    <row r="5" spans="1:12" ht="15" customHeight="1">
      <c r="A5" s="20">
        <f t="shared" ref="A5" si="0">VLOOKUP($B2,工资表,COLUMN(D1))</f>
        <v>800</v>
      </c>
      <c r="B5" s="20">
        <f t="shared" ref="B5" ca="1" si="1">VLOOKUP($B2,工资表,COLUMN(E1))</f>
        <v>0</v>
      </c>
      <c r="C5" s="20">
        <f t="shared" ref="C5" si="2">VLOOKUP($B2,工资表,COLUMN(F1))</f>
        <v>800</v>
      </c>
      <c r="D5" s="20">
        <f t="shared" ref="D5" si="3">VLOOKUP($B2,工资表,COLUMN(G1))</f>
        <v>22400</v>
      </c>
      <c r="E5" s="20">
        <f t="shared" ref="E5" ca="1" si="4">VLOOKUP($B2,工资表,COLUMN(H1))</f>
        <v>276.19</v>
      </c>
      <c r="F5" s="20">
        <f t="shared" ref="F5" si="5">VLOOKUP($B2,工资表,COLUMN(I1))</f>
        <v>0</v>
      </c>
      <c r="G5" s="20">
        <f t="shared" ref="G5" ca="1" si="6">VLOOKUP($B2,工资表,COLUMN(J1))</f>
        <v>24276.19</v>
      </c>
      <c r="H5" s="20">
        <f t="shared" ref="H5" si="7">VLOOKUP($B2,工资表,COLUMN(K1))</f>
        <v>60</v>
      </c>
      <c r="I5" s="20">
        <f t="shared" ref="I5" ca="1" si="8">VLOOKUP($B2,工资表,COLUMN(L1))</f>
        <v>176</v>
      </c>
      <c r="J5" s="20">
        <f t="shared" ref="J5" ca="1" si="9">VLOOKUP($B2,工资表,COLUMN(M1))</f>
        <v>4189.0474999999997</v>
      </c>
      <c r="K5" s="20">
        <f t="shared" ref="K5" si="10">VLOOKUP($B2,工资表,COLUMN(N1))</f>
        <v>0</v>
      </c>
      <c r="L5" s="20">
        <f t="shared" ref="L5" ca="1" si="11">VLOOKUP($B2,工资表,COLUMN(O1))</f>
        <v>4425.0474999999997</v>
      </c>
    </row>
    <row r="6" spans="1:12" ht="15" customHeight="1" thickBot="1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</row>
    <row r="7" spans="1:12" ht="16.5" thickTop="1">
      <c r="A7" s="70" t="s">
        <v>232</v>
      </c>
      <c r="B7" s="22" t="s">
        <v>116</v>
      </c>
      <c r="C7" s="17"/>
      <c r="D7" s="70" t="s">
        <v>113</v>
      </c>
      <c r="E7" s="16" t="str">
        <f>VLOOKUP(B7,工资表,2)</f>
        <v>周涛</v>
      </c>
      <c r="F7" s="17"/>
      <c r="G7" s="70" t="s">
        <v>165</v>
      </c>
      <c r="H7" s="16" t="str">
        <f>VLOOKUP(B7,工资表,3)</f>
        <v>财务部</v>
      </c>
      <c r="I7" s="17"/>
      <c r="J7" s="70" t="s">
        <v>159</v>
      </c>
      <c r="K7" s="18">
        <f ca="1">VLOOKUP(B7,工资表,16)</f>
        <v>3688.9257999999995</v>
      </c>
      <c r="L7" s="19"/>
    </row>
    <row r="8" spans="1:12" ht="14.25">
      <c r="A8" s="21" t="s">
        <v>164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71" t="s">
        <v>75</v>
      </c>
      <c r="B9" s="71" t="s">
        <v>76</v>
      </c>
      <c r="C9" s="71" t="s">
        <v>156</v>
      </c>
      <c r="D9" s="71" t="s">
        <v>118</v>
      </c>
      <c r="E9" s="71" t="s">
        <v>150</v>
      </c>
      <c r="F9" s="71" t="s">
        <v>151</v>
      </c>
      <c r="G9" s="72" t="s">
        <v>157</v>
      </c>
      <c r="H9" s="71" t="s">
        <v>152</v>
      </c>
      <c r="I9" s="71" t="s">
        <v>153</v>
      </c>
      <c r="J9" s="71" t="s">
        <v>154</v>
      </c>
      <c r="K9" s="71" t="s">
        <v>155</v>
      </c>
      <c r="L9" s="72" t="s">
        <v>160</v>
      </c>
    </row>
    <row r="10" spans="1:12" ht="15.75">
      <c r="A10" s="20">
        <f t="shared" ref="A10" si="12">VLOOKUP($B7,工资表,COLUMN(D6))</f>
        <v>2500</v>
      </c>
      <c r="B10" s="20">
        <f t="shared" ref="B10" ca="1" si="13">VLOOKUP($B7,工资表,COLUMN(E6))</f>
        <v>200</v>
      </c>
      <c r="C10" s="20">
        <f t="shared" ref="C10" si="14">VLOOKUP($B7,工资表,COLUMN(F6))</f>
        <v>500</v>
      </c>
      <c r="D10" s="20" t="str">
        <f t="shared" ref="D10" si="15">VLOOKUP($B7,工资表,COLUMN(G6))</f>
        <v/>
      </c>
      <c r="E10" s="20">
        <f t="shared" ref="E10" ca="1" si="16">VLOOKUP($B7,工资表,COLUMN(H6))</f>
        <v>607.14</v>
      </c>
      <c r="F10" s="20">
        <f t="shared" ref="F10" si="17">VLOOKUP($B7,工资表,COLUMN(I6))</f>
        <v>500</v>
      </c>
      <c r="G10" s="20">
        <f t="shared" ref="G10" ca="1" si="18">VLOOKUP($B7,工资表,COLUMN(J6))</f>
        <v>4307.1399999999994</v>
      </c>
      <c r="H10" s="20">
        <f t="shared" ref="H10" si="19">VLOOKUP($B7,工资表,COLUMN(K6))</f>
        <v>0</v>
      </c>
      <c r="I10" s="20">
        <f t="shared" ref="I10" ca="1" si="20">VLOOKUP($B7,工资表,COLUMN(L6))</f>
        <v>594</v>
      </c>
      <c r="J10" s="20">
        <f t="shared" ref="J10" ca="1" si="21">VLOOKUP($B7,工资表,COLUMN(M6))</f>
        <v>24.21419999999998</v>
      </c>
      <c r="K10" s="20" t="str">
        <f t="shared" ref="K10" si="22">VLOOKUP($B7,工资表,COLUMN(N6))</f>
        <v/>
      </c>
      <c r="L10" s="20">
        <f t="shared" ref="L10" ca="1" si="23">VLOOKUP($B7,工资表,COLUMN(O6))</f>
        <v>618.21420000000001</v>
      </c>
    </row>
    <row r="11" spans="1:12" ht="16.5" thickBot="1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</row>
    <row r="12" spans="1:12" ht="16.5" thickTop="1">
      <c r="A12" s="70" t="s">
        <v>232</v>
      </c>
      <c r="B12" s="22" t="s">
        <v>6</v>
      </c>
      <c r="C12" s="17"/>
      <c r="D12" s="70" t="s">
        <v>113</v>
      </c>
      <c r="E12" s="16" t="str">
        <f>VLOOKUP(B12,工资表,2)</f>
        <v>周保国</v>
      </c>
      <c r="F12" s="17"/>
      <c r="G12" s="70" t="s">
        <v>165</v>
      </c>
      <c r="H12" s="16" t="str">
        <f>VLOOKUP(B12,工资表,3)</f>
        <v>企划部</v>
      </c>
      <c r="I12" s="17"/>
      <c r="J12" s="70" t="s">
        <v>159</v>
      </c>
      <c r="K12" s="18">
        <f ca="1">VLOOKUP(B12,工资表,16)</f>
        <v>2265.4299999999998</v>
      </c>
      <c r="L12" s="19"/>
    </row>
    <row r="13" spans="1:12" ht="14.25">
      <c r="A13" s="21" t="s">
        <v>164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71" t="s">
        <v>75</v>
      </c>
      <c r="B14" s="71" t="s">
        <v>76</v>
      </c>
      <c r="C14" s="71" t="s">
        <v>156</v>
      </c>
      <c r="D14" s="71" t="s">
        <v>118</v>
      </c>
      <c r="E14" s="71" t="s">
        <v>150</v>
      </c>
      <c r="F14" s="71" t="s">
        <v>151</v>
      </c>
      <c r="G14" s="72" t="s">
        <v>157</v>
      </c>
      <c r="H14" s="71" t="s">
        <v>152</v>
      </c>
      <c r="I14" s="71" t="s">
        <v>153</v>
      </c>
      <c r="J14" s="71" t="s">
        <v>154</v>
      </c>
      <c r="K14" s="71" t="s">
        <v>155</v>
      </c>
      <c r="L14" s="72" t="s">
        <v>160</v>
      </c>
    </row>
    <row r="15" spans="1:12" ht="15.75">
      <c r="A15" s="20">
        <f t="shared" ref="A15" si="24">VLOOKUP($B12,工资表,COLUMN(D11))</f>
        <v>1800</v>
      </c>
      <c r="B15" s="20">
        <f t="shared" ref="B15" ca="1" si="25">VLOOKUP($B12,工资表,COLUMN(E11))</f>
        <v>0</v>
      </c>
      <c r="C15" s="20">
        <f t="shared" ref="C15" si="26">VLOOKUP($B12,工资表,COLUMN(F11))</f>
        <v>550</v>
      </c>
      <c r="D15" s="20" t="str">
        <f t="shared" ref="D15" si="27">VLOOKUP($B12,工资表,COLUMN(G11))</f>
        <v/>
      </c>
      <c r="E15" s="20">
        <f t="shared" ref="E15" ca="1" si="28">VLOOKUP($B12,工资表,COLUMN(H11))</f>
        <v>371.43</v>
      </c>
      <c r="F15" s="20">
        <f t="shared" ref="F15" si="29">VLOOKUP($B12,工资表,COLUMN(I11))</f>
        <v>0</v>
      </c>
      <c r="G15" s="20">
        <f t="shared" ref="G15" ca="1" si="30">VLOOKUP($B12,工资表,COLUMN(J11))</f>
        <v>2721.43</v>
      </c>
      <c r="H15" s="20">
        <f t="shared" ref="H15" si="31">VLOOKUP($B12,工资表,COLUMN(K11))</f>
        <v>60</v>
      </c>
      <c r="I15" s="20">
        <f t="shared" ref="I15" ca="1" si="32">VLOOKUP($B12,工资表,COLUMN(L11))</f>
        <v>396</v>
      </c>
      <c r="J15" s="20">
        <f t="shared" ref="J15" ca="1" si="33">VLOOKUP($B12,工资表,COLUMN(M11))</f>
        <v>0</v>
      </c>
      <c r="K15" s="20" t="str">
        <f t="shared" ref="K15" si="34">VLOOKUP($B12,工资表,COLUMN(N11))</f>
        <v/>
      </c>
      <c r="L15" s="20">
        <f t="shared" ref="L15" ca="1" si="35">VLOOKUP($B12,工资表,COLUMN(O11))</f>
        <v>456</v>
      </c>
    </row>
    <row r="16" spans="1:12" ht="16.5" thickBot="1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</row>
    <row r="17" spans="1:12" ht="16.5" thickTop="1">
      <c r="A17" s="70" t="s">
        <v>232</v>
      </c>
      <c r="B17" s="22" t="s">
        <v>8</v>
      </c>
      <c r="C17" s="17"/>
      <c r="D17" s="70" t="s">
        <v>113</v>
      </c>
      <c r="E17" s="16" t="str">
        <f>VLOOKUP(B17,工资表,2)</f>
        <v>王芬</v>
      </c>
      <c r="F17" s="17"/>
      <c r="G17" s="70" t="s">
        <v>165</v>
      </c>
      <c r="H17" s="16" t="str">
        <f>VLOOKUP(B17,工资表,3)</f>
        <v>企划部</v>
      </c>
      <c r="I17" s="17"/>
      <c r="J17" s="70" t="s">
        <v>159</v>
      </c>
      <c r="K17" s="18">
        <f ca="1">VLOOKUP(B17,工资表,16)</f>
        <v>3357.8887</v>
      </c>
      <c r="L17" s="19"/>
    </row>
    <row r="18" spans="1:12" ht="14.25">
      <c r="A18" s="21" t="s">
        <v>164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71" t="s">
        <v>75</v>
      </c>
      <c r="B19" s="71" t="s">
        <v>76</v>
      </c>
      <c r="C19" s="71" t="s">
        <v>156</v>
      </c>
      <c r="D19" s="71" t="s">
        <v>118</v>
      </c>
      <c r="E19" s="71" t="s">
        <v>150</v>
      </c>
      <c r="F19" s="71" t="s">
        <v>151</v>
      </c>
      <c r="G19" s="72" t="s">
        <v>157</v>
      </c>
      <c r="H19" s="71" t="s">
        <v>152</v>
      </c>
      <c r="I19" s="71" t="s">
        <v>153</v>
      </c>
      <c r="J19" s="71" t="s">
        <v>154</v>
      </c>
      <c r="K19" s="71" t="s">
        <v>155</v>
      </c>
      <c r="L19" s="72" t="s">
        <v>160</v>
      </c>
    </row>
    <row r="20" spans="1:12" ht="15.75">
      <c r="A20" s="20">
        <f t="shared" ref="A20" si="36">VLOOKUP($B17,工资表,COLUMN(D16))</f>
        <v>2500</v>
      </c>
      <c r="B20" s="20">
        <f t="shared" ref="B20" ca="1" si="37">VLOOKUP($B17,工资表,COLUMN(E16))</f>
        <v>500</v>
      </c>
      <c r="C20" s="20">
        <f t="shared" ref="C20" si="38">VLOOKUP($B17,工资表,COLUMN(F16))</f>
        <v>550</v>
      </c>
      <c r="D20" s="20">
        <f t="shared" ref="D20" si="39">VLOOKUP($B17,工资表,COLUMN(G16))</f>
        <v>0</v>
      </c>
      <c r="E20" s="20">
        <f t="shared" ref="E20" ca="1" si="40">VLOOKUP($B17,工资表,COLUMN(H16))</f>
        <v>710.71</v>
      </c>
      <c r="F20" s="20">
        <f t="shared" ref="F20" si="41">VLOOKUP($B17,工资表,COLUMN(I16))</f>
        <v>0</v>
      </c>
      <c r="G20" s="20">
        <f t="shared" ref="G20" ca="1" si="42">VLOOKUP($B17,工资表,COLUMN(J16))</f>
        <v>4260.71</v>
      </c>
      <c r="H20" s="20">
        <f t="shared" ref="H20" si="43">VLOOKUP($B17,工资表,COLUMN(K16))</f>
        <v>20</v>
      </c>
      <c r="I20" s="20">
        <f t="shared" ref="I20" ca="1" si="44">VLOOKUP($B17,工资表,COLUMN(L16))</f>
        <v>660</v>
      </c>
      <c r="J20" s="20">
        <f t="shared" ref="J20" ca="1" si="45">VLOOKUP($B17,工资表,COLUMN(M16))</f>
        <v>22.821300000000001</v>
      </c>
      <c r="K20" s="20">
        <f t="shared" ref="K20" si="46">VLOOKUP($B17,工资表,COLUMN(N16))</f>
        <v>200</v>
      </c>
      <c r="L20" s="20">
        <f t="shared" ref="L20" ca="1" si="47">VLOOKUP($B17,工资表,COLUMN(O16))</f>
        <v>902.82129999999995</v>
      </c>
    </row>
    <row r="21" spans="1:12" ht="16.5" thickBot="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</row>
    <row r="22" spans="1:12" ht="16.5" thickTop="1">
      <c r="A22" s="70" t="s">
        <v>232</v>
      </c>
      <c r="B22" s="22" t="s">
        <v>10</v>
      </c>
      <c r="C22" s="17"/>
      <c r="D22" s="70" t="s">
        <v>113</v>
      </c>
      <c r="E22" s="16" t="str">
        <f>VLOOKUP(B22,工资表,2)</f>
        <v>陈南</v>
      </c>
      <c r="F22" s="17"/>
      <c r="G22" s="70" t="s">
        <v>165</v>
      </c>
      <c r="H22" s="16" t="str">
        <f>VLOOKUP(B22,工资表,3)</f>
        <v>网络安全部</v>
      </c>
      <c r="I22" s="17"/>
      <c r="J22" s="70" t="s">
        <v>159</v>
      </c>
      <c r="K22" s="18">
        <f ca="1">VLOOKUP(B22,工资表,16)</f>
        <v>2620.5700000000002</v>
      </c>
      <c r="L22" s="19"/>
    </row>
    <row r="23" spans="1:12" ht="14.25">
      <c r="A23" s="21" t="s">
        <v>164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71" t="s">
        <v>75</v>
      </c>
      <c r="B24" s="71" t="s">
        <v>76</v>
      </c>
      <c r="C24" s="71" t="s">
        <v>156</v>
      </c>
      <c r="D24" s="71" t="s">
        <v>118</v>
      </c>
      <c r="E24" s="71" t="s">
        <v>150</v>
      </c>
      <c r="F24" s="71" t="s">
        <v>151</v>
      </c>
      <c r="G24" s="72" t="s">
        <v>157</v>
      </c>
      <c r="H24" s="71" t="s">
        <v>152</v>
      </c>
      <c r="I24" s="71" t="s">
        <v>153</v>
      </c>
      <c r="J24" s="71" t="s">
        <v>154</v>
      </c>
      <c r="K24" s="71" t="s">
        <v>155</v>
      </c>
      <c r="L24" s="72" t="s">
        <v>160</v>
      </c>
    </row>
    <row r="25" spans="1:12" ht="15.75">
      <c r="A25" s="20">
        <f t="shared" ref="A25" si="48">VLOOKUP($B22,工资表,COLUMN(D21))</f>
        <v>2000</v>
      </c>
      <c r="B25" s="20">
        <f t="shared" ref="B25" ca="1" si="49">VLOOKUP($B22,工资表,COLUMN(E21))</f>
        <v>400</v>
      </c>
      <c r="C25" s="20">
        <f t="shared" ref="C25" si="50">VLOOKUP($B22,工资表,COLUMN(F21))</f>
        <v>650</v>
      </c>
      <c r="D25" s="20" t="str">
        <f t="shared" ref="D25" si="51">VLOOKUP($B22,工资表,COLUMN(G21))</f>
        <v/>
      </c>
      <c r="E25" s="20">
        <f t="shared" ref="E25" ca="1" si="52">VLOOKUP($B22,工资表,COLUMN(H21))</f>
        <v>278.57</v>
      </c>
      <c r="F25" s="20">
        <f t="shared" ref="F25" si="53">VLOOKUP($B22,工资表,COLUMN(I21))</f>
        <v>0</v>
      </c>
      <c r="G25" s="20">
        <f t="shared" ref="G25" ca="1" si="54">VLOOKUP($B22,工资表,COLUMN(J21))</f>
        <v>3328.57</v>
      </c>
      <c r="H25" s="20">
        <f t="shared" ref="H25" si="55">VLOOKUP($B22,工资表,COLUMN(K21))</f>
        <v>180</v>
      </c>
      <c r="I25" s="20">
        <f t="shared" ref="I25" ca="1" si="56">VLOOKUP($B22,工资表,COLUMN(L21))</f>
        <v>528</v>
      </c>
      <c r="J25" s="20">
        <f t="shared" ref="J25" ca="1" si="57">VLOOKUP($B22,工资表,COLUMN(M21))</f>
        <v>0</v>
      </c>
      <c r="K25" s="20" t="str">
        <f t="shared" ref="K25" si="58">VLOOKUP($B22,工资表,COLUMN(N21))</f>
        <v/>
      </c>
      <c r="L25" s="20">
        <f t="shared" ref="L25" ca="1" si="59">VLOOKUP($B22,工资表,COLUMN(O21))</f>
        <v>708</v>
      </c>
    </row>
    <row r="26" spans="1:12" ht="16.5" thickBot="1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</row>
    <row r="27" spans="1:12" ht="16.5" thickTop="1">
      <c r="A27" s="70" t="s">
        <v>232</v>
      </c>
      <c r="B27" s="22" t="s">
        <v>12</v>
      </c>
      <c r="C27" s="17"/>
      <c r="D27" s="70" t="s">
        <v>113</v>
      </c>
      <c r="E27" s="16" t="str">
        <f>VLOOKUP(B27,工资表,2)</f>
        <v>吴军</v>
      </c>
      <c r="F27" s="17"/>
      <c r="G27" s="70" t="s">
        <v>165</v>
      </c>
      <c r="H27" s="16" t="str">
        <f>VLOOKUP(B27,工资表,3)</f>
        <v>销售部</v>
      </c>
      <c r="I27" s="17"/>
      <c r="J27" s="70" t="s">
        <v>159</v>
      </c>
      <c r="K27" s="18">
        <f ca="1">VLOOKUP(B27,工资表,16)</f>
        <v>6079</v>
      </c>
      <c r="L27" s="19"/>
    </row>
    <row r="28" spans="1:12" ht="14.25">
      <c r="A28" s="21" t="s">
        <v>164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71" t="s">
        <v>75</v>
      </c>
      <c r="B29" s="71" t="s">
        <v>76</v>
      </c>
      <c r="C29" s="71" t="s">
        <v>156</v>
      </c>
      <c r="D29" s="71" t="s">
        <v>118</v>
      </c>
      <c r="E29" s="71" t="s">
        <v>150</v>
      </c>
      <c r="F29" s="71" t="s">
        <v>151</v>
      </c>
      <c r="G29" s="72" t="s">
        <v>157</v>
      </c>
      <c r="H29" s="71" t="s">
        <v>152</v>
      </c>
      <c r="I29" s="71" t="s">
        <v>153</v>
      </c>
      <c r="J29" s="71" t="s">
        <v>154</v>
      </c>
      <c r="K29" s="71" t="s">
        <v>155</v>
      </c>
      <c r="L29" s="72" t="s">
        <v>160</v>
      </c>
    </row>
    <row r="30" spans="1:12" ht="15.75">
      <c r="A30" s="20">
        <f t="shared" ref="A30" si="60">VLOOKUP($B27,工资表,COLUMN(D26))</f>
        <v>800</v>
      </c>
      <c r="B30" s="20">
        <f t="shared" ref="B30" ca="1" si="61">VLOOKUP($B27,工资表,COLUMN(E26))</f>
        <v>100</v>
      </c>
      <c r="C30" s="20">
        <f t="shared" ref="C30" si="62">VLOOKUP($B27,工资表,COLUMN(F26))</f>
        <v>700</v>
      </c>
      <c r="D30" s="20">
        <f t="shared" ref="D30" si="63">VLOOKUP($B27,工资表,COLUMN(G26))</f>
        <v>4480</v>
      </c>
      <c r="E30" s="20">
        <f t="shared" ref="E30" ca="1" si="64">VLOOKUP($B27,工资表,COLUMN(H26))</f>
        <v>0</v>
      </c>
      <c r="F30" s="20">
        <f t="shared" ref="F30" si="65">VLOOKUP($B27,工资表,COLUMN(I26))</f>
        <v>500</v>
      </c>
      <c r="G30" s="20">
        <f t="shared" ref="G30" ca="1" si="66">VLOOKUP($B27,工资表,COLUMN(J26))</f>
        <v>6580</v>
      </c>
      <c r="H30" s="20">
        <f t="shared" ref="H30" si="67">VLOOKUP($B27,工资表,COLUMN(K26))</f>
        <v>0</v>
      </c>
      <c r="I30" s="20">
        <f t="shared" ref="I30" ca="1" si="68">VLOOKUP($B27,工资表,COLUMN(L26))</f>
        <v>198</v>
      </c>
      <c r="J30" s="20">
        <f t="shared" ref="J30" ca="1" si="69">VLOOKUP($B27,工资表,COLUMN(M26))</f>
        <v>203</v>
      </c>
      <c r="K30" s="20">
        <f t="shared" ref="K30" si="70">VLOOKUP($B27,工资表,COLUMN(N26))</f>
        <v>100</v>
      </c>
      <c r="L30" s="20">
        <f t="shared" ref="L30" ca="1" si="71">VLOOKUP($B27,工资表,COLUMN(O26))</f>
        <v>501</v>
      </c>
    </row>
    <row r="31" spans="1:12" ht="16.5" thickBo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</row>
    <row r="32" spans="1:12" ht="16.5" thickTop="1">
      <c r="A32" s="70" t="s">
        <v>232</v>
      </c>
      <c r="B32" s="22" t="s">
        <v>14</v>
      </c>
      <c r="C32" s="17"/>
      <c r="D32" s="70" t="s">
        <v>113</v>
      </c>
      <c r="E32" s="16" t="str">
        <f>VLOOKUP(B32,工资表,2)</f>
        <v>王青</v>
      </c>
      <c r="F32" s="17"/>
      <c r="G32" s="70" t="s">
        <v>165</v>
      </c>
      <c r="H32" s="16" t="str">
        <f>VLOOKUP(B32,工资表,3)</f>
        <v>网络安全部</v>
      </c>
      <c r="I32" s="17"/>
      <c r="J32" s="70" t="s">
        <v>159</v>
      </c>
      <c r="K32" s="18">
        <f ca="1">VLOOKUP(B32,工资表,16)</f>
        <v>3295.25</v>
      </c>
      <c r="L32" s="19"/>
    </row>
    <row r="33" spans="1:12" ht="14.25">
      <c r="A33" s="21" t="s">
        <v>164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</row>
    <row r="34" spans="1:12">
      <c r="A34" s="71" t="s">
        <v>75</v>
      </c>
      <c r="B34" s="71" t="s">
        <v>76</v>
      </c>
      <c r="C34" s="71" t="s">
        <v>156</v>
      </c>
      <c r="D34" s="71" t="s">
        <v>118</v>
      </c>
      <c r="E34" s="71" t="s">
        <v>150</v>
      </c>
      <c r="F34" s="71" t="s">
        <v>151</v>
      </c>
      <c r="G34" s="72" t="s">
        <v>157</v>
      </c>
      <c r="H34" s="71" t="s">
        <v>152</v>
      </c>
      <c r="I34" s="71" t="s">
        <v>153</v>
      </c>
      <c r="J34" s="71" t="s">
        <v>154</v>
      </c>
      <c r="K34" s="71" t="s">
        <v>155</v>
      </c>
      <c r="L34" s="72" t="s">
        <v>160</v>
      </c>
    </row>
    <row r="35" spans="1:12" ht="15.75">
      <c r="A35" s="20">
        <f t="shared" ref="A35" si="72">VLOOKUP($B32,工资表,COLUMN(D31))</f>
        <v>3000</v>
      </c>
      <c r="B35" s="20">
        <f t="shared" ref="B35" ca="1" si="73">VLOOKUP($B32,工资表,COLUMN(E31))</f>
        <v>400</v>
      </c>
      <c r="C35" s="20">
        <f t="shared" ref="C35" si="74">VLOOKUP($B32,工资表,COLUMN(F31))</f>
        <v>650</v>
      </c>
      <c r="D35" s="20" t="str">
        <f t="shared" ref="D35" si="75">VLOOKUP($B32,工资表,COLUMN(G31))</f>
        <v/>
      </c>
      <c r="E35" s="20">
        <f t="shared" ref="E35" ca="1" si="76">VLOOKUP($B32,工资表,COLUMN(H31))</f>
        <v>175</v>
      </c>
      <c r="F35" s="20">
        <f t="shared" ref="F35" si="77">VLOOKUP($B32,工资表,COLUMN(I31))</f>
        <v>0</v>
      </c>
      <c r="G35" s="20">
        <f t="shared" ref="G35" ca="1" si="78">VLOOKUP($B32,工资表,COLUMN(J31))</f>
        <v>4225</v>
      </c>
      <c r="H35" s="20">
        <f t="shared" ref="H35" si="79">VLOOKUP($B32,工资表,COLUMN(K31))</f>
        <v>160</v>
      </c>
      <c r="I35" s="20">
        <f t="shared" ref="I35" ca="1" si="80">VLOOKUP($B32,工资表,COLUMN(L31))</f>
        <v>748</v>
      </c>
      <c r="J35" s="20">
        <f t="shared" ref="J35" ca="1" si="81">VLOOKUP($B32,工资表,COLUMN(M31))</f>
        <v>21.75</v>
      </c>
      <c r="K35" s="20" t="str">
        <f t="shared" ref="K35" si="82">VLOOKUP($B32,工资表,COLUMN(N31))</f>
        <v/>
      </c>
      <c r="L35" s="20">
        <f t="shared" ref="L35" ca="1" si="83">VLOOKUP($B32,工资表,COLUMN(O31))</f>
        <v>929.75</v>
      </c>
    </row>
    <row r="36" spans="1:12" ht="16.5" thickBo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</row>
    <row r="37" spans="1:12" ht="16.5" thickTop="1">
      <c r="A37" s="70" t="s">
        <v>232</v>
      </c>
      <c r="B37" s="22" t="s">
        <v>16</v>
      </c>
      <c r="C37" s="17"/>
      <c r="D37" s="70" t="s">
        <v>113</v>
      </c>
      <c r="E37" s="16" t="str">
        <f>VLOOKUP(B37,工资表,2)</f>
        <v>刘勇</v>
      </c>
      <c r="F37" s="17"/>
      <c r="G37" s="70" t="s">
        <v>165</v>
      </c>
      <c r="H37" s="16" t="str">
        <f>VLOOKUP(B37,工资表,3)</f>
        <v>行政部</v>
      </c>
      <c r="I37" s="17"/>
      <c r="J37" s="70" t="s">
        <v>159</v>
      </c>
      <c r="K37" s="18">
        <f ca="1">VLOOKUP(B37,工资表,16)</f>
        <v>2138.5699999999997</v>
      </c>
      <c r="L37" s="19"/>
    </row>
    <row r="38" spans="1:12" ht="14.25">
      <c r="A38" s="21" t="s">
        <v>164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</row>
    <row r="39" spans="1:12">
      <c r="A39" s="71" t="s">
        <v>75</v>
      </c>
      <c r="B39" s="71" t="s">
        <v>76</v>
      </c>
      <c r="C39" s="71" t="s">
        <v>156</v>
      </c>
      <c r="D39" s="71" t="s">
        <v>118</v>
      </c>
      <c r="E39" s="71" t="s">
        <v>150</v>
      </c>
      <c r="F39" s="71" t="s">
        <v>151</v>
      </c>
      <c r="G39" s="72" t="s">
        <v>157</v>
      </c>
      <c r="H39" s="71" t="s">
        <v>152</v>
      </c>
      <c r="I39" s="71" t="s">
        <v>153</v>
      </c>
      <c r="J39" s="71" t="s">
        <v>154</v>
      </c>
      <c r="K39" s="71" t="s">
        <v>155</v>
      </c>
      <c r="L39" s="72" t="s">
        <v>160</v>
      </c>
    </row>
    <row r="40" spans="1:12" ht="15.75">
      <c r="A40" s="20">
        <f t="shared" ref="A40" si="84">VLOOKUP($B37,工资表,COLUMN(D36))</f>
        <v>1500</v>
      </c>
      <c r="B40" s="20">
        <f t="shared" ref="B40" ca="1" si="85">VLOOKUP($B37,工资表,COLUMN(E36))</f>
        <v>0</v>
      </c>
      <c r="C40" s="20">
        <f t="shared" ref="C40" si="86">VLOOKUP($B37,工资表,COLUMN(F36))</f>
        <v>500</v>
      </c>
      <c r="D40" s="20" t="str">
        <f t="shared" ref="D40" si="87">VLOOKUP($B37,工资表,COLUMN(G36))</f>
        <v/>
      </c>
      <c r="E40" s="20">
        <f t="shared" ref="E40" ca="1" si="88">VLOOKUP($B37,工资表,COLUMN(H36))</f>
        <v>528.56999999999994</v>
      </c>
      <c r="F40" s="20">
        <f t="shared" ref="F40" si="89">VLOOKUP($B37,工资表,COLUMN(I36))</f>
        <v>0</v>
      </c>
      <c r="G40" s="20">
        <f t="shared" ref="G40" ca="1" si="90">VLOOKUP($B37,工资表,COLUMN(J36))</f>
        <v>2528.5699999999997</v>
      </c>
      <c r="H40" s="20">
        <f t="shared" ref="H40" si="91">VLOOKUP($B37,工资表,COLUMN(K36))</f>
        <v>60</v>
      </c>
      <c r="I40" s="20">
        <f t="shared" ref="I40" ca="1" si="92">VLOOKUP($B37,工资表,COLUMN(L36))</f>
        <v>330</v>
      </c>
      <c r="J40" s="20">
        <f t="shared" ref="J40" ca="1" si="93">VLOOKUP($B37,工资表,COLUMN(M36))</f>
        <v>0</v>
      </c>
      <c r="K40" s="20" t="str">
        <f t="shared" ref="K40" si="94">VLOOKUP($B37,工资表,COLUMN(N36))</f>
        <v/>
      </c>
      <c r="L40" s="20">
        <f t="shared" ref="L40" ca="1" si="95">VLOOKUP($B37,工资表,COLUMN(O36))</f>
        <v>390</v>
      </c>
    </row>
    <row r="41" spans="1:12" ht="16.5" thickBo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</row>
    <row r="42" spans="1:12" ht="16.5" thickTop="1">
      <c r="A42" s="70" t="s">
        <v>232</v>
      </c>
      <c r="B42" s="22" t="s">
        <v>18</v>
      </c>
      <c r="C42" s="17"/>
      <c r="D42" s="70" t="s">
        <v>113</v>
      </c>
      <c r="E42" s="16" t="str">
        <f>VLOOKUP(B42,工资表,2)</f>
        <v>马梅</v>
      </c>
      <c r="F42" s="17"/>
      <c r="G42" s="70" t="s">
        <v>165</v>
      </c>
      <c r="H42" s="16" t="str">
        <f>VLOOKUP(B42,工资表,3)</f>
        <v>销售部</v>
      </c>
      <c r="I42" s="17"/>
      <c r="J42" s="70" t="s">
        <v>159</v>
      </c>
      <c r="K42" s="18">
        <f ca="1">VLOOKUP(B42,工资表,16)</f>
        <v>5485.5</v>
      </c>
      <c r="L42" s="19"/>
    </row>
    <row r="43" spans="1:12" ht="14.25">
      <c r="A43" s="21" t="s">
        <v>164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</row>
    <row r="44" spans="1:12">
      <c r="A44" s="71" t="s">
        <v>75</v>
      </c>
      <c r="B44" s="71" t="s">
        <v>76</v>
      </c>
      <c r="C44" s="71" t="s">
        <v>156</v>
      </c>
      <c r="D44" s="71" t="s">
        <v>118</v>
      </c>
      <c r="E44" s="71" t="s">
        <v>150</v>
      </c>
      <c r="F44" s="71" t="s">
        <v>151</v>
      </c>
      <c r="G44" s="72" t="s">
        <v>157</v>
      </c>
      <c r="H44" s="71" t="s">
        <v>152</v>
      </c>
      <c r="I44" s="71" t="s">
        <v>153</v>
      </c>
      <c r="J44" s="71" t="s">
        <v>154</v>
      </c>
      <c r="K44" s="71" t="s">
        <v>155</v>
      </c>
      <c r="L44" s="72" t="s">
        <v>160</v>
      </c>
    </row>
    <row r="45" spans="1:12" ht="15.75">
      <c r="A45" s="20">
        <f t="shared" ref="A45" si="96">VLOOKUP($B42,工资表,COLUMN(D41))</f>
        <v>2200</v>
      </c>
      <c r="B45" s="20">
        <f t="shared" ref="B45" ca="1" si="97">VLOOKUP($B42,工资表,COLUMN(E41))</f>
        <v>400</v>
      </c>
      <c r="C45" s="20">
        <f t="shared" ref="C45" si="98">VLOOKUP($B42,工资表,COLUMN(F41))</f>
        <v>700</v>
      </c>
      <c r="D45" s="20">
        <f t="shared" ref="D45" si="99">VLOOKUP($B42,工资表,COLUMN(G41))</f>
        <v>2425</v>
      </c>
      <c r="E45" s="20">
        <f t="shared" ref="E45" ca="1" si="100">VLOOKUP($B42,工资表,COLUMN(H41))</f>
        <v>0</v>
      </c>
      <c r="F45" s="20">
        <f t="shared" ref="F45" si="101">VLOOKUP($B42,工资表,COLUMN(I41))</f>
        <v>500</v>
      </c>
      <c r="G45" s="20">
        <f t="shared" ref="G45" ca="1" si="102">VLOOKUP($B42,工资表,COLUMN(J41))</f>
        <v>6225</v>
      </c>
      <c r="H45" s="20">
        <f t="shared" ref="H45" si="103">VLOOKUP($B42,工资表,COLUMN(K41))</f>
        <v>0</v>
      </c>
      <c r="I45" s="20">
        <f t="shared" ref="I45" ca="1" si="104">VLOOKUP($B42,工资表,COLUMN(L41))</f>
        <v>572</v>
      </c>
      <c r="J45" s="20">
        <f t="shared" ref="J45" ca="1" si="105">VLOOKUP($B42,工资表,COLUMN(M41))</f>
        <v>167.5</v>
      </c>
      <c r="K45" s="20">
        <f t="shared" ref="K45" si="106">VLOOKUP($B42,工资表,COLUMN(N41))</f>
        <v>0</v>
      </c>
      <c r="L45" s="20">
        <f t="shared" ref="L45" ca="1" si="107">VLOOKUP($B42,工资表,COLUMN(O41))</f>
        <v>739.5</v>
      </c>
    </row>
    <row r="46" spans="1:12" ht="16.5" thickBo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</row>
    <row r="47" spans="1:12" ht="16.5" thickTop="1">
      <c r="A47" s="70" t="s">
        <v>232</v>
      </c>
      <c r="B47" s="22" t="s">
        <v>20</v>
      </c>
      <c r="C47" s="17"/>
      <c r="D47" s="70" t="s">
        <v>113</v>
      </c>
      <c r="E47" s="16" t="str">
        <f>VLOOKUP(B47,工资表,2)</f>
        <v>吴小华</v>
      </c>
      <c r="F47" s="17"/>
      <c r="G47" s="70" t="s">
        <v>165</v>
      </c>
      <c r="H47" s="16" t="str">
        <f>VLOOKUP(B47,工资表,3)</f>
        <v>财务部</v>
      </c>
      <c r="I47" s="17"/>
      <c r="J47" s="70" t="s">
        <v>159</v>
      </c>
      <c r="K47" s="18">
        <f ca="1">VLOOKUP(B47,工资表,16)</f>
        <v>2903.7129</v>
      </c>
      <c r="L47" s="19"/>
    </row>
    <row r="48" spans="1:12" ht="14.25">
      <c r="A48" s="21" t="s">
        <v>164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</row>
    <row r="49" spans="1:12">
      <c r="A49" s="71" t="s">
        <v>75</v>
      </c>
      <c r="B49" s="71" t="s">
        <v>76</v>
      </c>
      <c r="C49" s="71" t="s">
        <v>156</v>
      </c>
      <c r="D49" s="71" t="s">
        <v>118</v>
      </c>
      <c r="E49" s="71" t="s">
        <v>150</v>
      </c>
      <c r="F49" s="71" t="s">
        <v>151</v>
      </c>
      <c r="G49" s="72" t="s">
        <v>157</v>
      </c>
      <c r="H49" s="71" t="s">
        <v>152</v>
      </c>
      <c r="I49" s="71" t="s">
        <v>153</v>
      </c>
      <c r="J49" s="71" t="s">
        <v>154</v>
      </c>
      <c r="K49" s="71" t="s">
        <v>155</v>
      </c>
      <c r="L49" s="72" t="s">
        <v>160</v>
      </c>
    </row>
    <row r="50" spans="1:12" ht="15.75">
      <c r="A50" s="20">
        <f t="shared" ref="A50" si="108">VLOOKUP($B47,工资表,COLUMN(D46))</f>
        <v>1500</v>
      </c>
      <c r="B50" s="20">
        <f t="shared" ref="B50" ca="1" si="109">VLOOKUP($B47,工资表,COLUMN(E46))</f>
        <v>700</v>
      </c>
      <c r="C50" s="20">
        <f t="shared" ref="C50" si="110">VLOOKUP($B47,工资表,COLUMN(F46))</f>
        <v>500</v>
      </c>
      <c r="D50" s="20">
        <f t="shared" ref="D50" si="111">VLOOKUP($B47,工资表,COLUMN(G46))</f>
        <v>200</v>
      </c>
      <c r="E50" s="20">
        <f t="shared" ref="E50" ca="1" si="112">VLOOKUP($B47,工资表,COLUMN(H46))</f>
        <v>628.57000000000005</v>
      </c>
      <c r="F50" s="20">
        <f t="shared" ref="F50" si="113">VLOOKUP($B47,工资表,COLUMN(I46))</f>
        <v>0</v>
      </c>
      <c r="G50" s="20">
        <f t="shared" ref="G50" ca="1" si="114">VLOOKUP($B47,工资表,COLUMN(J46))</f>
        <v>3528.57</v>
      </c>
      <c r="H50" s="20">
        <f t="shared" ref="H50" si="115">VLOOKUP($B47,工资表,COLUMN(K46))</f>
        <v>140</v>
      </c>
      <c r="I50" s="20">
        <f t="shared" ref="I50" ca="1" si="116">VLOOKUP($B47,工资表,COLUMN(L46))</f>
        <v>484</v>
      </c>
      <c r="J50" s="20">
        <f t="shared" ref="J50" ca="1" si="117">VLOOKUP($B47,工资表,COLUMN(M46))</f>
        <v>0.85710000000000486</v>
      </c>
      <c r="K50" s="20">
        <f t="shared" ref="K50" si="118">VLOOKUP($B47,工资表,COLUMN(N46))</f>
        <v>0</v>
      </c>
      <c r="L50" s="20">
        <f t="shared" ref="L50" ca="1" si="119">VLOOKUP($B47,工资表,COLUMN(O46))</f>
        <v>624.85710000000006</v>
      </c>
    </row>
    <row r="51" spans="1:12" ht="16.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</row>
    <row r="52" spans="1:12" ht="16.5" thickTop="1">
      <c r="A52" s="70" t="s">
        <v>232</v>
      </c>
      <c r="B52" s="22" t="s">
        <v>22</v>
      </c>
      <c r="C52" s="17"/>
      <c r="D52" s="70" t="s">
        <v>113</v>
      </c>
      <c r="E52" s="16" t="str">
        <f>VLOOKUP(B52,工资表,2)</f>
        <v>唐嫣</v>
      </c>
      <c r="F52" s="17"/>
      <c r="G52" s="70" t="s">
        <v>165</v>
      </c>
      <c r="H52" s="16" t="str">
        <f>VLOOKUP(B52,工资表,3)</f>
        <v>销售部</v>
      </c>
      <c r="I52" s="17"/>
      <c r="J52" s="70" t="s">
        <v>159</v>
      </c>
      <c r="K52" s="18">
        <f ca="1">VLOOKUP(B52,工资表,16)</f>
        <v>3647.8693000000003</v>
      </c>
      <c r="L52" s="19"/>
    </row>
    <row r="53" spans="1:12" ht="14.25">
      <c r="A53" s="21" t="s">
        <v>164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</row>
    <row r="54" spans="1:12">
      <c r="A54" s="71" t="s">
        <v>75</v>
      </c>
      <c r="B54" s="71" t="s">
        <v>76</v>
      </c>
      <c r="C54" s="71" t="s">
        <v>156</v>
      </c>
      <c r="D54" s="71" t="s">
        <v>118</v>
      </c>
      <c r="E54" s="71" t="s">
        <v>150</v>
      </c>
      <c r="F54" s="71" t="s">
        <v>151</v>
      </c>
      <c r="G54" s="72" t="s">
        <v>157</v>
      </c>
      <c r="H54" s="71" t="s">
        <v>152</v>
      </c>
      <c r="I54" s="71" t="s">
        <v>153</v>
      </c>
      <c r="J54" s="71" t="s">
        <v>154</v>
      </c>
      <c r="K54" s="71" t="s">
        <v>155</v>
      </c>
      <c r="L54" s="72" t="s">
        <v>160</v>
      </c>
    </row>
    <row r="55" spans="1:12" ht="15.75">
      <c r="A55" s="20">
        <f t="shared" ref="A55" si="120">VLOOKUP($B52,工资表,COLUMN(D51))</f>
        <v>800</v>
      </c>
      <c r="B55" s="20">
        <f t="shared" ref="B55" ca="1" si="121">VLOOKUP($B52,工资表,COLUMN(E51))</f>
        <v>0</v>
      </c>
      <c r="C55" s="20">
        <f t="shared" ref="C55" si="122">VLOOKUP($B52,工资表,COLUMN(F51))</f>
        <v>800</v>
      </c>
      <c r="D55" s="20">
        <f t="shared" ref="D55" si="123">VLOOKUP($B52,工资表,COLUMN(G51))</f>
        <v>2284.5</v>
      </c>
      <c r="E55" s="20">
        <f t="shared" ref="E55" ca="1" si="124">VLOOKUP($B52,工资表,COLUMN(H51))</f>
        <v>176.19</v>
      </c>
      <c r="F55" s="20">
        <f t="shared" ref="F55" si="125">VLOOKUP($B52,工资表,COLUMN(I51))</f>
        <v>0</v>
      </c>
      <c r="G55" s="20">
        <f t="shared" ref="G55" ca="1" si="126">VLOOKUP($B52,工资表,COLUMN(J51))</f>
        <v>4060.69</v>
      </c>
      <c r="H55" s="20">
        <f t="shared" ref="H55" si="127">VLOOKUP($B52,工资表,COLUMN(K51))</f>
        <v>220</v>
      </c>
      <c r="I55" s="20">
        <f t="shared" ref="I55" ca="1" si="128">VLOOKUP($B52,工资表,COLUMN(L51))</f>
        <v>176</v>
      </c>
      <c r="J55" s="20">
        <f t="shared" ref="J55" ca="1" si="129">VLOOKUP($B52,工资表,COLUMN(M51))</f>
        <v>16.820700000000002</v>
      </c>
      <c r="K55" s="20">
        <f t="shared" ref="K55" si="130">VLOOKUP($B52,工资表,COLUMN(N51))</f>
        <v>0</v>
      </c>
      <c r="L55" s="20">
        <f t="shared" ref="L55" ca="1" si="131">VLOOKUP($B52,工资表,COLUMN(O51))</f>
        <v>412.82069999999999</v>
      </c>
    </row>
    <row r="56" spans="1:12" ht="16.5" thickBo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</row>
    <row r="57" spans="1:12" ht="16.5" thickTop="1">
      <c r="A57" s="70" t="s">
        <v>232</v>
      </c>
      <c r="B57" s="22" t="s">
        <v>24</v>
      </c>
      <c r="C57" s="17"/>
      <c r="D57" s="70" t="s">
        <v>113</v>
      </c>
      <c r="E57" s="16" t="str">
        <f>VLOOKUP(B57,工资表,2)</f>
        <v>周丽萍</v>
      </c>
      <c r="F57" s="17"/>
      <c r="G57" s="70" t="s">
        <v>165</v>
      </c>
      <c r="H57" s="16" t="str">
        <f>VLOOKUP(B57,工资表,3)</f>
        <v>企划部</v>
      </c>
      <c r="I57" s="17"/>
      <c r="J57" s="70" t="s">
        <v>159</v>
      </c>
      <c r="K57" s="18">
        <f ca="1">VLOOKUP(B57,工资表,16)</f>
        <v>3820.75</v>
      </c>
      <c r="L57" s="19"/>
    </row>
    <row r="58" spans="1:12" ht="14.25">
      <c r="A58" s="21" t="s">
        <v>164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</row>
    <row r="59" spans="1:12">
      <c r="A59" s="71" t="s">
        <v>75</v>
      </c>
      <c r="B59" s="71" t="s">
        <v>76</v>
      </c>
      <c r="C59" s="71" t="s">
        <v>156</v>
      </c>
      <c r="D59" s="71" t="s">
        <v>118</v>
      </c>
      <c r="E59" s="71" t="s">
        <v>150</v>
      </c>
      <c r="F59" s="71" t="s">
        <v>151</v>
      </c>
      <c r="G59" s="72" t="s">
        <v>157</v>
      </c>
      <c r="H59" s="71" t="s">
        <v>152</v>
      </c>
      <c r="I59" s="71" t="s">
        <v>153</v>
      </c>
      <c r="J59" s="71" t="s">
        <v>154</v>
      </c>
      <c r="K59" s="71" t="s">
        <v>155</v>
      </c>
      <c r="L59" s="72" t="s">
        <v>160</v>
      </c>
    </row>
    <row r="60" spans="1:12" ht="15.75">
      <c r="A60" s="20">
        <f t="shared" ref="A60" si="132">VLOOKUP($B57,工资表,COLUMN(D56))</f>
        <v>1800</v>
      </c>
      <c r="B60" s="20">
        <f t="shared" ref="B60" ca="1" si="133">VLOOKUP($B57,工资表,COLUMN(E56))</f>
        <v>600</v>
      </c>
      <c r="C60" s="20">
        <f t="shared" ref="C60" si="134">VLOOKUP($B57,工资表,COLUMN(F56))</f>
        <v>650</v>
      </c>
      <c r="D60" s="20">
        <f t="shared" ref="D60" si="135">VLOOKUP($B57,工资表,COLUMN(G56))</f>
        <v>1000</v>
      </c>
      <c r="E60" s="20">
        <f t="shared" ref="E60" ca="1" si="136">VLOOKUP($B57,工资表,COLUMN(H56))</f>
        <v>325</v>
      </c>
      <c r="F60" s="20">
        <f t="shared" ref="F60" si="137">VLOOKUP($B57,工资表,COLUMN(I56))</f>
        <v>0</v>
      </c>
      <c r="G60" s="20">
        <f t="shared" ref="G60" ca="1" si="138">VLOOKUP($B57,工资表,COLUMN(J56))</f>
        <v>4375</v>
      </c>
      <c r="H60" s="20">
        <f t="shared" ref="H60" si="139">VLOOKUP($B57,工资表,COLUMN(K56))</f>
        <v>0</v>
      </c>
      <c r="I60" s="20">
        <f t="shared" ref="I60" ca="1" si="140">VLOOKUP($B57,工资表,COLUMN(L56))</f>
        <v>528</v>
      </c>
      <c r="J60" s="20">
        <f t="shared" ref="J60" ca="1" si="141">VLOOKUP($B57,工资表,COLUMN(M56))</f>
        <v>26.25</v>
      </c>
      <c r="K60" s="20">
        <f t="shared" ref="K60" si="142">VLOOKUP($B57,工资表,COLUMN(N56))</f>
        <v>0</v>
      </c>
      <c r="L60" s="20">
        <f t="shared" ref="L60" ca="1" si="143">VLOOKUP($B57,工资表,COLUMN(O56))</f>
        <v>554.25</v>
      </c>
    </row>
    <row r="61" spans="1:12" ht="16.5" thickBo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</row>
    <row r="62" spans="1:12" ht="16.5" thickTop="1">
      <c r="A62" s="70" t="s">
        <v>232</v>
      </c>
      <c r="B62" s="22" t="s">
        <v>26</v>
      </c>
      <c r="C62" s="17"/>
      <c r="D62" s="70" t="s">
        <v>113</v>
      </c>
      <c r="E62" s="16" t="str">
        <f>VLOOKUP(B62,工资表,2)</f>
        <v>王华</v>
      </c>
      <c r="F62" s="17"/>
      <c r="G62" s="70" t="s">
        <v>165</v>
      </c>
      <c r="H62" s="16" t="str">
        <f>VLOOKUP(B62,工资表,3)</f>
        <v>销售部</v>
      </c>
      <c r="I62" s="17"/>
      <c r="J62" s="70" t="s">
        <v>159</v>
      </c>
      <c r="K62" s="18">
        <f ca="1">VLOOKUP(B62,工资表,16)</f>
        <v>3834.8301000000001</v>
      </c>
      <c r="L62" s="19"/>
    </row>
    <row r="63" spans="1:12" ht="14.25">
      <c r="A63" s="21" t="s">
        <v>164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</row>
    <row r="64" spans="1:12">
      <c r="A64" s="71" t="s">
        <v>75</v>
      </c>
      <c r="B64" s="71" t="s">
        <v>76</v>
      </c>
      <c r="C64" s="71" t="s">
        <v>156</v>
      </c>
      <c r="D64" s="71" t="s">
        <v>118</v>
      </c>
      <c r="E64" s="71" t="s">
        <v>150</v>
      </c>
      <c r="F64" s="71" t="s">
        <v>151</v>
      </c>
      <c r="G64" s="72" t="s">
        <v>157</v>
      </c>
      <c r="H64" s="71" t="s">
        <v>152</v>
      </c>
      <c r="I64" s="71" t="s">
        <v>153</v>
      </c>
      <c r="J64" s="71" t="s">
        <v>154</v>
      </c>
      <c r="K64" s="71" t="s">
        <v>155</v>
      </c>
      <c r="L64" s="72" t="s">
        <v>160</v>
      </c>
    </row>
    <row r="65" spans="1:12" ht="15.75">
      <c r="A65" s="20">
        <f t="shared" ref="A65" si="144">VLOOKUP($B62,工资表,COLUMN(D61))</f>
        <v>800</v>
      </c>
      <c r="B65" s="20">
        <f t="shared" ref="B65" ca="1" si="145">VLOOKUP($B62,工资表,COLUMN(E61))</f>
        <v>600</v>
      </c>
      <c r="C65" s="20">
        <f t="shared" ref="C65" si="146">VLOOKUP($B62,工资表,COLUMN(F61))</f>
        <v>700</v>
      </c>
      <c r="D65" s="20">
        <f t="shared" ref="D65" si="147">VLOOKUP($B62,工资表,COLUMN(G61))</f>
        <v>1850</v>
      </c>
      <c r="E65" s="20">
        <f t="shared" ref="E65" ca="1" si="148">VLOOKUP($B62,工资表,COLUMN(H61))</f>
        <v>233.33</v>
      </c>
      <c r="F65" s="20">
        <f t="shared" ref="F65" si="149">VLOOKUP($B62,工资表,COLUMN(I61))</f>
        <v>0</v>
      </c>
      <c r="G65" s="20">
        <f t="shared" ref="G65" ca="1" si="150">VLOOKUP($B62,工资表,COLUMN(J61))</f>
        <v>4183.33</v>
      </c>
      <c r="H65" s="20">
        <f t="shared" ref="H65" si="151">VLOOKUP($B62,工资表,COLUMN(K61))</f>
        <v>20</v>
      </c>
      <c r="I65" s="20">
        <f t="shared" ref="I65" ca="1" si="152">VLOOKUP($B62,工资表,COLUMN(L61))</f>
        <v>308</v>
      </c>
      <c r="J65" s="20">
        <f t="shared" ref="J65" ca="1" si="153">VLOOKUP($B62,工资表,COLUMN(M61))</f>
        <v>20.499899999999997</v>
      </c>
      <c r="K65" s="20">
        <f t="shared" ref="K65" si="154">VLOOKUP($B62,工资表,COLUMN(N61))</f>
        <v>0</v>
      </c>
      <c r="L65" s="20">
        <f t="shared" ref="L65" ca="1" si="155">VLOOKUP($B62,工资表,COLUMN(O61))</f>
        <v>348.49990000000003</v>
      </c>
    </row>
    <row r="66" spans="1:12" ht="16.5" thickBo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</row>
    <row r="67" spans="1:12" ht="16.5" thickTop="1">
      <c r="A67" s="70" t="s">
        <v>232</v>
      </c>
      <c r="B67" s="22" t="s">
        <v>28</v>
      </c>
      <c r="C67" s="17"/>
      <c r="D67" s="70" t="s">
        <v>113</v>
      </c>
      <c r="E67" s="16" t="str">
        <f>VLOOKUP(B67,工资表,2)</f>
        <v>张学兴</v>
      </c>
      <c r="F67" s="17"/>
      <c r="G67" s="70" t="s">
        <v>165</v>
      </c>
      <c r="H67" s="16" t="str">
        <f>VLOOKUP(B67,工资表,3)</f>
        <v>行政部</v>
      </c>
      <c r="I67" s="17"/>
      <c r="J67" s="70" t="s">
        <v>159</v>
      </c>
      <c r="K67" s="18">
        <f ca="1">VLOOKUP(B67,工资表,16)</f>
        <v>2728.05</v>
      </c>
      <c r="L67" s="19"/>
    </row>
    <row r="68" spans="1:12" ht="14.25">
      <c r="A68" s="21" t="s">
        <v>164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</row>
    <row r="69" spans="1:12">
      <c r="A69" s="71" t="s">
        <v>75</v>
      </c>
      <c r="B69" s="71" t="s">
        <v>76</v>
      </c>
      <c r="C69" s="71" t="s">
        <v>156</v>
      </c>
      <c r="D69" s="71" t="s">
        <v>118</v>
      </c>
      <c r="E69" s="71" t="s">
        <v>150</v>
      </c>
      <c r="F69" s="71" t="s">
        <v>151</v>
      </c>
      <c r="G69" s="72" t="s">
        <v>157</v>
      </c>
      <c r="H69" s="71" t="s">
        <v>152</v>
      </c>
      <c r="I69" s="71" t="s">
        <v>153</v>
      </c>
      <c r="J69" s="71" t="s">
        <v>154</v>
      </c>
      <c r="K69" s="71" t="s">
        <v>155</v>
      </c>
      <c r="L69" s="72" t="s">
        <v>160</v>
      </c>
    </row>
    <row r="70" spans="1:12" ht="15.75">
      <c r="A70" s="20">
        <f t="shared" ref="A70" si="156">VLOOKUP($B67,工资表,COLUMN(D66))</f>
        <v>1500</v>
      </c>
      <c r="B70" s="20">
        <f t="shared" ref="B70" ca="1" si="157">VLOOKUP($B67,工资表,COLUMN(E66))</f>
        <v>800</v>
      </c>
      <c r="C70" s="20">
        <f t="shared" ref="C70" si="158">VLOOKUP($B67,工资表,COLUMN(F66))</f>
        <v>500</v>
      </c>
      <c r="D70" s="20" t="str">
        <f t="shared" ref="D70" si="159">VLOOKUP($B67,工资表,COLUMN(G66))</f>
        <v/>
      </c>
      <c r="E70" s="20">
        <f t="shared" ref="E70" ca="1" si="160">VLOOKUP($B67,工资表,COLUMN(H66))</f>
        <v>494.05</v>
      </c>
      <c r="F70" s="20">
        <f t="shared" ref="F70" si="161">VLOOKUP($B67,工资表,COLUMN(I66))</f>
        <v>0</v>
      </c>
      <c r="G70" s="20">
        <f t="shared" ref="G70" ca="1" si="162">VLOOKUP($B67,工资表,COLUMN(J66))</f>
        <v>3294.05</v>
      </c>
      <c r="H70" s="20">
        <f t="shared" ref="H70" si="163">VLOOKUP($B67,工资表,COLUMN(K66))</f>
        <v>60</v>
      </c>
      <c r="I70" s="20">
        <f t="shared" ref="I70" ca="1" si="164">VLOOKUP($B67,工资表,COLUMN(L66))</f>
        <v>506</v>
      </c>
      <c r="J70" s="20">
        <f t="shared" ref="J70" ca="1" si="165">VLOOKUP($B67,工资表,COLUMN(M66))</f>
        <v>0</v>
      </c>
      <c r="K70" s="20" t="str">
        <f t="shared" ref="K70" si="166">VLOOKUP($B67,工资表,COLUMN(N66))</f>
        <v/>
      </c>
      <c r="L70" s="20">
        <f t="shared" ref="L70" ca="1" si="167">VLOOKUP($B67,工资表,COLUMN(O66))</f>
        <v>566</v>
      </c>
    </row>
    <row r="71" spans="1:12" ht="16.5" thickBo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</row>
    <row r="72" spans="1:12" ht="16.5" thickTop="1">
      <c r="A72" s="70" t="s">
        <v>232</v>
      </c>
      <c r="B72" s="22" t="s">
        <v>30</v>
      </c>
      <c r="C72" s="17"/>
      <c r="D72" s="70" t="s">
        <v>113</v>
      </c>
      <c r="E72" s="16" t="str">
        <f>VLOOKUP(B72,工资表,2)</f>
        <v>汪磊</v>
      </c>
      <c r="F72" s="17"/>
      <c r="G72" s="70" t="s">
        <v>165</v>
      </c>
      <c r="H72" s="16" t="str">
        <f>VLOOKUP(B72,工资表,3)</f>
        <v>网络安全部</v>
      </c>
      <c r="I72" s="17"/>
      <c r="J72" s="70" t="s">
        <v>159</v>
      </c>
      <c r="K72" s="18">
        <f ca="1">VLOOKUP(B72,工资表,16)</f>
        <v>3320.6113</v>
      </c>
      <c r="L72" s="19"/>
    </row>
    <row r="73" spans="1:12" ht="14.25">
      <c r="A73" s="21" t="s">
        <v>164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</row>
    <row r="74" spans="1:12">
      <c r="A74" s="71" t="s">
        <v>75</v>
      </c>
      <c r="B74" s="71" t="s">
        <v>76</v>
      </c>
      <c r="C74" s="71" t="s">
        <v>156</v>
      </c>
      <c r="D74" s="71" t="s">
        <v>118</v>
      </c>
      <c r="E74" s="71" t="s">
        <v>150</v>
      </c>
      <c r="F74" s="71" t="s">
        <v>151</v>
      </c>
      <c r="G74" s="72" t="s">
        <v>157</v>
      </c>
      <c r="H74" s="71" t="s">
        <v>152</v>
      </c>
      <c r="I74" s="71" t="s">
        <v>153</v>
      </c>
      <c r="J74" s="71" t="s">
        <v>154</v>
      </c>
      <c r="K74" s="71" t="s">
        <v>155</v>
      </c>
      <c r="L74" s="72" t="s">
        <v>160</v>
      </c>
    </row>
    <row r="75" spans="1:12" ht="15.75">
      <c r="A75" s="20">
        <f t="shared" ref="A75" si="168">VLOOKUP($B72,工资表,COLUMN(D71))</f>
        <v>2000</v>
      </c>
      <c r="B75" s="20">
        <f t="shared" ref="B75" ca="1" si="169">VLOOKUP($B72,工资表,COLUMN(E71))</f>
        <v>700</v>
      </c>
      <c r="C75" s="20">
        <f t="shared" ref="C75" si="170">VLOOKUP($B72,工资表,COLUMN(F71))</f>
        <v>550</v>
      </c>
      <c r="D75" s="20" t="str">
        <f t="shared" ref="D75" si="171">VLOOKUP($B72,工资表,COLUMN(G71))</f>
        <v/>
      </c>
      <c r="E75" s="20">
        <f t="shared" ref="E75" ca="1" si="172">VLOOKUP($B72,工资表,COLUMN(H71))</f>
        <v>739.29</v>
      </c>
      <c r="F75" s="20">
        <f t="shared" ref="F75" si="173">VLOOKUP($B72,工资表,COLUMN(I71))</f>
        <v>0</v>
      </c>
      <c r="G75" s="20">
        <f t="shared" ref="G75" ca="1" si="174">VLOOKUP($B72,工资表,COLUMN(J71))</f>
        <v>3989.29</v>
      </c>
      <c r="H75" s="20">
        <f t="shared" ref="H75" si="175">VLOOKUP($B72,工资表,COLUMN(K71))</f>
        <v>60</v>
      </c>
      <c r="I75" s="20">
        <f t="shared" ref="I75" ca="1" si="176">VLOOKUP($B72,工资表,COLUMN(L71))</f>
        <v>594</v>
      </c>
      <c r="J75" s="20">
        <f t="shared" ref="J75" ca="1" si="177">VLOOKUP($B72,工资表,COLUMN(M71))</f>
        <v>14.678699999999999</v>
      </c>
      <c r="K75" s="20" t="str">
        <f t="shared" ref="K75" si="178">VLOOKUP($B72,工资表,COLUMN(N71))</f>
        <v/>
      </c>
      <c r="L75" s="20">
        <f t="shared" ref="L75" ca="1" si="179">VLOOKUP($B72,工资表,COLUMN(O71))</f>
        <v>668.67870000000005</v>
      </c>
    </row>
    <row r="76" spans="1:12" ht="16.5" thickBo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</row>
    <row r="77" spans="1:12" ht="16.5" thickTop="1">
      <c r="A77" s="70" t="s">
        <v>232</v>
      </c>
      <c r="B77" s="22" t="s">
        <v>32</v>
      </c>
      <c r="C77" s="17"/>
      <c r="D77" s="70" t="s">
        <v>113</v>
      </c>
      <c r="E77" s="16" t="str">
        <f>VLOOKUP(B77,工资表,2)</f>
        <v>陈华</v>
      </c>
      <c r="F77" s="17"/>
      <c r="G77" s="70" t="s">
        <v>165</v>
      </c>
      <c r="H77" s="16" t="str">
        <f>VLOOKUP(B77,工资表,3)</f>
        <v>销售部</v>
      </c>
      <c r="I77" s="17"/>
      <c r="J77" s="70" t="s">
        <v>159</v>
      </c>
      <c r="K77" s="18">
        <f ca="1">VLOOKUP(B77,工资表,16)</f>
        <v>2242</v>
      </c>
      <c r="L77" s="19"/>
    </row>
    <row r="78" spans="1:12" ht="14.25">
      <c r="A78" s="21" t="s">
        <v>164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</row>
    <row r="79" spans="1:12">
      <c r="A79" s="71" t="s">
        <v>75</v>
      </c>
      <c r="B79" s="71" t="s">
        <v>76</v>
      </c>
      <c r="C79" s="71" t="s">
        <v>156</v>
      </c>
      <c r="D79" s="71" t="s">
        <v>118</v>
      </c>
      <c r="E79" s="71" t="s">
        <v>150</v>
      </c>
      <c r="F79" s="71" t="s">
        <v>151</v>
      </c>
      <c r="G79" s="72" t="s">
        <v>157</v>
      </c>
      <c r="H79" s="71" t="s">
        <v>152</v>
      </c>
      <c r="I79" s="71" t="s">
        <v>153</v>
      </c>
      <c r="J79" s="71" t="s">
        <v>154</v>
      </c>
      <c r="K79" s="71" t="s">
        <v>155</v>
      </c>
      <c r="L79" s="72" t="s">
        <v>160</v>
      </c>
    </row>
    <row r="80" spans="1:12" ht="15.75">
      <c r="A80" s="20">
        <f t="shared" ref="A80" si="180">VLOOKUP($B77,工资表,COLUMN(D76))</f>
        <v>800</v>
      </c>
      <c r="B80" s="20">
        <f t="shared" ref="B80" ca="1" si="181">VLOOKUP($B77,工资表,COLUMN(E76))</f>
        <v>600</v>
      </c>
      <c r="C80" s="20">
        <f t="shared" ref="C80" si="182">VLOOKUP($B77,工资表,COLUMN(F76))</f>
        <v>800</v>
      </c>
      <c r="D80" s="20">
        <f t="shared" ref="D80" si="183">VLOOKUP($B77,工资表,COLUMN(G76))</f>
        <v>510</v>
      </c>
      <c r="E80" s="20">
        <f t="shared" ref="E80" ca="1" si="184">VLOOKUP($B77,工资表,COLUMN(H76))</f>
        <v>0</v>
      </c>
      <c r="F80" s="20">
        <f t="shared" ref="F80" si="185">VLOOKUP($B77,工资表,COLUMN(I76))</f>
        <v>0</v>
      </c>
      <c r="G80" s="20">
        <f t="shared" ref="G80" ca="1" si="186">VLOOKUP($B77,工资表,COLUMN(J76))</f>
        <v>2710</v>
      </c>
      <c r="H80" s="20">
        <f t="shared" ref="H80" si="187">VLOOKUP($B77,工资表,COLUMN(K76))</f>
        <v>160</v>
      </c>
      <c r="I80" s="20">
        <f t="shared" ref="I80" ca="1" si="188">VLOOKUP($B77,工资表,COLUMN(L76))</f>
        <v>308</v>
      </c>
      <c r="J80" s="20">
        <f t="shared" ref="J80" ca="1" si="189">VLOOKUP($B77,工资表,COLUMN(M76))</f>
        <v>0</v>
      </c>
      <c r="K80" s="20">
        <f t="shared" ref="K80" si="190">VLOOKUP($B77,工资表,COLUMN(N76))</f>
        <v>0</v>
      </c>
      <c r="L80" s="20">
        <f t="shared" ref="L80" ca="1" si="191">VLOOKUP($B77,工资表,COLUMN(O76))</f>
        <v>468</v>
      </c>
    </row>
    <row r="81" spans="1:12" ht="16.5" thickBo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</row>
    <row r="82" spans="1:12" ht="16.5" thickTop="1">
      <c r="A82" s="70" t="s">
        <v>232</v>
      </c>
      <c r="B82" s="22" t="s">
        <v>34</v>
      </c>
      <c r="C82" s="17"/>
      <c r="D82" s="70" t="s">
        <v>113</v>
      </c>
      <c r="E82" s="16" t="str">
        <f>VLOOKUP(B82,工资表,2)</f>
        <v>刘俊</v>
      </c>
      <c r="F82" s="17"/>
      <c r="G82" s="70" t="s">
        <v>165</v>
      </c>
      <c r="H82" s="16" t="str">
        <f>VLOOKUP(B82,工资表,3)</f>
        <v>行政部</v>
      </c>
      <c r="I82" s="17"/>
      <c r="J82" s="70" t="s">
        <v>159</v>
      </c>
      <c r="K82" s="18">
        <f ca="1">VLOOKUP(B82,工资表,16)</f>
        <v>1796</v>
      </c>
      <c r="L82" s="19"/>
    </row>
    <row r="83" spans="1:12" ht="14.25">
      <c r="A83" s="21" t="s">
        <v>164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</row>
    <row r="84" spans="1:12">
      <c r="A84" s="71" t="s">
        <v>75</v>
      </c>
      <c r="B84" s="71" t="s">
        <v>76</v>
      </c>
      <c r="C84" s="71" t="s">
        <v>156</v>
      </c>
      <c r="D84" s="71" t="s">
        <v>118</v>
      </c>
      <c r="E84" s="71" t="s">
        <v>150</v>
      </c>
      <c r="F84" s="71" t="s">
        <v>151</v>
      </c>
      <c r="G84" s="72" t="s">
        <v>157</v>
      </c>
      <c r="H84" s="71" t="s">
        <v>152</v>
      </c>
      <c r="I84" s="71" t="s">
        <v>153</v>
      </c>
      <c r="J84" s="71" t="s">
        <v>154</v>
      </c>
      <c r="K84" s="71" t="s">
        <v>155</v>
      </c>
      <c r="L84" s="72" t="s">
        <v>160</v>
      </c>
    </row>
    <row r="85" spans="1:12" ht="15.75">
      <c r="A85" s="20">
        <f t="shared" ref="A85" si="192">VLOOKUP($B82,工资表,COLUMN(D81))</f>
        <v>1500</v>
      </c>
      <c r="B85" s="20">
        <f t="shared" ref="B85" ca="1" si="193">VLOOKUP($B82,工资表,COLUMN(E81))</f>
        <v>200</v>
      </c>
      <c r="C85" s="20">
        <f t="shared" ref="C85" si="194">VLOOKUP($B82,工资表,COLUMN(F81))</f>
        <v>500</v>
      </c>
      <c r="D85" s="20" t="str">
        <f t="shared" ref="D85" si="195">VLOOKUP($B82,工资表,COLUMN(G81))</f>
        <v/>
      </c>
      <c r="E85" s="20">
        <f t="shared" ref="E85" ca="1" si="196">VLOOKUP($B82,工资表,COLUMN(H81))</f>
        <v>250</v>
      </c>
      <c r="F85" s="20">
        <f t="shared" ref="F85" si="197">VLOOKUP($B82,工资表,COLUMN(I81))</f>
        <v>0</v>
      </c>
      <c r="G85" s="20">
        <f t="shared" ref="G85" ca="1" si="198">VLOOKUP($B82,工资表,COLUMN(J81))</f>
        <v>2450</v>
      </c>
      <c r="H85" s="20">
        <f t="shared" ref="H85" si="199">VLOOKUP($B82,工资表,COLUMN(K81))</f>
        <v>280</v>
      </c>
      <c r="I85" s="20">
        <f t="shared" ref="I85" ca="1" si="200">VLOOKUP($B82,工资表,COLUMN(L81))</f>
        <v>374</v>
      </c>
      <c r="J85" s="20">
        <f t="shared" ref="J85" ca="1" si="201">VLOOKUP($B82,工资表,COLUMN(M81))</f>
        <v>0</v>
      </c>
      <c r="K85" s="20" t="str">
        <f t="shared" ref="K85" si="202">VLOOKUP($B82,工资表,COLUMN(N81))</f>
        <v/>
      </c>
      <c r="L85" s="20">
        <f t="shared" ref="L85" ca="1" si="203">VLOOKUP($B82,工资表,COLUMN(O81))</f>
        <v>654</v>
      </c>
    </row>
    <row r="86" spans="1:12" ht="16.5" thickBo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</row>
    <row r="87" spans="1:12" ht="16.5" thickTop="1">
      <c r="A87" s="70" t="s">
        <v>232</v>
      </c>
      <c r="B87" s="22" t="s">
        <v>36</v>
      </c>
      <c r="C87" s="17"/>
      <c r="D87" s="70" t="s">
        <v>113</v>
      </c>
      <c r="E87" s="16" t="str">
        <f>VLOOKUP(B87,工资表,2)</f>
        <v>邓超</v>
      </c>
      <c r="F87" s="17"/>
      <c r="G87" s="70" t="s">
        <v>165</v>
      </c>
      <c r="H87" s="16" t="str">
        <f>VLOOKUP(B87,工资表,3)</f>
        <v>行政部</v>
      </c>
      <c r="I87" s="17"/>
      <c r="J87" s="70" t="s">
        <v>159</v>
      </c>
      <c r="K87" s="18">
        <f ca="1">VLOOKUP(B87,工资表,16)</f>
        <v>1584</v>
      </c>
      <c r="L87" s="19"/>
    </row>
    <row r="88" spans="1:12" ht="14.25">
      <c r="A88" s="21" t="s">
        <v>164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</row>
    <row r="89" spans="1:12">
      <c r="A89" s="71" t="s">
        <v>75</v>
      </c>
      <c r="B89" s="71" t="s">
        <v>76</v>
      </c>
      <c r="C89" s="71" t="s">
        <v>156</v>
      </c>
      <c r="D89" s="71" t="s">
        <v>118</v>
      </c>
      <c r="E89" s="71" t="s">
        <v>150</v>
      </c>
      <c r="F89" s="71" t="s">
        <v>151</v>
      </c>
      <c r="G89" s="72" t="s">
        <v>157</v>
      </c>
      <c r="H89" s="71" t="s">
        <v>152</v>
      </c>
      <c r="I89" s="71" t="s">
        <v>153</v>
      </c>
      <c r="J89" s="71" t="s">
        <v>154</v>
      </c>
      <c r="K89" s="71" t="s">
        <v>155</v>
      </c>
      <c r="L89" s="72" t="s">
        <v>160</v>
      </c>
    </row>
    <row r="90" spans="1:12" ht="15.75">
      <c r="A90" s="20">
        <f t="shared" ref="A90" si="204">VLOOKUP($B87,工资表,COLUMN(D86))</f>
        <v>1500</v>
      </c>
      <c r="B90" s="20">
        <f t="shared" ref="B90" ca="1" si="205">VLOOKUP($B87,工资表,COLUMN(E86))</f>
        <v>300</v>
      </c>
      <c r="C90" s="20">
        <f t="shared" ref="C90" si="206">VLOOKUP($B87,工资表,COLUMN(F86))</f>
        <v>400</v>
      </c>
      <c r="D90" s="20" t="str">
        <f t="shared" ref="D90" si="207">VLOOKUP($B87,工资表,COLUMN(G86))</f>
        <v/>
      </c>
      <c r="E90" s="20">
        <f t="shared" ref="E90" ca="1" si="208">VLOOKUP($B87,工资表,COLUMN(H86))</f>
        <v>0</v>
      </c>
      <c r="F90" s="20">
        <f t="shared" ref="F90" si="209">VLOOKUP($B87,工资表,COLUMN(I86))</f>
        <v>0</v>
      </c>
      <c r="G90" s="20">
        <f t="shared" ref="G90" ca="1" si="210">VLOOKUP($B87,工资表,COLUMN(J86))</f>
        <v>2200</v>
      </c>
      <c r="H90" s="20">
        <f t="shared" ref="H90" si="211">VLOOKUP($B87,工资表,COLUMN(K86))</f>
        <v>220</v>
      </c>
      <c r="I90" s="20">
        <f t="shared" ref="I90" ca="1" si="212">VLOOKUP($B87,工资表,COLUMN(L86))</f>
        <v>396</v>
      </c>
      <c r="J90" s="20">
        <f t="shared" ref="J90" ca="1" si="213">VLOOKUP($B87,工资表,COLUMN(M86))</f>
        <v>0</v>
      </c>
      <c r="K90" s="20" t="str">
        <f t="shared" ref="K90" si="214">VLOOKUP($B87,工资表,COLUMN(N86))</f>
        <v/>
      </c>
      <c r="L90" s="20">
        <f t="shared" ref="L90" ca="1" si="215">VLOOKUP($B87,工资表,COLUMN(O86))</f>
        <v>616</v>
      </c>
    </row>
    <row r="91" spans="1:12" ht="16.5" thickBo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</row>
    <row r="92" spans="1:12" ht="16.5" thickTop="1">
      <c r="A92" s="70" t="s">
        <v>232</v>
      </c>
      <c r="B92" s="22" t="s">
        <v>38</v>
      </c>
      <c r="C92" s="17"/>
      <c r="D92" s="70" t="s">
        <v>113</v>
      </c>
      <c r="E92" s="16" t="str">
        <f>VLOOKUP(B92,工资表,2)</f>
        <v>何晓飞</v>
      </c>
      <c r="F92" s="17"/>
      <c r="G92" s="70" t="s">
        <v>165</v>
      </c>
      <c r="H92" s="16" t="str">
        <f>VLOOKUP(B92,工资表,3)</f>
        <v>销售部</v>
      </c>
      <c r="I92" s="17"/>
      <c r="J92" s="70" t="s">
        <v>159</v>
      </c>
      <c r="K92" s="18">
        <f ca="1">VLOOKUP(B92,工资表,16)</f>
        <v>10762.6</v>
      </c>
      <c r="L92" s="19"/>
    </row>
    <row r="93" spans="1:12" ht="14.25">
      <c r="A93" s="21" t="s">
        <v>164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</row>
    <row r="94" spans="1:12">
      <c r="A94" s="71" t="s">
        <v>75</v>
      </c>
      <c r="B94" s="71" t="s">
        <v>76</v>
      </c>
      <c r="C94" s="71" t="s">
        <v>156</v>
      </c>
      <c r="D94" s="71" t="s">
        <v>118</v>
      </c>
      <c r="E94" s="71" t="s">
        <v>150</v>
      </c>
      <c r="F94" s="71" t="s">
        <v>151</v>
      </c>
      <c r="G94" s="72" t="s">
        <v>157</v>
      </c>
      <c r="H94" s="71" t="s">
        <v>152</v>
      </c>
      <c r="I94" s="71" t="s">
        <v>153</v>
      </c>
      <c r="J94" s="71" t="s">
        <v>154</v>
      </c>
      <c r="K94" s="71" t="s">
        <v>155</v>
      </c>
      <c r="L94" s="72" t="s">
        <v>160</v>
      </c>
    </row>
    <row r="95" spans="1:12" ht="15.75">
      <c r="A95" s="20">
        <f t="shared" ref="A95" si="216">VLOOKUP($B92,工资表,COLUMN(D91))</f>
        <v>800</v>
      </c>
      <c r="B95" s="20">
        <f t="shared" ref="B95" ca="1" si="217">VLOOKUP($B92,工资表,COLUMN(E91))</f>
        <v>100</v>
      </c>
      <c r="C95" s="20">
        <f t="shared" ref="C95" si="218">VLOOKUP($B92,工资表,COLUMN(F91))</f>
        <v>700</v>
      </c>
      <c r="D95" s="20">
        <f t="shared" ref="D95" si="219">VLOOKUP($B92,工资表,COLUMN(G91))</f>
        <v>10032</v>
      </c>
      <c r="E95" s="20">
        <f t="shared" ref="E95" ca="1" si="220">VLOOKUP($B92,工资表,COLUMN(H91))</f>
        <v>0</v>
      </c>
      <c r="F95" s="20">
        <f t="shared" ref="F95" si="221">VLOOKUP($B92,工资表,COLUMN(I91))</f>
        <v>500</v>
      </c>
      <c r="G95" s="20">
        <f t="shared" ref="G95" ca="1" si="222">VLOOKUP($B92,工资表,COLUMN(J91))</f>
        <v>12132</v>
      </c>
      <c r="H95" s="20">
        <f t="shared" ref="H95" si="223">VLOOKUP($B92,工资表,COLUMN(K91))</f>
        <v>0</v>
      </c>
      <c r="I95" s="20">
        <f t="shared" ref="I95" ca="1" si="224">VLOOKUP($B92,工资表,COLUMN(L91))</f>
        <v>198</v>
      </c>
      <c r="J95" s="20">
        <f t="shared" ref="J95" ca="1" si="225">VLOOKUP($B92,工资表,COLUMN(M91))</f>
        <v>1171.4000000000001</v>
      </c>
      <c r="K95" s="20">
        <f t="shared" ref="K95" si="226">VLOOKUP($B92,工资表,COLUMN(N91))</f>
        <v>0</v>
      </c>
      <c r="L95" s="20">
        <f t="shared" ref="L95" ca="1" si="227">VLOOKUP($B92,工资表,COLUMN(O91))</f>
        <v>1369.4</v>
      </c>
    </row>
    <row r="96" spans="1:12" ht="16.5" thickBo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</row>
    <row r="97" spans="1:12" ht="16.5" thickTop="1">
      <c r="A97" s="70" t="s">
        <v>232</v>
      </c>
      <c r="B97" s="22" t="s">
        <v>39</v>
      </c>
      <c r="C97" s="17"/>
      <c r="D97" s="70" t="s">
        <v>113</v>
      </c>
      <c r="E97" s="16" t="str">
        <f>VLOOKUP(B97,工资表,2)</f>
        <v>杨静</v>
      </c>
      <c r="F97" s="17"/>
      <c r="G97" s="70" t="s">
        <v>165</v>
      </c>
      <c r="H97" s="16" t="str">
        <f>VLOOKUP(B97,工资表,3)</f>
        <v>网络安全部</v>
      </c>
      <c r="I97" s="17"/>
      <c r="J97" s="70" t="s">
        <v>159</v>
      </c>
      <c r="K97" s="18">
        <f ca="1">VLOOKUP(B97,工资表,16)</f>
        <v>2435.5700000000002</v>
      </c>
      <c r="L97" s="19"/>
    </row>
    <row r="98" spans="1:12" ht="14.25">
      <c r="A98" s="21" t="s">
        <v>164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</row>
    <row r="99" spans="1:12">
      <c r="A99" s="71" t="s">
        <v>75</v>
      </c>
      <c r="B99" s="71" t="s">
        <v>76</v>
      </c>
      <c r="C99" s="71" t="s">
        <v>156</v>
      </c>
      <c r="D99" s="71" t="s">
        <v>118</v>
      </c>
      <c r="E99" s="71" t="s">
        <v>150</v>
      </c>
      <c r="F99" s="71" t="s">
        <v>151</v>
      </c>
      <c r="G99" s="72" t="s">
        <v>157</v>
      </c>
      <c r="H99" s="71" t="s">
        <v>152</v>
      </c>
      <c r="I99" s="71" t="s">
        <v>153</v>
      </c>
      <c r="J99" s="71" t="s">
        <v>154</v>
      </c>
      <c r="K99" s="71" t="s">
        <v>155</v>
      </c>
      <c r="L99" s="72" t="s">
        <v>160</v>
      </c>
    </row>
    <row r="100" spans="1:12" ht="15.75">
      <c r="A100" s="20">
        <f t="shared" ref="A100" si="228">VLOOKUP($B97,工资表,COLUMN(D96))</f>
        <v>2000</v>
      </c>
      <c r="B100" s="20">
        <f t="shared" ref="B100" ca="1" si="229">VLOOKUP($B97,工资表,COLUMN(E96))</f>
        <v>400</v>
      </c>
      <c r="C100" s="20">
        <f t="shared" ref="C100" si="230">VLOOKUP($B97,工资表,COLUMN(F96))</f>
        <v>550</v>
      </c>
      <c r="D100" s="20">
        <f t="shared" ref="D100" si="231">VLOOKUP($B97,工资表,COLUMN(G96))</f>
        <v>0</v>
      </c>
      <c r="E100" s="20">
        <f t="shared" ref="E100" ca="1" si="232">VLOOKUP($B97,工资表,COLUMN(H96))</f>
        <v>353.57</v>
      </c>
      <c r="F100" s="20">
        <f t="shared" ref="F100" si="233">VLOOKUP($B97,工资表,COLUMN(I96))</f>
        <v>0</v>
      </c>
      <c r="G100" s="20">
        <f t="shared" ref="G100" ca="1" si="234">VLOOKUP($B97,工资表,COLUMN(J96))</f>
        <v>3303.57</v>
      </c>
      <c r="H100" s="20">
        <f t="shared" ref="H100" si="235">VLOOKUP($B97,工资表,COLUMN(K96))</f>
        <v>160</v>
      </c>
      <c r="I100" s="20">
        <f t="shared" ref="I100" ca="1" si="236">VLOOKUP($B97,工资表,COLUMN(L96))</f>
        <v>528</v>
      </c>
      <c r="J100" s="20">
        <f t="shared" ref="J100" ca="1" si="237">VLOOKUP($B97,工资表,COLUMN(M96))</f>
        <v>0</v>
      </c>
      <c r="K100" s="20">
        <f t="shared" ref="K100" si="238">VLOOKUP($B97,工资表,COLUMN(N96))</f>
        <v>180</v>
      </c>
      <c r="L100" s="20">
        <f t="shared" ref="L100" ca="1" si="239">VLOOKUP($B97,工资表,COLUMN(O96))</f>
        <v>868</v>
      </c>
    </row>
    <row r="101" spans="1:12" ht="16.5" thickBo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</row>
    <row r="102" spans="1:12" ht="16.5" thickTop="1">
      <c r="A102" s="70" t="s">
        <v>232</v>
      </c>
      <c r="B102" s="22" t="s">
        <v>41</v>
      </c>
      <c r="C102" s="17"/>
      <c r="D102" s="70" t="s">
        <v>113</v>
      </c>
      <c r="E102" s="16" t="str">
        <f>VLOOKUP(B102,工资表,2)</f>
        <v>汪任</v>
      </c>
      <c r="F102" s="17"/>
      <c r="G102" s="70" t="s">
        <v>165</v>
      </c>
      <c r="H102" s="16" t="str">
        <f>VLOOKUP(B102,工资表,3)</f>
        <v>销售部</v>
      </c>
      <c r="I102" s="17"/>
      <c r="J102" s="70" t="s">
        <v>159</v>
      </c>
      <c r="K102" s="18">
        <f ca="1">VLOOKUP(B102,工资表,16)</f>
        <v>29397.699999999997</v>
      </c>
      <c r="L102" s="19"/>
    </row>
    <row r="103" spans="1:12" ht="14.25">
      <c r="A103" s="21" t="s">
        <v>164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</row>
    <row r="104" spans="1:12">
      <c r="A104" s="71" t="s">
        <v>75</v>
      </c>
      <c r="B104" s="71" t="s">
        <v>76</v>
      </c>
      <c r="C104" s="71" t="s">
        <v>156</v>
      </c>
      <c r="D104" s="71" t="s">
        <v>118</v>
      </c>
      <c r="E104" s="71" t="s">
        <v>150</v>
      </c>
      <c r="F104" s="71" t="s">
        <v>151</v>
      </c>
      <c r="G104" s="72" t="s">
        <v>157</v>
      </c>
      <c r="H104" s="71" t="s">
        <v>152</v>
      </c>
      <c r="I104" s="71" t="s">
        <v>153</v>
      </c>
      <c r="J104" s="71" t="s">
        <v>154</v>
      </c>
      <c r="K104" s="71" t="s">
        <v>155</v>
      </c>
      <c r="L104" s="72" t="s">
        <v>160</v>
      </c>
    </row>
    <row r="105" spans="1:12" ht="15.75">
      <c r="A105" s="20">
        <f t="shared" ref="A105" si="240">VLOOKUP($B102,工资表,COLUMN(D101))</f>
        <v>800</v>
      </c>
      <c r="B105" s="20">
        <f t="shared" ref="B105" ca="1" si="241">VLOOKUP($B102,工资表,COLUMN(E101))</f>
        <v>500</v>
      </c>
      <c r="C105" s="20">
        <f t="shared" ref="C105" si="242">VLOOKUP($B102,工资表,COLUMN(F101))</f>
        <v>700</v>
      </c>
      <c r="D105" s="20">
        <f t="shared" ref="D105" si="243">VLOOKUP($B102,工资表,COLUMN(G101))</f>
        <v>35081.599999999999</v>
      </c>
      <c r="E105" s="20">
        <f t="shared" ref="E105" ca="1" si="244">VLOOKUP($B102,工资表,COLUMN(H101))</f>
        <v>150</v>
      </c>
      <c r="F105" s="20">
        <f t="shared" ref="F105" si="245">VLOOKUP($B102,工资表,COLUMN(I101))</f>
        <v>0</v>
      </c>
      <c r="G105" s="20">
        <f t="shared" ref="G105" ca="1" si="246">VLOOKUP($B102,工资表,COLUMN(J101))</f>
        <v>37231.599999999999</v>
      </c>
      <c r="H105" s="20">
        <f t="shared" ref="H105" si="247">VLOOKUP($B102,工资表,COLUMN(K101))</f>
        <v>120</v>
      </c>
      <c r="I105" s="20">
        <f t="shared" ref="I105" ca="1" si="248">VLOOKUP($B102,工资表,COLUMN(L101))</f>
        <v>286</v>
      </c>
      <c r="J105" s="20">
        <f t="shared" ref="J105" ca="1" si="249">VLOOKUP($B102,工资表,COLUMN(M101))</f>
        <v>7427.9</v>
      </c>
      <c r="K105" s="20">
        <f t="shared" ref="K105" si="250">VLOOKUP($B102,工资表,COLUMN(N101))</f>
        <v>0</v>
      </c>
      <c r="L105" s="20">
        <f t="shared" ref="L105" ca="1" si="251">VLOOKUP($B102,工资表,COLUMN(O101))</f>
        <v>7833.9</v>
      </c>
    </row>
    <row r="106" spans="1:12" ht="16.5" thickBo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</row>
    <row r="107" spans="1:12" ht="16.5" thickTop="1">
      <c r="A107" s="70" t="s">
        <v>232</v>
      </c>
      <c r="B107" s="22" t="s">
        <v>43</v>
      </c>
      <c r="C107" s="17"/>
      <c r="D107" s="70" t="s">
        <v>113</v>
      </c>
      <c r="E107" s="16" t="str">
        <f>VLOOKUP(B107,工资表,2)</f>
        <v>张燕</v>
      </c>
      <c r="F107" s="17"/>
      <c r="G107" s="70" t="s">
        <v>165</v>
      </c>
      <c r="H107" s="16" t="str">
        <f>VLOOKUP(B107,工资表,3)</f>
        <v>销售部</v>
      </c>
      <c r="I107" s="17"/>
      <c r="J107" s="70" t="s">
        <v>159</v>
      </c>
      <c r="K107" s="18">
        <f ca="1">VLOOKUP(B107,工资表,16)</f>
        <v>23498</v>
      </c>
      <c r="L107" s="19"/>
    </row>
    <row r="108" spans="1:12" ht="14.25">
      <c r="A108" s="21" t="s">
        <v>164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</row>
    <row r="109" spans="1:12">
      <c r="A109" s="71" t="s">
        <v>75</v>
      </c>
      <c r="B109" s="71" t="s">
        <v>76</v>
      </c>
      <c r="C109" s="71" t="s">
        <v>156</v>
      </c>
      <c r="D109" s="71" t="s">
        <v>118</v>
      </c>
      <c r="E109" s="71" t="s">
        <v>150</v>
      </c>
      <c r="F109" s="71" t="s">
        <v>151</v>
      </c>
      <c r="G109" s="72" t="s">
        <v>157</v>
      </c>
      <c r="H109" s="71" t="s">
        <v>152</v>
      </c>
      <c r="I109" s="71" t="s">
        <v>153</v>
      </c>
      <c r="J109" s="71" t="s">
        <v>154</v>
      </c>
      <c r="K109" s="71" t="s">
        <v>155</v>
      </c>
      <c r="L109" s="72" t="s">
        <v>160</v>
      </c>
    </row>
    <row r="110" spans="1:12" ht="15.75">
      <c r="A110" s="20">
        <f t="shared" ref="A110" si="252">VLOOKUP($B107,工资表,COLUMN(D106))</f>
        <v>2300</v>
      </c>
      <c r="B110" s="20">
        <f t="shared" ref="B110" ca="1" si="253">VLOOKUP($B107,工资表,COLUMN(E106))</f>
        <v>300</v>
      </c>
      <c r="C110" s="20">
        <f t="shared" ref="C110" si="254">VLOOKUP($B107,工资表,COLUMN(F106))</f>
        <v>800</v>
      </c>
      <c r="D110" s="20">
        <f t="shared" ref="D110" si="255">VLOOKUP($B107,工资表,COLUMN(G106))</f>
        <v>26240</v>
      </c>
      <c r="E110" s="20">
        <f t="shared" ref="E110" ca="1" si="256">VLOOKUP($B107,工资表,COLUMN(H106))</f>
        <v>0</v>
      </c>
      <c r="F110" s="20">
        <f t="shared" ref="F110" si="257">VLOOKUP($B107,工资表,COLUMN(I106))</f>
        <v>0</v>
      </c>
      <c r="G110" s="20">
        <f t="shared" ref="G110" ca="1" si="258">VLOOKUP($B107,工资表,COLUMN(J106))</f>
        <v>29640</v>
      </c>
      <c r="H110" s="20">
        <f t="shared" ref="H110" si="259">VLOOKUP($B107,工资表,COLUMN(K106))</f>
        <v>40</v>
      </c>
      <c r="I110" s="20">
        <f t="shared" ref="I110" ca="1" si="260">VLOOKUP($B107,工资表,COLUMN(L106))</f>
        <v>572</v>
      </c>
      <c r="J110" s="20">
        <f t="shared" ref="J110" ca="1" si="261">VLOOKUP($B107,工资表,COLUMN(M106))</f>
        <v>5530</v>
      </c>
      <c r="K110" s="20">
        <f t="shared" ref="K110" si="262">VLOOKUP($B107,工资表,COLUMN(N106))</f>
        <v>0</v>
      </c>
      <c r="L110" s="20">
        <f t="shared" ref="L110" ca="1" si="263">VLOOKUP($B107,工资表,COLUMN(O106))</f>
        <v>6142</v>
      </c>
    </row>
    <row r="111" spans="1:12" ht="16.5" thickBo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</row>
    <row r="112" spans="1:12" ht="16.5" thickTop="1">
      <c r="A112" s="70" t="s">
        <v>232</v>
      </c>
      <c r="B112" s="22" t="s">
        <v>45</v>
      </c>
      <c r="C112" s="17"/>
      <c r="D112" s="70" t="s">
        <v>113</v>
      </c>
      <c r="E112" s="16" t="str">
        <f>VLOOKUP(B112,工资表,2)</f>
        <v>江雷</v>
      </c>
      <c r="F112" s="17"/>
      <c r="G112" s="70" t="s">
        <v>165</v>
      </c>
      <c r="H112" s="16" t="str">
        <f>VLOOKUP(B112,工资表,3)</f>
        <v>企划部</v>
      </c>
      <c r="I112" s="17"/>
      <c r="J112" s="70" t="s">
        <v>159</v>
      </c>
      <c r="K112" s="18">
        <f ca="1">VLOOKUP(B112,工资表,16)</f>
        <v>2940.9258</v>
      </c>
      <c r="L112" s="19"/>
    </row>
    <row r="113" spans="1:12" ht="14.25">
      <c r="A113" s="21" t="s">
        <v>164</v>
      </c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</row>
    <row r="114" spans="1:12">
      <c r="A114" s="71" t="s">
        <v>75</v>
      </c>
      <c r="B114" s="71" t="s">
        <v>76</v>
      </c>
      <c r="C114" s="71" t="s">
        <v>156</v>
      </c>
      <c r="D114" s="71" t="s">
        <v>118</v>
      </c>
      <c r="E114" s="71" t="s">
        <v>150</v>
      </c>
      <c r="F114" s="71" t="s">
        <v>151</v>
      </c>
      <c r="G114" s="72" t="s">
        <v>157</v>
      </c>
      <c r="H114" s="71" t="s">
        <v>152</v>
      </c>
      <c r="I114" s="71" t="s">
        <v>153</v>
      </c>
      <c r="J114" s="71" t="s">
        <v>154</v>
      </c>
      <c r="K114" s="71" t="s">
        <v>155</v>
      </c>
      <c r="L114" s="72" t="s">
        <v>160</v>
      </c>
    </row>
    <row r="115" spans="1:12" ht="15.75">
      <c r="A115" s="20">
        <f t="shared" ref="A115" si="264">VLOOKUP($B112,工资表,COLUMN(D111))</f>
        <v>1800</v>
      </c>
      <c r="B115" s="20">
        <f t="shared" ref="B115" ca="1" si="265">VLOOKUP($B112,工资表,COLUMN(E111))</f>
        <v>500</v>
      </c>
      <c r="C115" s="20">
        <f t="shared" ref="C115" si="266">VLOOKUP($B112,工资表,COLUMN(F111))</f>
        <v>550</v>
      </c>
      <c r="D115" s="20" t="str">
        <f t="shared" ref="D115" si="267">VLOOKUP($B112,工资表,COLUMN(G111))</f>
        <v/>
      </c>
      <c r="E115" s="20">
        <f t="shared" ref="E115" ca="1" si="268">VLOOKUP($B112,工资表,COLUMN(H111))</f>
        <v>657.14</v>
      </c>
      <c r="F115" s="20">
        <f t="shared" ref="F115" si="269">VLOOKUP($B112,工资表,COLUMN(I111))</f>
        <v>0</v>
      </c>
      <c r="G115" s="20">
        <f t="shared" ref="G115" ca="1" si="270">VLOOKUP($B112,工资表,COLUMN(J111))</f>
        <v>3507.14</v>
      </c>
      <c r="H115" s="20">
        <f t="shared" ref="H115" si="271">VLOOKUP($B112,工资表,COLUMN(K111))</f>
        <v>60</v>
      </c>
      <c r="I115" s="20">
        <f t="shared" ref="I115" ca="1" si="272">VLOOKUP($B112,工资表,COLUMN(L111))</f>
        <v>506</v>
      </c>
      <c r="J115" s="20">
        <f t="shared" ref="J115" ca="1" si="273">VLOOKUP($B112,工资表,COLUMN(M111))</f>
        <v>0.21419999999999617</v>
      </c>
      <c r="K115" s="20" t="str">
        <f t="shared" ref="K115" si="274">VLOOKUP($B112,工资表,COLUMN(N111))</f>
        <v/>
      </c>
      <c r="L115" s="20">
        <f t="shared" ref="L115" ca="1" si="275">VLOOKUP($B112,工资表,COLUMN(O111))</f>
        <v>566.21420000000001</v>
      </c>
    </row>
    <row r="116" spans="1:12" ht="16.5" thickBo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</row>
    <row r="117" spans="1:12" ht="16.5" thickTop="1">
      <c r="A117" s="70" t="s">
        <v>232</v>
      </c>
      <c r="B117" s="22" t="s">
        <v>47</v>
      </c>
      <c r="C117" s="17"/>
      <c r="D117" s="70" t="s">
        <v>113</v>
      </c>
      <c r="E117" s="16" t="str">
        <f>VLOOKUP(B117,工资表,2)</f>
        <v>彭华</v>
      </c>
      <c r="F117" s="17"/>
      <c r="G117" s="70" t="s">
        <v>165</v>
      </c>
      <c r="H117" s="16" t="str">
        <f>VLOOKUP(B117,工资表,3)</f>
        <v>财务部</v>
      </c>
      <c r="I117" s="17"/>
      <c r="J117" s="70" t="s">
        <v>159</v>
      </c>
      <c r="K117" s="18">
        <f ca="1">VLOOKUP(B117,工资表,16)</f>
        <v>2190</v>
      </c>
      <c r="L117" s="19"/>
    </row>
    <row r="118" spans="1:12" ht="14.25">
      <c r="A118" s="21" t="s">
        <v>164</v>
      </c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</row>
    <row r="119" spans="1:12">
      <c r="A119" s="71" t="s">
        <v>75</v>
      </c>
      <c r="B119" s="71" t="s">
        <v>76</v>
      </c>
      <c r="C119" s="71" t="s">
        <v>156</v>
      </c>
      <c r="D119" s="71" t="s">
        <v>118</v>
      </c>
      <c r="E119" s="71" t="s">
        <v>150</v>
      </c>
      <c r="F119" s="71" t="s">
        <v>151</v>
      </c>
      <c r="G119" s="72" t="s">
        <v>157</v>
      </c>
      <c r="H119" s="71" t="s">
        <v>152</v>
      </c>
      <c r="I119" s="71" t="s">
        <v>153</v>
      </c>
      <c r="J119" s="71" t="s">
        <v>154</v>
      </c>
      <c r="K119" s="71" t="s">
        <v>155</v>
      </c>
      <c r="L119" s="72" t="s">
        <v>160</v>
      </c>
    </row>
    <row r="120" spans="1:12" ht="15.75">
      <c r="A120" s="20">
        <f t="shared" ref="A120" si="276">VLOOKUP($B117,工资表,COLUMN(D116))</f>
        <v>1500</v>
      </c>
      <c r="B120" s="20">
        <f t="shared" ref="B120" ca="1" si="277">VLOOKUP($B117,工资表,COLUMN(E116))</f>
        <v>500</v>
      </c>
      <c r="C120" s="20">
        <f t="shared" ref="C120" si="278">VLOOKUP($B117,工资表,COLUMN(F116))</f>
        <v>500</v>
      </c>
      <c r="D120" s="20" t="str">
        <f t="shared" ref="D120" si="279">VLOOKUP($B117,工资表,COLUMN(G116))</f>
        <v/>
      </c>
      <c r="E120" s="20">
        <f t="shared" ref="E120" ca="1" si="280">VLOOKUP($B117,工资表,COLUMN(H116))</f>
        <v>150</v>
      </c>
      <c r="F120" s="20">
        <f t="shared" ref="F120" si="281">VLOOKUP($B117,工资表,COLUMN(I116))</f>
        <v>0</v>
      </c>
      <c r="G120" s="20">
        <f t="shared" ref="G120" ca="1" si="282">VLOOKUP($B117,工资表,COLUMN(J116))</f>
        <v>2650</v>
      </c>
      <c r="H120" s="20">
        <f t="shared" ref="H120" si="283">VLOOKUP($B117,工资表,COLUMN(K116))</f>
        <v>20</v>
      </c>
      <c r="I120" s="20">
        <f t="shared" ref="I120" ca="1" si="284">VLOOKUP($B117,工资表,COLUMN(L116))</f>
        <v>440</v>
      </c>
      <c r="J120" s="20">
        <f t="shared" ref="J120" ca="1" si="285">VLOOKUP($B117,工资表,COLUMN(M116))</f>
        <v>0</v>
      </c>
      <c r="K120" s="20" t="str">
        <f t="shared" ref="K120" si="286">VLOOKUP($B117,工资表,COLUMN(N116))</f>
        <v/>
      </c>
      <c r="L120" s="20">
        <f t="shared" ref="L120" ca="1" si="287">VLOOKUP($B117,工资表,COLUMN(O116))</f>
        <v>460</v>
      </c>
    </row>
    <row r="121" spans="1:12" ht="16.5" thickBo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</row>
    <row r="122" spans="1:12" ht="16.5" thickTop="1">
      <c r="A122" s="70" t="s">
        <v>232</v>
      </c>
      <c r="B122" s="22" t="s">
        <v>49</v>
      </c>
      <c r="C122" s="17"/>
      <c r="D122" s="70" t="s">
        <v>113</v>
      </c>
      <c r="E122" s="16" t="str">
        <f>VLOOKUP(B122,工资表,2)</f>
        <v>赵青</v>
      </c>
      <c r="F122" s="17"/>
      <c r="G122" s="70" t="s">
        <v>165</v>
      </c>
      <c r="H122" s="16" t="str">
        <f>VLOOKUP(B122,工资表,3)</f>
        <v>网络安全部</v>
      </c>
      <c r="I122" s="17"/>
      <c r="J122" s="70" t="s">
        <v>159</v>
      </c>
      <c r="K122" s="18">
        <f ca="1">VLOOKUP(B122,工资表,16)</f>
        <v>5052.9260000000004</v>
      </c>
      <c r="L122" s="19"/>
    </row>
    <row r="123" spans="1:12" ht="14.25">
      <c r="A123" s="21" t="s">
        <v>164</v>
      </c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</row>
    <row r="124" spans="1:12">
      <c r="A124" s="71" t="s">
        <v>75</v>
      </c>
      <c r="B124" s="71" t="s">
        <v>76</v>
      </c>
      <c r="C124" s="71" t="s">
        <v>156</v>
      </c>
      <c r="D124" s="71" t="s">
        <v>118</v>
      </c>
      <c r="E124" s="71" t="s">
        <v>150</v>
      </c>
      <c r="F124" s="71" t="s">
        <v>151</v>
      </c>
      <c r="G124" s="72" t="s">
        <v>157</v>
      </c>
      <c r="H124" s="71" t="s">
        <v>152</v>
      </c>
      <c r="I124" s="71" t="s">
        <v>153</v>
      </c>
      <c r="J124" s="71" t="s">
        <v>154</v>
      </c>
      <c r="K124" s="71" t="s">
        <v>155</v>
      </c>
      <c r="L124" s="72" t="s">
        <v>160</v>
      </c>
    </row>
    <row r="125" spans="1:12" ht="15.75">
      <c r="A125" s="20">
        <f t="shared" ref="A125" si="288">VLOOKUP($B122,工资表,COLUMN(D121))</f>
        <v>2500</v>
      </c>
      <c r="B125" s="20">
        <f t="shared" ref="B125" ca="1" si="289">VLOOKUP($B122,工资表,COLUMN(E121))</f>
        <v>800</v>
      </c>
      <c r="C125" s="20">
        <f t="shared" ref="C125" si="290">VLOOKUP($B122,工资表,COLUMN(F121))</f>
        <v>650</v>
      </c>
      <c r="D125" s="20">
        <f t="shared" ref="D125" si="291">VLOOKUP($B122,工资表,COLUMN(G121))</f>
        <v>500</v>
      </c>
      <c r="E125" s="20">
        <f t="shared" ref="E125" ca="1" si="292">VLOOKUP($B122,工资表,COLUMN(H121))</f>
        <v>1532.14</v>
      </c>
      <c r="F125" s="20">
        <f t="shared" ref="F125" si="293">VLOOKUP($B122,工资表,COLUMN(I121))</f>
        <v>0</v>
      </c>
      <c r="G125" s="20">
        <f t="shared" ref="G125" ca="1" si="294">VLOOKUP($B122,工资表,COLUMN(J121))</f>
        <v>5982.14</v>
      </c>
      <c r="H125" s="20">
        <f t="shared" ref="H125" si="295">VLOOKUP($B122,工资表,COLUMN(K121))</f>
        <v>60</v>
      </c>
      <c r="I125" s="20">
        <f t="shared" ref="I125" ca="1" si="296">VLOOKUP($B122,工资表,COLUMN(L121))</f>
        <v>726</v>
      </c>
      <c r="J125" s="20">
        <f t="shared" ref="J125" ca="1" si="297">VLOOKUP($B122,工资表,COLUMN(M121))</f>
        <v>143.21400000000006</v>
      </c>
      <c r="K125" s="20">
        <f t="shared" ref="K125" si="298">VLOOKUP($B122,工资表,COLUMN(N121))</f>
        <v>0</v>
      </c>
      <c r="L125" s="20">
        <f t="shared" ref="L125" ca="1" si="299">VLOOKUP($B122,工资表,COLUMN(O121))</f>
        <v>929.21400000000006</v>
      </c>
    </row>
    <row r="126" spans="1:12" ht="16.5" thickBo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</row>
    <row r="127" spans="1:12" ht="16.5" thickTop="1">
      <c r="A127" s="70" t="s">
        <v>232</v>
      </c>
      <c r="B127" s="22" t="s">
        <v>51</v>
      </c>
      <c r="C127" s="17"/>
      <c r="D127" s="70" t="s">
        <v>113</v>
      </c>
      <c r="E127" s="16" t="str">
        <f>VLOOKUP(B127,工资表,2)</f>
        <v>汪丽萍</v>
      </c>
      <c r="F127" s="17"/>
      <c r="G127" s="70" t="s">
        <v>165</v>
      </c>
      <c r="H127" s="16" t="str">
        <f>VLOOKUP(B127,工资表,3)</f>
        <v>销售部</v>
      </c>
      <c r="I127" s="17"/>
      <c r="J127" s="70" t="s">
        <v>159</v>
      </c>
      <c r="K127" s="18">
        <f ca="1">VLOOKUP(B127,工资表,16)</f>
        <v>15077.600000000002</v>
      </c>
      <c r="L127" s="19"/>
    </row>
    <row r="128" spans="1:12" ht="14.25">
      <c r="A128" s="21" t="s">
        <v>164</v>
      </c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</row>
    <row r="129" spans="1:12">
      <c r="A129" s="71" t="s">
        <v>75</v>
      </c>
      <c r="B129" s="71" t="s">
        <v>76</v>
      </c>
      <c r="C129" s="71" t="s">
        <v>156</v>
      </c>
      <c r="D129" s="71" t="s">
        <v>118</v>
      </c>
      <c r="E129" s="71" t="s">
        <v>150</v>
      </c>
      <c r="F129" s="71" t="s">
        <v>151</v>
      </c>
      <c r="G129" s="72" t="s">
        <v>157</v>
      </c>
      <c r="H129" s="71" t="s">
        <v>152</v>
      </c>
      <c r="I129" s="71" t="s">
        <v>153</v>
      </c>
      <c r="J129" s="71" t="s">
        <v>154</v>
      </c>
      <c r="K129" s="71" t="s">
        <v>155</v>
      </c>
      <c r="L129" s="72" t="s">
        <v>160</v>
      </c>
    </row>
    <row r="130" spans="1:12" ht="15.75">
      <c r="A130" s="20">
        <f t="shared" ref="A130" si="300">VLOOKUP($B127,工资表,COLUMN(D126))</f>
        <v>800</v>
      </c>
      <c r="B130" s="20">
        <f t="shared" ref="B130" ca="1" si="301">VLOOKUP($B127,工资表,COLUMN(E126))</f>
        <v>0</v>
      </c>
      <c r="C130" s="20">
        <f t="shared" ref="C130" si="302">VLOOKUP($B127,工资表,COLUMN(F126))</f>
        <v>800</v>
      </c>
      <c r="D130" s="20">
        <f t="shared" ref="D130" si="303">VLOOKUP($B127,工资表,COLUMN(G126))</f>
        <v>16364.800000000001</v>
      </c>
      <c r="E130" s="20">
        <f t="shared" ref="E130" ca="1" si="304">VLOOKUP($B127,工资表,COLUMN(H126))</f>
        <v>0</v>
      </c>
      <c r="F130" s="20">
        <f t="shared" ref="F130" si="305">VLOOKUP($B127,工资表,COLUMN(I126))</f>
        <v>0</v>
      </c>
      <c r="G130" s="20">
        <f t="shared" ref="G130" ca="1" si="306">VLOOKUP($B127,工资表,COLUMN(J126))</f>
        <v>17964.800000000003</v>
      </c>
      <c r="H130" s="20">
        <f t="shared" ref="H130" si="307">VLOOKUP($B127,工资表,COLUMN(K126))</f>
        <v>100</v>
      </c>
      <c r="I130" s="20">
        <f t="shared" ref="I130" ca="1" si="308">VLOOKUP($B127,工资表,COLUMN(L126))</f>
        <v>176</v>
      </c>
      <c r="J130" s="20">
        <f t="shared" ref="J130" ca="1" si="309">VLOOKUP($B127,工资表,COLUMN(M126))</f>
        <v>2611.2000000000007</v>
      </c>
      <c r="K130" s="20">
        <f t="shared" ref="K130" si="310">VLOOKUP($B127,工资表,COLUMN(N126))</f>
        <v>0</v>
      </c>
      <c r="L130" s="20">
        <f t="shared" ref="L130" ca="1" si="311">VLOOKUP($B127,工资表,COLUMN(O126))</f>
        <v>2887.2000000000007</v>
      </c>
    </row>
    <row r="131" spans="1:12" ht="16.5" thickBo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</row>
    <row r="132" spans="1:12" ht="16.5" thickTop="1">
      <c r="A132" s="70" t="s">
        <v>232</v>
      </c>
      <c r="B132" s="22" t="s">
        <v>53</v>
      </c>
      <c r="C132" s="17"/>
      <c r="D132" s="70" t="s">
        <v>113</v>
      </c>
      <c r="E132" s="16" t="str">
        <f>VLOOKUP(B132,工资表,2)</f>
        <v>周江</v>
      </c>
      <c r="F132" s="17"/>
      <c r="G132" s="70" t="s">
        <v>165</v>
      </c>
      <c r="H132" s="16" t="str">
        <f>VLOOKUP(B132,工资表,3)</f>
        <v>网络安全部</v>
      </c>
      <c r="I132" s="17"/>
      <c r="J132" s="70" t="s">
        <v>159</v>
      </c>
      <c r="K132" s="18">
        <f>VLOOKUP(B132,工资表,16)</f>
        <v>0</v>
      </c>
      <c r="L132" s="19"/>
    </row>
    <row r="133" spans="1:12" ht="14.25">
      <c r="A133" s="21" t="s">
        <v>164</v>
      </c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</row>
    <row r="134" spans="1:12">
      <c r="A134" s="71" t="s">
        <v>75</v>
      </c>
      <c r="B134" s="71" t="s">
        <v>76</v>
      </c>
      <c r="C134" s="71" t="s">
        <v>156</v>
      </c>
      <c r="D134" s="71" t="s">
        <v>118</v>
      </c>
      <c r="E134" s="71" t="s">
        <v>150</v>
      </c>
      <c r="F134" s="71" t="s">
        <v>151</v>
      </c>
      <c r="G134" s="72" t="s">
        <v>157</v>
      </c>
      <c r="H134" s="71" t="s">
        <v>152</v>
      </c>
      <c r="I134" s="71" t="s">
        <v>153</v>
      </c>
      <c r="J134" s="71" t="s">
        <v>154</v>
      </c>
      <c r="K134" s="71" t="s">
        <v>155</v>
      </c>
      <c r="L134" s="72" t="s">
        <v>160</v>
      </c>
    </row>
    <row r="135" spans="1:12" ht="15.75">
      <c r="A135" s="20">
        <f t="shared" ref="A135" si="312">VLOOKUP($B132,工资表,COLUMN(D131))</f>
        <v>2000</v>
      </c>
      <c r="B135" s="20">
        <f t="shared" ref="B135" ca="1" si="313">VLOOKUP($B132,工资表,COLUMN(E131))</f>
        <v>700</v>
      </c>
      <c r="C135" s="20">
        <f t="shared" ref="C135" si="314">VLOOKUP($B132,工资表,COLUMN(F131))</f>
        <v>650</v>
      </c>
      <c r="D135" s="20" t="str">
        <f t="shared" ref="D135" si="315">VLOOKUP($B132,工资表,COLUMN(G131))</f>
        <v/>
      </c>
      <c r="E135" s="20">
        <f t="shared" ref="E135" ca="1" si="316">VLOOKUP($B132,工资表,COLUMN(H131))</f>
        <v>789.29</v>
      </c>
      <c r="F135" s="20">
        <f t="shared" ref="F135" si="317">VLOOKUP($B132,工资表,COLUMN(I131))</f>
        <v>0</v>
      </c>
      <c r="G135" s="20">
        <f t="shared" ref="G135" ca="1" si="318">VLOOKUP($B132,工资表,COLUMN(J131))</f>
        <v>4139.29</v>
      </c>
      <c r="H135" s="20">
        <f t="shared" ref="H135" si="319">VLOOKUP($B132,工资表,COLUMN(K131))</f>
        <v>0</v>
      </c>
      <c r="I135" s="20">
        <f t="shared" ref="I135" si="320">VLOOKUP($B132,工资表,COLUMN(L131))</f>
        <v>0</v>
      </c>
      <c r="J135" s="20">
        <f t="shared" ref="J135" si="321">VLOOKUP($B132,工资表,COLUMN(M131))</f>
        <v>0</v>
      </c>
      <c r="K135" s="20">
        <f t="shared" ref="K135" si="322">VLOOKUP($B132,工资表,COLUMN(N131))</f>
        <v>0</v>
      </c>
      <c r="L135" s="20">
        <f t="shared" ref="L135" si="323">VLOOKUP($B132,工资表,COLUMN(O131))</f>
        <v>0</v>
      </c>
    </row>
    <row r="136" spans="1:12" ht="16.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</row>
    <row r="137" spans="1:12" ht="16.5" thickTop="1">
      <c r="A137" s="70" t="s">
        <v>232</v>
      </c>
      <c r="B137" s="22" t="s">
        <v>55</v>
      </c>
      <c r="C137" s="17"/>
      <c r="D137" s="70" t="s">
        <v>113</v>
      </c>
      <c r="E137" s="16" t="str">
        <f>VLOOKUP(B137,工资表,2)</f>
        <v>韩学平</v>
      </c>
      <c r="F137" s="17"/>
      <c r="G137" s="70" t="s">
        <v>165</v>
      </c>
      <c r="H137" s="16" t="str">
        <f>VLOOKUP(B137,工资表,3)</f>
        <v>行政部</v>
      </c>
      <c r="I137" s="17"/>
      <c r="J137" s="70" t="s">
        <v>159</v>
      </c>
      <c r="K137" s="18">
        <f>VLOOKUP(B137,工资表,16)</f>
        <v>0</v>
      </c>
      <c r="L137" s="19"/>
    </row>
    <row r="138" spans="1:12" ht="14.25">
      <c r="A138" s="21" t="s">
        <v>164</v>
      </c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</row>
    <row r="139" spans="1:12">
      <c r="A139" s="71" t="s">
        <v>75</v>
      </c>
      <c r="B139" s="71" t="s">
        <v>76</v>
      </c>
      <c r="C139" s="71" t="s">
        <v>156</v>
      </c>
      <c r="D139" s="71" t="s">
        <v>118</v>
      </c>
      <c r="E139" s="71" t="s">
        <v>150</v>
      </c>
      <c r="F139" s="71" t="s">
        <v>151</v>
      </c>
      <c r="G139" s="72" t="s">
        <v>157</v>
      </c>
      <c r="H139" s="71" t="s">
        <v>152</v>
      </c>
      <c r="I139" s="71" t="s">
        <v>153</v>
      </c>
      <c r="J139" s="71" t="s">
        <v>154</v>
      </c>
      <c r="K139" s="71" t="s">
        <v>155</v>
      </c>
      <c r="L139" s="72" t="s">
        <v>160</v>
      </c>
    </row>
    <row r="140" spans="1:12" ht="15.75">
      <c r="A140" s="20">
        <f t="shared" ref="A140" si="324">VLOOKUP($B137,工资表,COLUMN(D136))</f>
        <v>1500</v>
      </c>
      <c r="B140" s="20">
        <f t="shared" ref="B140" ca="1" si="325">VLOOKUP($B137,工资表,COLUMN(E136))</f>
        <v>300</v>
      </c>
      <c r="C140" s="20">
        <f t="shared" ref="C140" si="326">VLOOKUP($B137,工资表,COLUMN(F136))</f>
        <v>400</v>
      </c>
      <c r="D140" s="20">
        <f t="shared" ref="D140" si="327">VLOOKUP($B137,工资表,COLUMN(G136))</f>
        <v>0</v>
      </c>
      <c r="E140" s="20">
        <f t="shared" ref="E140" ca="1" si="328">VLOOKUP($B137,工资表,COLUMN(H136))</f>
        <v>0</v>
      </c>
      <c r="F140" s="20">
        <f t="shared" ref="F140" si="329">VLOOKUP($B137,工资表,COLUMN(I136))</f>
        <v>0</v>
      </c>
      <c r="G140" s="20">
        <f t="shared" ref="G140" ca="1" si="330">VLOOKUP($B137,工资表,COLUMN(J136))</f>
        <v>2200</v>
      </c>
      <c r="H140" s="20">
        <f t="shared" ref="H140" si="331">VLOOKUP($B137,工资表,COLUMN(K136))</f>
        <v>0</v>
      </c>
      <c r="I140" s="20">
        <f t="shared" ref="I140" si="332">VLOOKUP($B137,工资表,COLUMN(L136))</f>
        <v>0</v>
      </c>
      <c r="J140" s="20">
        <f t="shared" ref="J140" si="333">VLOOKUP($B137,工资表,COLUMN(M136))</f>
        <v>0</v>
      </c>
      <c r="K140" s="20">
        <f t="shared" ref="K140" si="334">VLOOKUP($B137,工资表,COLUMN(N136))</f>
        <v>0</v>
      </c>
      <c r="L140" s="20">
        <f t="shared" ref="L140" si="335">VLOOKUP($B137,工资表,COLUMN(O136))</f>
        <v>0</v>
      </c>
    </row>
    <row r="141" spans="1:12" ht="16.5" thickBo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</row>
    <row r="142" spans="1:12" ht="16.5" thickTop="1">
      <c r="A142" s="70" t="s">
        <v>232</v>
      </c>
      <c r="B142" s="22" t="s">
        <v>57</v>
      </c>
      <c r="C142" s="17"/>
      <c r="D142" s="70" t="s">
        <v>113</v>
      </c>
      <c r="E142" s="16" t="str">
        <f>VLOOKUP(B142,工资表,2)</f>
        <v>吴子</v>
      </c>
      <c r="F142" s="17"/>
      <c r="G142" s="70" t="s">
        <v>165</v>
      </c>
      <c r="H142" s="16" t="str">
        <f>VLOOKUP(B142,工资表,3)</f>
        <v>销售部</v>
      </c>
      <c r="I142" s="17"/>
      <c r="J142" s="70" t="s">
        <v>159</v>
      </c>
      <c r="K142" s="18">
        <f>VLOOKUP(B142,工资表,16)</f>
        <v>0</v>
      </c>
      <c r="L142" s="19"/>
    </row>
    <row r="143" spans="1:12" ht="14.25">
      <c r="A143" s="21" t="s">
        <v>164</v>
      </c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</row>
    <row r="144" spans="1:12">
      <c r="A144" s="71" t="s">
        <v>75</v>
      </c>
      <c r="B144" s="71" t="s">
        <v>76</v>
      </c>
      <c r="C144" s="71" t="s">
        <v>156</v>
      </c>
      <c r="D144" s="71" t="s">
        <v>118</v>
      </c>
      <c r="E144" s="71" t="s">
        <v>150</v>
      </c>
      <c r="F144" s="71" t="s">
        <v>151</v>
      </c>
      <c r="G144" s="72" t="s">
        <v>157</v>
      </c>
      <c r="H144" s="71" t="s">
        <v>152</v>
      </c>
      <c r="I144" s="71" t="s">
        <v>153</v>
      </c>
      <c r="J144" s="71" t="s">
        <v>154</v>
      </c>
      <c r="K144" s="71" t="s">
        <v>155</v>
      </c>
      <c r="L144" s="72" t="s">
        <v>160</v>
      </c>
    </row>
    <row r="145" spans="1:12" ht="15.75">
      <c r="A145" s="20">
        <f t="shared" ref="A145" si="336">VLOOKUP($B142,工资表,COLUMN(D141))</f>
        <v>800</v>
      </c>
      <c r="B145" s="20">
        <f t="shared" ref="B145" ca="1" si="337">VLOOKUP($B142,工资表,COLUMN(E141))</f>
        <v>0</v>
      </c>
      <c r="C145" s="20">
        <f t="shared" ref="C145" si="338">VLOOKUP($B142,工资表,COLUMN(F141))</f>
        <v>800</v>
      </c>
      <c r="D145" s="20">
        <f t="shared" ref="D145" si="339">VLOOKUP($B142,工资表,COLUMN(G141))</f>
        <v>360</v>
      </c>
      <c r="E145" s="20">
        <f t="shared" ref="E145" ca="1" si="340">VLOOKUP($B142,工资表,COLUMN(H141))</f>
        <v>0</v>
      </c>
      <c r="F145" s="20">
        <f t="shared" ref="F145" si="341">VLOOKUP($B142,工资表,COLUMN(I141))</f>
        <v>500</v>
      </c>
      <c r="G145" s="20">
        <f t="shared" ref="G145" ca="1" si="342">VLOOKUP($B142,工资表,COLUMN(J141))</f>
        <v>2460</v>
      </c>
      <c r="H145" s="20">
        <f t="shared" ref="H145" si="343">VLOOKUP($B142,工资表,COLUMN(K141))</f>
        <v>0</v>
      </c>
      <c r="I145" s="20">
        <f t="shared" ref="I145" si="344">VLOOKUP($B142,工资表,COLUMN(L141))</f>
        <v>0</v>
      </c>
      <c r="J145" s="20">
        <f t="shared" ref="J145" si="345">VLOOKUP($B142,工资表,COLUMN(M141))</f>
        <v>0</v>
      </c>
      <c r="K145" s="20">
        <f t="shared" ref="K145" si="346">VLOOKUP($B142,工资表,COLUMN(N141))</f>
        <v>0</v>
      </c>
      <c r="L145" s="20">
        <f t="shared" ref="L145" si="347">VLOOKUP($B142,工资表,COLUMN(O141))</f>
        <v>0</v>
      </c>
    </row>
    <row r="146" spans="1:12" ht="16.5" thickBo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</row>
    <row r="147" spans="1:12" ht="16.5" thickTop="1">
      <c r="A147" s="70" t="s">
        <v>232</v>
      </c>
      <c r="B147" s="22" t="s">
        <v>59</v>
      </c>
      <c r="C147" s="17"/>
      <c r="D147" s="70" t="s">
        <v>113</v>
      </c>
      <c r="E147" s="16" t="str">
        <f>VLOOKUP(B147,工资表,2)</f>
        <v>汪明明</v>
      </c>
      <c r="F147" s="17"/>
      <c r="G147" s="70" t="s">
        <v>165</v>
      </c>
      <c r="H147" s="16" t="str">
        <f>VLOOKUP(B147,工资表,3)</f>
        <v>行政部</v>
      </c>
      <c r="I147" s="17"/>
      <c r="J147" s="70" t="s">
        <v>159</v>
      </c>
      <c r="K147" s="18">
        <f ca="1">VLOOKUP(B147,工资表,16)</f>
        <v>2326.2800000000002</v>
      </c>
      <c r="L147" s="19"/>
    </row>
    <row r="148" spans="1:12" ht="14.25">
      <c r="A148" s="21" t="s">
        <v>164</v>
      </c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</row>
    <row r="149" spans="1:12">
      <c r="A149" s="71" t="s">
        <v>75</v>
      </c>
      <c r="B149" s="71" t="s">
        <v>76</v>
      </c>
      <c r="C149" s="71" t="s">
        <v>156</v>
      </c>
      <c r="D149" s="71" t="s">
        <v>118</v>
      </c>
      <c r="E149" s="71" t="s">
        <v>150</v>
      </c>
      <c r="F149" s="71" t="s">
        <v>151</v>
      </c>
      <c r="G149" s="72" t="s">
        <v>157</v>
      </c>
      <c r="H149" s="71" t="s">
        <v>152</v>
      </c>
      <c r="I149" s="71" t="s">
        <v>153</v>
      </c>
      <c r="J149" s="71" t="s">
        <v>154</v>
      </c>
      <c r="K149" s="71" t="s">
        <v>155</v>
      </c>
      <c r="L149" s="72" t="s">
        <v>160</v>
      </c>
    </row>
    <row r="150" spans="1:12" ht="15.75">
      <c r="A150" s="20">
        <f t="shared" ref="A150" si="348">VLOOKUP($B147,工资表,COLUMN(D146))</f>
        <v>2200</v>
      </c>
      <c r="B150" s="20">
        <f t="shared" ref="B150" ca="1" si="349">VLOOKUP($B147,工资表,COLUMN(E146))</f>
        <v>200</v>
      </c>
      <c r="C150" s="20">
        <f t="shared" ref="C150" si="350">VLOOKUP($B147,工资表,COLUMN(F146))</f>
        <v>500</v>
      </c>
      <c r="D150" s="20" t="str">
        <f t="shared" ref="D150" si="351">VLOOKUP($B147,工资表,COLUMN(G146))</f>
        <v/>
      </c>
      <c r="E150" s="20">
        <f t="shared" ref="E150" ca="1" si="352">VLOOKUP($B147,工资表,COLUMN(H146))</f>
        <v>228.57</v>
      </c>
      <c r="F150" s="20">
        <f t="shared" ref="F150" si="353">VLOOKUP($B147,工资表,COLUMN(I146))</f>
        <v>0</v>
      </c>
      <c r="G150" s="20">
        <f t="shared" ref="G150" ca="1" si="354">VLOOKUP($B147,工资表,COLUMN(J146))</f>
        <v>3128.57</v>
      </c>
      <c r="H150" s="20">
        <f t="shared" ref="H150" si="355">VLOOKUP($B147,工资表,COLUMN(K146))</f>
        <v>80</v>
      </c>
      <c r="I150" s="20">
        <f t="shared" ref="I150" ca="1" si="356">VLOOKUP($B147,工资表,COLUMN(L146))</f>
        <v>528</v>
      </c>
      <c r="J150" s="20">
        <f t="shared" ref="J150" ca="1" si="357">VLOOKUP($B147,工资表,COLUMN(M146))</f>
        <v>194.29</v>
      </c>
      <c r="K150" s="20" t="str">
        <f t="shared" ref="K150" si="358">VLOOKUP($B147,工资表,COLUMN(N146))</f>
        <v/>
      </c>
      <c r="L150" s="20">
        <f t="shared" ref="L150" ca="1" si="359">VLOOKUP($B147,工资表,COLUMN(O146))</f>
        <v>802.29</v>
      </c>
    </row>
    <row r="151" spans="1:12" ht="16.5" thickBo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</row>
    <row r="152" spans="1:12" ht="16.5" thickTop="1">
      <c r="A152" s="70" t="s">
        <v>232</v>
      </c>
      <c r="B152" s="22" t="s">
        <v>233</v>
      </c>
      <c r="C152" s="17"/>
      <c r="D152" s="70" t="s">
        <v>113</v>
      </c>
      <c r="E152" s="16" t="str">
        <f>VLOOKUP(B152,工资表,2)</f>
        <v>汪明明</v>
      </c>
      <c r="F152" s="17"/>
      <c r="G152" s="70" t="s">
        <v>165</v>
      </c>
      <c r="H152" s="16" t="str">
        <f>VLOOKUP(B152,工资表,3)</f>
        <v>行政部</v>
      </c>
      <c r="I152" s="17"/>
      <c r="J152" s="70" t="s">
        <v>159</v>
      </c>
      <c r="K152" s="18">
        <f ca="1">VLOOKUP(B152,工资表,16)</f>
        <v>2326.2800000000002</v>
      </c>
      <c r="L152" s="19"/>
    </row>
    <row r="153" spans="1:12" ht="14.25">
      <c r="A153" s="21" t="s">
        <v>164</v>
      </c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</row>
    <row r="154" spans="1:12">
      <c r="A154" s="71" t="s">
        <v>75</v>
      </c>
      <c r="B154" s="71" t="s">
        <v>76</v>
      </c>
      <c r="C154" s="71" t="s">
        <v>156</v>
      </c>
      <c r="D154" s="71" t="s">
        <v>118</v>
      </c>
      <c r="E154" s="71" t="s">
        <v>150</v>
      </c>
      <c r="F154" s="71" t="s">
        <v>151</v>
      </c>
      <c r="G154" s="72" t="s">
        <v>157</v>
      </c>
      <c r="H154" s="71" t="s">
        <v>152</v>
      </c>
      <c r="I154" s="71" t="s">
        <v>153</v>
      </c>
      <c r="J154" s="71" t="s">
        <v>154</v>
      </c>
      <c r="K154" s="71" t="s">
        <v>155</v>
      </c>
      <c r="L154" s="72" t="s">
        <v>160</v>
      </c>
    </row>
    <row r="155" spans="1:12" ht="15.75">
      <c r="A155" s="20">
        <f t="shared" ref="A155" si="360">VLOOKUP($B152,工资表,COLUMN(D151))</f>
        <v>2200</v>
      </c>
      <c r="B155" s="20">
        <f t="shared" ref="B155" ca="1" si="361">VLOOKUP($B152,工资表,COLUMN(E151))</f>
        <v>200</v>
      </c>
      <c r="C155" s="20">
        <f t="shared" ref="C155" si="362">VLOOKUP($B152,工资表,COLUMN(F151))</f>
        <v>500</v>
      </c>
      <c r="D155" s="20" t="str">
        <f t="shared" ref="D155" si="363">VLOOKUP($B152,工资表,COLUMN(G151))</f>
        <v/>
      </c>
      <c r="E155" s="20">
        <f t="shared" ref="E155" ca="1" si="364">VLOOKUP($B152,工资表,COLUMN(H151))</f>
        <v>228.57</v>
      </c>
      <c r="F155" s="20">
        <f t="shared" ref="F155" si="365">VLOOKUP($B152,工资表,COLUMN(I151))</f>
        <v>0</v>
      </c>
      <c r="G155" s="20">
        <f t="shared" ref="G155" ca="1" si="366">VLOOKUP($B152,工资表,COLUMN(J151))</f>
        <v>3128.57</v>
      </c>
      <c r="H155" s="20">
        <f t="shared" ref="H155" si="367">VLOOKUP($B152,工资表,COLUMN(K151))</f>
        <v>80</v>
      </c>
      <c r="I155" s="20">
        <f t="shared" ref="I155" ca="1" si="368">VLOOKUP($B152,工资表,COLUMN(L151))</f>
        <v>528</v>
      </c>
      <c r="J155" s="20">
        <f t="shared" ref="J155" ca="1" si="369">VLOOKUP($B152,工资表,COLUMN(M151))</f>
        <v>194.29</v>
      </c>
      <c r="K155" s="20" t="str">
        <f t="shared" ref="K155" si="370">VLOOKUP($B152,工资表,COLUMN(N151))</f>
        <v/>
      </c>
      <c r="L155" s="20">
        <f t="shared" ref="L155" ca="1" si="371">VLOOKUP($B152,工资表,COLUMN(O151))</f>
        <v>802.29</v>
      </c>
    </row>
    <row r="156" spans="1:12" ht="16.5" thickBo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</row>
    <row r="157" spans="1:12" ht="16.5" thickTop="1">
      <c r="A157" s="70" t="s">
        <v>232</v>
      </c>
      <c r="B157" s="22" t="s">
        <v>234</v>
      </c>
      <c r="C157" s="17"/>
      <c r="D157" s="70" t="s">
        <v>113</v>
      </c>
      <c r="E157" s="16" t="str">
        <f>VLOOKUP(B157,工资表,2)</f>
        <v>汪明明</v>
      </c>
      <c r="F157" s="17"/>
      <c r="G157" s="70" t="s">
        <v>165</v>
      </c>
      <c r="H157" s="16" t="str">
        <f>VLOOKUP(B157,工资表,3)</f>
        <v>行政部</v>
      </c>
      <c r="I157" s="17"/>
      <c r="J157" s="70" t="s">
        <v>159</v>
      </c>
      <c r="K157" s="18">
        <f ca="1">VLOOKUP(B157,工资表,16)</f>
        <v>2326.2800000000002</v>
      </c>
      <c r="L157" s="19"/>
    </row>
    <row r="158" spans="1:12" ht="14.25">
      <c r="A158" s="21" t="s">
        <v>164</v>
      </c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</row>
    <row r="159" spans="1:12">
      <c r="A159" s="71" t="s">
        <v>75</v>
      </c>
      <c r="B159" s="71" t="s">
        <v>76</v>
      </c>
      <c r="C159" s="71" t="s">
        <v>156</v>
      </c>
      <c r="D159" s="71" t="s">
        <v>118</v>
      </c>
      <c r="E159" s="71" t="s">
        <v>150</v>
      </c>
      <c r="F159" s="71" t="s">
        <v>151</v>
      </c>
      <c r="G159" s="72" t="s">
        <v>157</v>
      </c>
      <c r="H159" s="71" t="s">
        <v>152</v>
      </c>
      <c r="I159" s="71" t="s">
        <v>153</v>
      </c>
      <c r="J159" s="71" t="s">
        <v>154</v>
      </c>
      <c r="K159" s="71" t="s">
        <v>155</v>
      </c>
      <c r="L159" s="72" t="s">
        <v>160</v>
      </c>
    </row>
    <row r="160" spans="1:12" ht="15.75">
      <c r="A160" s="20">
        <f t="shared" ref="A160" si="372">VLOOKUP($B157,工资表,COLUMN(D156))</f>
        <v>2200</v>
      </c>
      <c r="B160" s="20">
        <f t="shared" ref="B160" ca="1" si="373">VLOOKUP($B157,工资表,COLUMN(E156))</f>
        <v>200</v>
      </c>
      <c r="C160" s="20">
        <f t="shared" ref="C160" si="374">VLOOKUP($B157,工资表,COLUMN(F156))</f>
        <v>500</v>
      </c>
      <c r="D160" s="20" t="str">
        <f t="shared" ref="D160" si="375">VLOOKUP($B157,工资表,COLUMN(G156))</f>
        <v/>
      </c>
      <c r="E160" s="20">
        <f t="shared" ref="E160" ca="1" si="376">VLOOKUP($B157,工资表,COLUMN(H156))</f>
        <v>228.57</v>
      </c>
      <c r="F160" s="20">
        <f t="shared" ref="F160" si="377">VLOOKUP($B157,工资表,COLUMN(I156))</f>
        <v>0</v>
      </c>
      <c r="G160" s="20">
        <f t="shared" ref="G160" ca="1" si="378">VLOOKUP($B157,工资表,COLUMN(J156))</f>
        <v>3128.57</v>
      </c>
      <c r="H160" s="20">
        <f t="shared" ref="H160" si="379">VLOOKUP($B157,工资表,COLUMN(K156))</f>
        <v>80</v>
      </c>
      <c r="I160" s="20">
        <f t="shared" ref="I160" ca="1" si="380">VLOOKUP($B157,工资表,COLUMN(L156))</f>
        <v>528</v>
      </c>
      <c r="J160" s="20">
        <f t="shared" ref="J160" ca="1" si="381">VLOOKUP($B157,工资表,COLUMN(M156))</f>
        <v>194.29</v>
      </c>
      <c r="K160" s="20" t="str">
        <f t="shared" ref="K160" si="382">VLOOKUP($B157,工资表,COLUMN(N156))</f>
        <v/>
      </c>
      <c r="L160" s="20">
        <f t="shared" ref="L160" ca="1" si="383">VLOOKUP($B157,工资表,COLUMN(O156))</f>
        <v>802.29</v>
      </c>
    </row>
    <row r="161" spans="1:12" ht="15.75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</row>
  </sheetData>
  <mergeCells count="1">
    <mergeCell ref="A1:K1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1</vt:i4>
      </vt:variant>
    </vt:vector>
  </HeadingPairs>
  <TitlesOfParts>
    <vt:vector size="10" baseType="lpstr">
      <vt:lpstr>基本工资表</vt:lpstr>
      <vt:lpstr>福利补贴管理表</vt:lpstr>
      <vt:lpstr>本月奖惩管理表</vt:lpstr>
      <vt:lpstr>考勤统计表</vt:lpstr>
      <vt:lpstr>加班统计表</vt:lpstr>
      <vt:lpstr>Sheet1</vt:lpstr>
      <vt:lpstr>工资统计表</vt:lpstr>
      <vt:lpstr>所得税计算表</vt:lpstr>
      <vt:lpstr>工资条</vt:lpstr>
      <vt:lpstr>工资表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雨林木风</cp:lastModifiedBy>
  <cp:lastPrinted>2013-04-26T03:16:02Z</cp:lastPrinted>
  <dcterms:created xsi:type="dcterms:W3CDTF">2012-02-12T14:29:42Z</dcterms:created>
  <dcterms:modified xsi:type="dcterms:W3CDTF">2013-07-02T07:53:10Z</dcterms:modified>
</cp:coreProperties>
</file>