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945" windowHeight="8220" tabRatio="449" firstSheet="3" activeTab="8"/>
  </bookViews>
  <sheets>
    <sheet name="销售收入预算表" sheetId="1" r:id="rId1"/>
    <sheet name="材料预算表" sheetId="2" r:id="rId2"/>
    <sheet name="三项费用预算表" sheetId="3" r:id="rId3"/>
    <sheet name="人工预算表" sheetId="4" r:id="rId4"/>
    <sheet name="制造费用" sheetId="5" r:id="rId5"/>
    <sheet name="预算损益表" sheetId="6" r:id="rId6"/>
    <sheet name="现金流量预算表" sheetId="7" state="hidden" r:id="rId7"/>
    <sheet name="预算资产负债表" sheetId="11" r:id="rId8"/>
    <sheet name="主要财务指标分析表" sheetId="12" r:id="rId9"/>
  </sheets>
  <externalReferences>
    <externalReference r:id="rId10"/>
  </externalReferences>
  <calcPr calcId="145621"/>
</workbook>
</file>

<file path=xl/calcChain.xml><?xml version="1.0" encoding="utf-8"?>
<calcChain xmlns="http://schemas.openxmlformats.org/spreadsheetml/2006/main">
  <c r="N5" i="3" l="1"/>
  <c r="N6" i="3"/>
  <c r="N7" i="3"/>
  <c r="N8" i="3"/>
  <c r="B8" i="3"/>
  <c r="C8" i="3"/>
  <c r="D8" i="3"/>
  <c r="E8" i="3"/>
  <c r="F8" i="3"/>
  <c r="G8" i="3"/>
  <c r="H8" i="3"/>
  <c r="I8" i="3"/>
  <c r="J8" i="3"/>
  <c r="K8" i="3"/>
  <c r="L8" i="3"/>
  <c r="M8" i="3"/>
  <c r="B7" i="3"/>
  <c r="C7" i="3"/>
  <c r="D7" i="3"/>
  <c r="E7" i="3"/>
  <c r="F7" i="3"/>
  <c r="G7" i="3"/>
  <c r="H7" i="3"/>
  <c r="I7" i="3"/>
  <c r="J7" i="3"/>
  <c r="K7" i="3"/>
  <c r="L7" i="3"/>
  <c r="M7" i="3"/>
  <c r="B6" i="3"/>
  <c r="C6" i="3"/>
  <c r="D6" i="3"/>
  <c r="E6" i="3"/>
  <c r="F6" i="3"/>
  <c r="G6" i="3"/>
  <c r="H6" i="3"/>
  <c r="I6" i="3"/>
  <c r="J6" i="3"/>
  <c r="K6" i="3"/>
  <c r="L6" i="3"/>
  <c r="M6" i="3"/>
  <c r="C46" i="3" l="1"/>
  <c r="D46" i="3"/>
  <c r="E46" i="3"/>
  <c r="F46" i="3"/>
  <c r="G46" i="3"/>
  <c r="H46" i="3"/>
  <c r="I46" i="3"/>
  <c r="J46" i="3"/>
  <c r="K46" i="3"/>
  <c r="L46" i="3"/>
  <c r="M46" i="3"/>
  <c r="B46" i="3"/>
  <c r="D21" i="2"/>
  <c r="E6" i="6"/>
  <c r="F11" i="6"/>
  <c r="G11" i="6"/>
  <c r="H11" i="6"/>
  <c r="I11" i="6"/>
  <c r="J11" i="6"/>
  <c r="K11" i="6"/>
  <c r="L11" i="6"/>
  <c r="M11" i="6"/>
  <c r="N11" i="6"/>
  <c r="O11" i="6"/>
  <c r="P11" i="6"/>
  <c r="E11" i="6"/>
  <c r="F19" i="6" l="1"/>
  <c r="G19" i="6"/>
  <c r="H19" i="6"/>
  <c r="I19" i="6"/>
  <c r="J19" i="6"/>
  <c r="K19" i="6"/>
  <c r="L19" i="6"/>
  <c r="M19" i="6"/>
  <c r="N19" i="6"/>
  <c r="O19" i="6"/>
  <c r="P19" i="6"/>
  <c r="E20" i="6"/>
  <c r="F20" i="6"/>
  <c r="G20" i="6"/>
  <c r="H20" i="6"/>
  <c r="I20" i="6"/>
  <c r="J20" i="6"/>
  <c r="K20" i="6"/>
  <c r="L20" i="6"/>
  <c r="M20" i="6"/>
  <c r="N20" i="6"/>
  <c r="O20" i="6"/>
  <c r="P20" i="6"/>
  <c r="E19" i="6"/>
  <c r="E10" i="6"/>
  <c r="F10" i="6"/>
  <c r="G10" i="6"/>
  <c r="H10" i="6"/>
  <c r="I10" i="6"/>
  <c r="J10" i="6"/>
  <c r="K10" i="6"/>
  <c r="L10" i="6"/>
  <c r="M10" i="6"/>
  <c r="N10" i="6"/>
  <c r="O10" i="6"/>
  <c r="P10" i="6"/>
  <c r="F6" i="6"/>
  <c r="G6" i="6"/>
  <c r="H6" i="6"/>
  <c r="I6" i="6"/>
  <c r="J6" i="6"/>
  <c r="K6" i="6"/>
  <c r="L6" i="6"/>
  <c r="M6" i="6"/>
  <c r="N6" i="6"/>
  <c r="O6" i="6"/>
  <c r="P6" i="6"/>
  <c r="P8" i="2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Q18" i="1"/>
  <c r="Q19" i="1"/>
  <c r="E19" i="1"/>
  <c r="F19" i="1"/>
  <c r="G19" i="1"/>
  <c r="H19" i="1"/>
  <c r="I19" i="1"/>
  <c r="J19" i="1"/>
  <c r="K19" i="1"/>
  <c r="L19" i="1"/>
  <c r="M19" i="1"/>
  <c r="N19" i="1"/>
  <c r="O19" i="1"/>
  <c r="P19" i="1"/>
  <c r="Q17" i="1"/>
  <c r="F17" i="1"/>
  <c r="G17" i="1"/>
  <c r="H17" i="1"/>
  <c r="I17" i="1"/>
  <c r="J17" i="1"/>
  <c r="K17" i="1"/>
  <c r="L17" i="1"/>
  <c r="M17" i="1"/>
  <c r="N17" i="1"/>
  <c r="O17" i="1"/>
  <c r="P17" i="1"/>
  <c r="E18" i="1"/>
  <c r="F18" i="1"/>
  <c r="G18" i="1"/>
  <c r="H18" i="1"/>
  <c r="I18" i="1"/>
  <c r="J18" i="1"/>
  <c r="K18" i="1"/>
  <c r="L18" i="1"/>
  <c r="M18" i="1"/>
  <c r="N18" i="1"/>
  <c r="O18" i="1"/>
  <c r="P18" i="1"/>
  <c r="D17" i="2"/>
  <c r="E17" i="2" s="1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E21" i="2"/>
  <c r="F21" i="2"/>
  <c r="G21" i="2"/>
  <c r="H21" i="2"/>
  <c r="I21" i="2"/>
  <c r="J21" i="2"/>
  <c r="K21" i="2"/>
  <c r="L21" i="2"/>
  <c r="M21" i="2"/>
  <c r="N21" i="2"/>
  <c r="O21" i="2"/>
  <c r="D22" i="2"/>
  <c r="D18" i="2"/>
  <c r="E18" i="2" s="1"/>
  <c r="F18" i="2" s="1"/>
  <c r="G18" i="2" s="1"/>
  <c r="H18" i="2" s="1"/>
  <c r="I18" i="2" s="1"/>
  <c r="J18" i="2" s="1"/>
  <c r="K18" i="2" s="1"/>
  <c r="L18" i="2" s="1"/>
  <c r="M18" i="2" s="1"/>
  <c r="N18" i="2" s="1"/>
  <c r="O18" i="2" s="1"/>
  <c r="E5" i="1"/>
  <c r="F5" i="1"/>
  <c r="G5" i="1"/>
  <c r="H5" i="1"/>
  <c r="I5" i="1"/>
  <c r="J5" i="1"/>
  <c r="K5" i="1"/>
  <c r="L5" i="1"/>
  <c r="M5" i="1"/>
  <c r="N5" i="1"/>
  <c r="O5" i="1"/>
  <c r="P5" i="1"/>
  <c r="Q5" i="1"/>
  <c r="E14" i="1"/>
  <c r="F14" i="1" s="1"/>
  <c r="E15" i="1"/>
  <c r="F15" i="1" s="1"/>
  <c r="E17" i="1"/>
  <c r="D23" i="2" l="1"/>
  <c r="D6" i="2" s="1"/>
  <c r="O22" i="2"/>
  <c r="O23" i="2" s="1"/>
  <c r="O6" i="2" s="1"/>
  <c r="M22" i="2"/>
  <c r="M23" i="2" s="1"/>
  <c r="M6" i="2" s="1"/>
  <c r="K22" i="2"/>
  <c r="K23" i="2" s="1"/>
  <c r="K6" i="2" s="1"/>
  <c r="I22" i="2"/>
  <c r="I23" i="2" s="1"/>
  <c r="I6" i="2" s="1"/>
  <c r="G22" i="2"/>
  <c r="G23" i="2" s="1"/>
  <c r="G6" i="2" s="1"/>
  <c r="E22" i="2"/>
  <c r="E23" i="2" s="1"/>
  <c r="E6" i="2" s="1"/>
  <c r="N22" i="2"/>
  <c r="N23" i="2" s="1"/>
  <c r="N6" i="2" s="1"/>
  <c r="L22" i="2"/>
  <c r="L23" i="2" s="1"/>
  <c r="L6" i="2" s="1"/>
  <c r="J22" i="2"/>
  <c r="J23" i="2" s="1"/>
  <c r="J6" i="2" s="1"/>
  <c r="H22" i="2"/>
  <c r="H23" i="2" s="1"/>
  <c r="H6" i="2" s="1"/>
  <c r="F22" i="2"/>
  <c r="F23" i="2" s="1"/>
  <c r="F6" i="2" s="1"/>
  <c r="G14" i="1"/>
  <c r="G15" i="1"/>
  <c r="D5" i="2" l="1"/>
  <c r="E9" i="6" s="1"/>
  <c r="D9" i="2"/>
  <c r="D7" i="2"/>
  <c r="D10" i="2"/>
  <c r="D11" i="2" s="1"/>
  <c r="L9" i="2"/>
  <c r="L7" i="2"/>
  <c r="L5" i="2"/>
  <c r="M9" i="6" s="1"/>
  <c r="L10" i="2"/>
  <c r="L11" i="2" s="1"/>
  <c r="E5" i="2"/>
  <c r="F9" i="6" s="1"/>
  <c r="E10" i="2"/>
  <c r="E9" i="2"/>
  <c r="E7" i="2"/>
  <c r="I5" i="2"/>
  <c r="J9" i="6" s="1"/>
  <c r="I10" i="2"/>
  <c r="I11" i="2" s="1"/>
  <c r="I9" i="2"/>
  <c r="I7" i="2"/>
  <c r="M5" i="2"/>
  <c r="N9" i="6" s="1"/>
  <c r="M10" i="2"/>
  <c r="M11" i="2" s="1"/>
  <c r="M9" i="2"/>
  <c r="M7" i="2"/>
  <c r="P6" i="2"/>
  <c r="H9" i="2"/>
  <c r="H7" i="2"/>
  <c r="H5" i="2"/>
  <c r="I9" i="6" s="1"/>
  <c r="H10" i="2"/>
  <c r="H11" i="2" s="1"/>
  <c r="F9" i="2"/>
  <c r="F7" i="2"/>
  <c r="F5" i="2"/>
  <c r="G9" i="6" s="1"/>
  <c r="F10" i="2"/>
  <c r="F11" i="2" s="1"/>
  <c r="J9" i="2"/>
  <c r="J7" i="2"/>
  <c r="J5" i="2"/>
  <c r="K9" i="6" s="1"/>
  <c r="J10" i="2"/>
  <c r="J11" i="2" s="1"/>
  <c r="N9" i="2"/>
  <c r="N7" i="2"/>
  <c r="N5" i="2"/>
  <c r="O9" i="6" s="1"/>
  <c r="N10" i="2"/>
  <c r="N11" i="2" s="1"/>
  <c r="G5" i="2"/>
  <c r="H9" i="6" s="1"/>
  <c r="G10" i="2"/>
  <c r="G11" i="2" s="1"/>
  <c r="G9" i="2"/>
  <c r="G7" i="2"/>
  <c r="K5" i="2"/>
  <c r="L9" i="6" s="1"/>
  <c r="K10" i="2"/>
  <c r="K11" i="2" s="1"/>
  <c r="K9" i="2"/>
  <c r="K7" i="2"/>
  <c r="O5" i="2"/>
  <c r="P9" i="6" s="1"/>
  <c r="O10" i="2"/>
  <c r="O11" i="2" s="1"/>
  <c r="O9" i="2"/>
  <c r="O7" i="2"/>
  <c r="H15" i="1"/>
  <c r="H14" i="1"/>
  <c r="E12" i="6" l="1"/>
  <c r="P12" i="6"/>
  <c r="L12" i="6"/>
  <c r="H12" i="6"/>
  <c r="O12" i="6"/>
  <c r="K12" i="6"/>
  <c r="G12" i="6"/>
  <c r="I12" i="6"/>
  <c r="E11" i="2"/>
  <c r="P10" i="2"/>
  <c r="P11" i="2" s="1"/>
  <c r="P9" i="2"/>
  <c r="P7" i="2"/>
  <c r="P5" i="2"/>
  <c r="N12" i="6"/>
  <c r="J12" i="6"/>
  <c r="F12" i="6"/>
  <c r="M12" i="6"/>
  <c r="I14" i="1"/>
  <c r="I15" i="1"/>
  <c r="B5" i="3"/>
  <c r="E18" i="6" s="1"/>
  <c r="J15" i="1" l="1"/>
  <c r="J14" i="1"/>
  <c r="F11" i="12"/>
  <c r="F10" i="12"/>
  <c r="F9" i="12"/>
  <c r="F8" i="12"/>
  <c r="F7" i="12"/>
  <c r="F6" i="12"/>
  <c r="F5" i="12"/>
  <c r="K14" i="1" l="1"/>
  <c r="K15" i="1"/>
  <c r="N29" i="11"/>
  <c r="M29" i="11"/>
  <c r="L29" i="11"/>
  <c r="K29" i="11"/>
  <c r="J29" i="11"/>
  <c r="I29" i="11"/>
  <c r="H29" i="11"/>
  <c r="G29" i="11"/>
  <c r="F29" i="11"/>
  <c r="E29" i="11"/>
  <c r="D29" i="11"/>
  <c r="C29" i="11"/>
  <c r="B29" i="11"/>
  <c r="O28" i="11"/>
  <c r="O27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O22" i="11"/>
  <c r="O21" i="11"/>
  <c r="N19" i="11"/>
  <c r="N25" i="11" s="1"/>
  <c r="N30" i="11" s="1"/>
  <c r="M19" i="11"/>
  <c r="M25" i="11" s="1"/>
  <c r="M30" i="11" s="1"/>
  <c r="L19" i="11"/>
  <c r="L25" i="11" s="1"/>
  <c r="L30" i="11" s="1"/>
  <c r="K19" i="11"/>
  <c r="K25" i="11" s="1"/>
  <c r="K30" i="11" s="1"/>
  <c r="J19" i="11"/>
  <c r="J25" i="11" s="1"/>
  <c r="J30" i="11" s="1"/>
  <c r="I19" i="11"/>
  <c r="I25" i="11" s="1"/>
  <c r="I30" i="11" s="1"/>
  <c r="H19" i="11"/>
  <c r="H25" i="11" s="1"/>
  <c r="H30" i="11" s="1"/>
  <c r="G19" i="11"/>
  <c r="G25" i="11" s="1"/>
  <c r="G30" i="11" s="1"/>
  <c r="F19" i="11"/>
  <c r="F25" i="11" s="1"/>
  <c r="F30" i="11" s="1"/>
  <c r="E19" i="11"/>
  <c r="E25" i="11" s="1"/>
  <c r="E30" i="11" s="1"/>
  <c r="D19" i="11"/>
  <c r="D25" i="11" s="1"/>
  <c r="D30" i="11" s="1"/>
  <c r="C19" i="11"/>
  <c r="C25" i="11" s="1"/>
  <c r="C30" i="11" s="1"/>
  <c r="B19" i="11"/>
  <c r="B25" i="11" s="1"/>
  <c r="O18" i="11"/>
  <c r="O17" i="11"/>
  <c r="O16" i="11"/>
  <c r="O15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O12" i="11" s="1"/>
  <c r="B12" i="11"/>
  <c r="O11" i="11"/>
  <c r="O10" i="11"/>
  <c r="N8" i="11"/>
  <c r="N13" i="11" s="1"/>
  <c r="M8" i="11"/>
  <c r="M13" i="11" s="1"/>
  <c r="L8" i="11"/>
  <c r="L13" i="11" s="1"/>
  <c r="K8" i="11"/>
  <c r="K13" i="11" s="1"/>
  <c r="J8" i="11"/>
  <c r="J13" i="11" s="1"/>
  <c r="I8" i="11"/>
  <c r="I13" i="11" s="1"/>
  <c r="H8" i="11"/>
  <c r="H13" i="11" s="1"/>
  <c r="G8" i="11"/>
  <c r="G13" i="11" s="1"/>
  <c r="F8" i="11"/>
  <c r="F13" i="11" s="1"/>
  <c r="E8" i="11"/>
  <c r="E13" i="11" s="1"/>
  <c r="D8" i="11"/>
  <c r="D13" i="11" s="1"/>
  <c r="C8" i="11"/>
  <c r="C13" i="11" s="1"/>
  <c r="B8" i="11"/>
  <c r="B13" i="11" s="1"/>
  <c r="O7" i="11"/>
  <c r="O6" i="11"/>
  <c r="O5" i="11"/>
  <c r="O4" i="11"/>
  <c r="O3" i="11"/>
  <c r="L15" i="1" l="1"/>
  <c r="L14" i="1"/>
  <c r="O23" i="11"/>
  <c r="O29" i="11"/>
  <c r="O13" i="11"/>
  <c r="O25" i="11"/>
  <c r="O30" i="11" s="1"/>
  <c r="B30" i="11"/>
  <c r="O8" i="11"/>
  <c r="O19" i="11"/>
  <c r="M15" i="1" l="1"/>
  <c r="M14" i="1"/>
  <c r="N14" i="1" l="1"/>
  <c r="N15" i="1"/>
  <c r="O14" i="1" l="1"/>
  <c r="O15" i="1"/>
  <c r="P15" i="1" l="1"/>
  <c r="P14" i="1"/>
  <c r="Q4" i="7" l="1"/>
  <c r="P4" i="7"/>
  <c r="C35" i="7"/>
  <c r="C13" i="7"/>
  <c r="C12" i="7"/>
  <c r="C7" i="7"/>
  <c r="D13" i="7" l="1"/>
  <c r="E13" i="7"/>
  <c r="F13" i="7"/>
  <c r="G13" i="7"/>
  <c r="G35" i="7" s="1"/>
  <c r="H13" i="7"/>
  <c r="I13" i="7"/>
  <c r="J13" i="7"/>
  <c r="K13" i="7"/>
  <c r="K35" i="7" s="1"/>
  <c r="L13" i="7"/>
  <c r="D12" i="7"/>
  <c r="E12" i="7"/>
  <c r="F12" i="7"/>
  <c r="G12" i="7"/>
  <c r="H12" i="7"/>
  <c r="I12" i="7"/>
  <c r="J12" i="7"/>
  <c r="K12" i="7"/>
  <c r="L12" i="7"/>
  <c r="M12" i="7"/>
  <c r="D35" i="7"/>
  <c r="F35" i="7"/>
  <c r="H35" i="7"/>
  <c r="J35" i="7"/>
  <c r="L35" i="7"/>
  <c r="E35" i="7"/>
  <c r="I35" i="7"/>
  <c r="D7" i="7"/>
  <c r="E7" i="7"/>
  <c r="F7" i="7"/>
  <c r="G7" i="7"/>
  <c r="H7" i="7"/>
  <c r="I7" i="7"/>
  <c r="J7" i="7"/>
  <c r="K7" i="7"/>
  <c r="L7" i="7"/>
  <c r="M7" i="7"/>
  <c r="Q5" i="7"/>
  <c r="Q6" i="7"/>
  <c r="Q8" i="7"/>
  <c r="Q9" i="7"/>
  <c r="Q10" i="7"/>
  <c r="Q11" i="7"/>
  <c r="Q14" i="7"/>
  <c r="Q15" i="7"/>
  <c r="Q16" i="7"/>
  <c r="Q17" i="7"/>
  <c r="Q18" i="7"/>
  <c r="Q19" i="7"/>
  <c r="Q20" i="7"/>
  <c r="Q21" i="7"/>
  <c r="Q22" i="7"/>
  <c r="O33" i="7" l="1"/>
  <c r="N33" i="7"/>
  <c r="M33" i="7"/>
  <c r="L33" i="7"/>
  <c r="K33" i="7"/>
  <c r="J33" i="7"/>
  <c r="I33" i="7"/>
  <c r="H33" i="7"/>
  <c r="G33" i="7"/>
  <c r="F33" i="7"/>
  <c r="E33" i="7"/>
  <c r="D33" i="7"/>
  <c r="P33" i="7" s="1"/>
  <c r="C33" i="7"/>
  <c r="Q33" i="7" s="1"/>
  <c r="P32" i="7"/>
  <c r="Q31" i="7"/>
  <c r="P31" i="7"/>
  <c r="Q30" i="7"/>
  <c r="P30" i="7"/>
  <c r="O29" i="7"/>
  <c r="O34" i="7" s="1"/>
  <c r="N29" i="7"/>
  <c r="N34" i="7" s="1"/>
  <c r="M29" i="7"/>
  <c r="M34" i="7" s="1"/>
  <c r="L29" i="7"/>
  <c r="L34" i="7" s="1"/>
  <c r="K29" i="7"/>
  <c r="K34" i="7" s="1"/>
  <c r="J29" i="7"/>
  <c r="J34" i="7" s="1"/>
  <c r="I29" i="7"/>
  <c r="I34" i="7" s="1"/>
  <c r="H29" i="7"/>
  <c r="H34" i="7" s="1"/>
  <c r="G29" i="7"/>
  <c r="G34" i="7" s="1"/>
  <c r="F29" i="7"/>
  <c r="F34" i="7" s="1"/>
  <c r="E29" i="7"/>
  <c r="E34" i="7" s="1"/>
  <c r="D29" i="7"/>
  <c r="D34" i="7" s="1"/>
  <c r="P34" i="7" s="1"/>
  <c r="C29" i="7"/>
  <c r="Q28" i="7"/>
  <c r="P28" i="7"/>
  <c r="P27" i="7"/>
  <c r="Q27" i="7" s="1"/>
  <c r="P26" i="7"/>
  <c r="P25" i="7"/>
  <c r="O23" i="7"/>
  <c r="N23" i="7"/>
  <c r="M23" i="7"/>
  <c r="L23" i="7"/>
  <c r="K23" i="7"/>
  <c r="J23" i="7"/>
  <c r="I23" i="7"/>
  <c r="H23" i="7"/>
  <c r="G23" i="7"/>
  <c r="F23" i="7"/>
  <c r="E23" i="7"/>
  <c r="D23" i="7"/>
  <c r="P23" i="7" s="1"/>
  <c r="C23" i="7"/>
  <c r="P22" i="7"/>
  <c r="P21" i="7"/>
  <c r="P20" i="7"/>
  <c r="O19" i="7"/>
  <c r="O24" i="7" s="1"/>
  <c r="N19" i="7"/>
  <c r="N24" i="7" s="1"/>
  <c r="M19" i="7"/>
  <c r="M24" i="7" s="1"/>
  <c r="L19" i="7"/>
  <c r="L24" i="7" s="1"/>
  <c r="K19" i="7"/>
  <c r="K24" i="7" s="1"/>
  <c r="J19" i="7"/>
  <c r="J24" i="7" s="1"/>
  <c r="I19" i="7"/>
  <c r="I24" i="7" s="1"/>
  <c r="H19" i="7"/>
  <c r="H24" i="7" s="1"/>
  <c r="G19" i="7"/>
  <c r="G24" i="7" s="1"/>
  <c r="F19" i="7"/>
  <c r="F24" i="7" s="1"/>
  <c r="E19" i="7"/>
  <c r="E24" i="7" s="1"/>
  <c r="D19" i="7"/>
  <c r="D24" i="7" s="1"/>
  <c r="C19" i="7"/>
  <c r="C24" i="7" s="1"/>
  <c r="P18" i="7"/>
  <c r="P17" i="7"/>
  <c r="P16" i="7"/>
  <c r="P15" i="7"/>
  <c r="P14" i="7"/>
  <c r="O12" i="7"/>
  <c r="N12" i="7"/>
  <c r="P12" i="7"/>
  <c r="Q12" i="7" s="1"/>
  <c r="P11" i="7"/>
  <c r="P10" i="7"/>
  <c r="P9" i="7"/>
  <c r="P8" i="7"/>
  <c r="O7" i="7"/>
  <c r="O13" i="7" s="1"/>
  <c r="N7" i="7"/>
  <c r="M13" i="7"/>
  <c r="M35" i="7" s="1"/>
  <c r="P6" i="7"/>
  <c r="P5" i="7"/>
  <c r="O35" i="7" l="1"/>
  <c r="P24" i="7"/>
  <c r="Q24" i="7" s="1"/>
  <c r="N13" i="7"/>
  <c r="N35" i="7" s="1"/>
  <c r="Q23" i="7"/>
  <c r="P29" i="7"/>
  <c r="Q29" i="7" s="1"/>
  <c r="C34" i="7"/>
  <c r="Q34" i="7" s="1"/>
  <c r="P7" i="7"/>
  <c r="Q7" i="7" s="1"/>
  <c r="P19" i="7"/>
  <c r="P35" i="7" l="1"/>
  <c r="Q35" i="7" s="1"/>
  <c r="P13" i="7"/>
  <c r="Q13" i="7" s="1"/>
  <c r="Q20" i="6"/>
  <c r="M29" i="5"/>
  <c r="L29" i="5"/>
  <c r="K29" i="5"/>
  <c r="J29" i="5"/>
  <c r="I29" i="5"/>
  <c r="H29" i="5"/>
  <c r="G29" i="5"/>
  <c r="F29" i="5"/>
  <c r="E29" i="5"/>
  <c r="D29" i="5"/>
  <c r="C29" i="5"/>
  <c r="B29" i="5"/>
  <c r="N29" i="5" s="1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M3" i="5"/>
  <c r="L3" i="5"/>
  <c r="K3" i="5"/>
  <c r="J3" i="5"/>
  <c r="I3" i="5"/>
  <c r="H3" i="5"/>
  <c r="G3" i="5"/>
  <c r="F3" i="5"/>
  <c r="E3" i="5"/>
  <c r="D3" i="5"/>
  <c r="C3" i="5"/>
  <c r="B3" i="5"/>
  <c r="N3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O6" i="4"/>
  <c r="O5" i="4"/>
  <c r="O4" i="4"/>
  <c r="N3" i="4"/>
  <c r="M3" i="4"/>
  <c r="L3" i="4"/>
  <c r="K3" i="4"/>
  <c r="J3" i="4"/>
  <c r="I3" i="4"/>
  <c r="H3" i="4"/>
  <c r="G3" i="4"/>
  <c r="F3" i="4"/>
  <c r="E3" i="4"/>
  <c r="D3" i="4"/>
  <c r="C3" i="4"/>
  <c r="O3" i="4" s="1"/>
  <c r="D21" i="6"/>
  <c r="D23" i="6" s="1"/>
  <c r="D12" i="6"/>
  <c r="Q10" i="6"/>
  <c r="D7" i="6"/>
  <c r="D13" i="6" s="1"/>
  <c r="D24" i="6" l="1"/>
  <c r="D17" i="6"/>
  <c r="D14" i="6"/>
  <c r="D15" i="6"/>
  <c r="Q11" i="6"/>
  <c r="Q19" i="6"/>
  <c r="C57" i="3" l="1"/>
  <c r="D57" i="3"/>
  <c r="E57" i="3"/>
  <c r="F57" i="3"/>
  <c r="G57" i="3"/>
  <c r="H57" i="3"/>
  <c r="I57" i="3"/>
  <c r="J57" i="3"/>
  <c r="K57" i="3"/>
  <c r="L57" i="3"/>
  <c r="M57" i="3"/>
  <c r="B57" i="3"/>
  <c r="M74" i="3"/>
  <c r="L74" i="3"/>
  <c r="K74" i="3"/>
  <c r="J74" i="3"/>
  <c r="I74" i="3"/>
  <c r="H74" i="3"/>
  <c r="G74" i="3"/>
  <c r="F74" i="3"/>
  <c r="E74" i="3"/>
  <c r="D74" i="3"/>
  <c r="C74" i="3"/>
  <c r="B74" i="3"/>
  <c r="N73" i="3"/>
  <c r="N72" i="3"/>
  <c r="N71" i="3"/>
  <c r="N70" i="3"/>
  <c r="N69" i="3"/>
  <c r="N68" i="3"/>
  <c r="N67" i="3"/>
  <c r="N66" i="3"/>
  <c r="N65" i="3"/>
  <c r="M64" i="3"/>
  <c r="L64" i="3"/>
  <c r="K64" i="3"/>
  <c r="J64" i="3"/>
  <c r="I64" i="3"/>
  <c r="H64" i="3"/>
  <c r="G64" i="3"/>
  <c r="F64" i="3"/>
  <c r="E64" i="3"/>
  <c r="D64" i="3"/>
  <c r="C64" i="3"/>
  <c r="B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M5" i="3"/>
  <c r="L5" i="3"/>
  <c r="K5" i="3"/>
  <c r="J5" i="3"/>
  <c r="I5" i="3"/>
  <c r="H5" i="3"/>
  <c r="G5" i="3"/>
  <c r="F5" i="3"/>
  <c r="E5" i="3"/>
  <c r="D5" i="3"/>
  <c r="C5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P18" i="6" l="1"/>
  <c r="O18" i="6"/>
  <c r="N18" i="6"/>
  <c r="M18" i="6"/>
  <c r="L18" i="6"/>
  <c r="K18" i="6"/>
  <c r="J18" i="6"/>
  <c r="I18" i="6"/>
  <c r="H18" i="6"/>
  <c r="G18" i="6"/>
  <c r="F18" i="6"/>
  <c r="N74" i="3"/>
  <c r="N64" i="3"/>
  <c r="N46" i="3"/>
  <c r="E5" i="6"/>
  <c r="E7" i="6" s="1"/>
  <c r="E14" i="6" l="1"/>
  <c r="E13" i="6"/>
  <c r="E16" i="6"/>
  <c r="E15" i="6"/>
  <c r="Q18" i="6"/>
  <c r="P5" i="6"/>
  <c r="P7" i="6" s="1"/>
  <c r="B15" i="1"/>
  <c r="B18" i="1" s="1"/>
  <c r="B14" i="1"/>
  <c r="B17" i="1" s="1"/>
  <c r="B12" i="1"/>
  <c r="B11" i="1"/>
  <c r="Q8" i="1"/>
  <c r="Q7" i="1"/>
  <c r="P14" i="6" l="1"/>
  <c r="P13" i="6"/>
  <c r="P16" i="6"/>
  <c r="P15" i="6"/>
  <c r="E17" i="6"/>
  <c r="E21" i="6"/>
  <c r="O5" i="6"/>
  <c r="O7" i="6" s="1"/>
  <c r="M5" i="6"/>
  <c r="M7" i="6" s="1"/>
  <c r="K5" i="6"/>
  <c r="K7" i="6" s="1"/>
  <c r="G5" i="6"/>
  <c r="G7" i="6" s="1"/>
  <c r="N5" i="6"/>
  <c r="N7" i="6" s="1"/>
  <c r="L5" i="6"/>
  <c r="L7" i="6" s="1"/>
  <c r="J5" i="6"/>
  <c r="J7" i="6" s="1"/>
  <c r="H5" i="6"/>
  <c r="H7" i="6" s="1"/>
  <c r="F5" i="6"/>
  <c r="F7" i="6" s="1"/>
  <c r="H14" i="6" l="1"/>
  <c r="H13" i="6"/>
  <c r="H16" i="6"/>
  <c r="H15" i="6"/>
  <c r="L14" i="6"/>
  <c r="L13" i="6"/>
  <c r="L15" i="6"/>
  <c r="L16" i="6"/>
  <c r="G14" i="6"/>
  <c r="G13" i="6"/>
  <c r="G15" i="6"/>
  <c r="G16" i="6"/>
  <c r="M14" i="6"/>
  <c r="M13" i="6"/>
  <c r="M15" i="6"/>
  <c r="M16" i="6"/>
  <c r="E22" i="6"/>
  <c r="E23" i="6" s="1"/>
  <c r="E24" i="6" s="1"/>
  <c r="F14" i="6"/>
  <c r="F13" i="6"/>
  <c r="F16" i="6"/>
  <c r="F15" i="6"/>
  <c r="J14" i="6"/>
  <c r="J13" i="6"/>
  <c r="J15" i="6"/>
  <c r="J16" i="6"/>
  <c r="N14" i="6"/>
  <c r="N13" i="6"/>
  <c r="N15" i="6"/>
  <c r="N16" i="6"/>
  <c r="K14" i="6"/>
  <c r="K13" i="6"/>
  <c r="K15" i="6"/>
  <c r="K16" i="6"/>
  <c r="O14" i="6"/>
  <c r="O13" i="6"/>
  <c r="O15" i="6"/>
  <c r="O16" i="6"/>
  <c r="P17" i="6"/>
  <c r="P21" i="6"/>
  <c r="Q9" i="6"/>
  <c r="I5" i="6"/>
  <c r="I7" i="6" s="1"/>
  <c r="Q12" i="6"/>
  <c r="I14" i="6" l="1"/>
  <c r="I13" i="6"/>
  <c r="I15" i="6"/>
  <c r="I16" i="6"/>
  <c r="P23" i="6"/>
  <c r="P24" i="6" s="1"/>
  <c r="P22" i="6"/>
  <c r="O17" i="6"/>
  <c r="O21" i="6"/>
  <c r="O22" i="6" s="1"/>
  <c r="O23" i="6" s="1"/>
  <c r="O24" i="6" s="1"/>
  <c r="K17" i="6"/>
  <c r="K21" i="6"/>
  <c r="K22" i="6" s="1"/>
  <c r="K23" i="6" s="1"/>
  <c r="K24" i="6" s="1"/>
  <c r="N17" i="6"/>
  <c r="N21" i="6"/>
  <c r="N22" i="6" s="1"/>
  <c r="N23" i="6" s="1"/>
  <c r="N24" i="6" s="1"/>
  <c r="J17" i="6"/>
  <c r="J21" i="6"/>
  <c r="M17" i="6"/>
  <c r="M21" i="6"/>
  <c r="G17" i="6"/>
  <c r="G21" i="6"/>
  <c r="G22" i="6" s="1"/>
  <c r="G23" i="6" s="1"/>
  <c r="G24" i="6" s="1"/>
  <c r="L17" i="6"/>
  <c r="L21" i="6"/>
  <c r="L22" i="6" s="1"/>
  <c r="L23" i="6" s="1"/>
  <c r="L24" i="6" s="1"/>
  <c r="F17" i="6"/>
  <c r="F21" i="6"/>
  <c r="F22" i="6" s="1"/>
  <c r="F23" i="6" s="1"/>
  <c r="F24" i="6" s="1"/>
  <c r="H17" i="6"/>
  <c r="H21" i="6"/>
  <c r="H22" i="6" s="1"/>
  <c r="H23" i="6" s="1"/>
  <c r="H24" i="6" s="1"/>
  <c r="Q5" i="6"/>
  <c r="Q6" i="6"/>
  <c r="Q7" i="6"/>
  <c r="C13" i="12" s="1"/>
  <c r="M22" i="6" l="1"/>
  <c r="M23" i="6" s="1"/>
  <c r="M24" i="6" s="1"/>
  <c r="J22" i="6"/>
  <c r="J23" i="6" s="1"/>
  <c r="J24" i="6" s="1"/>
  <c r="I17" i="6"/>
  <c r="I21" i="6"/>
  <c r="I22" i="6" s="1"/>
  <c r="I23" i="6" s="1"/>
  <c r="I24" i="6" s="1"/>
  <c r="Q15" i="6"/>
  <c r="Q16" i="6"/>
  <c r="Q17" i="6" s="1"/>
  <c r="C14" i="12"/>
  <c r="C6" i="12"/>
  <c r="Q14" i="6"/>
  <c r="Q13" i="6"/>
  <c r="Q21" i="6" l="1"/>
  <c r="C7" i="12"/>
  <c r="Q23" i="6"/>
  <c r="Q22" i="6"/>
  <c r="C12" i="12" l="1"/>
  <c r="C10" i="12"/>
  <c r="C8" i="12"/>
  <c r="C11" i="12"/>
  <c r="C9" i="12"/>
  <c r="C15" i="12"/>
  <c r="Q24" i="6"/>
  <c r="C5" i="12"/>
</calcChain>
</file>

<file path=xl/sharedStrings.xml><?xml version="1.0" encoding="utf-8"?>
<sst xmlns="http://schemas.openxmlformats.org/spreadsheetml/2006/main" count="316" uniqueCount="279">
  <si>
    <t>销售收入预算</t>
    <phoneticPr fontId="6" type="noConversion"/>
  </si>
  <si>
    <t>月份</t>
    <phoneticPr fontId="2" type="noConversion"/>
  </si>
  <si>
    <t>销售总收入</t>
    <phoneticPr fontId="6" type="noConversion"/>
  </si>
  <si>
    <t>单位：元</t>
    <phoneticPr fontId="2" type="noConversion"/>
  </si>
  <si>
    <t>销量</t>
    <phoneticPr fontId="6" type="noConversion"/>
  </si>
  <si>
    <t>单位：件</t>
    <phoneticPr fontId="2" type="noConversion"/>
  </si>
  <si>
    <t>定价策略</t>
    <phoneticPr fontId="6" type="noConversion"/>
  </si>
  <si>
    <t>价格变动</t>
    <phoneticPr fontId="6" type="noConversion"/>
  </si>
  <si>
    <t>单价</t>
    <phoneticPr fontId="6" type="noConversion"/>
  </si>
  <si>
    <t>定价</t>
    <phoneticPr fontId="2" type="noConversion"/>
  </si>
  <si>
    <t>销售收入</t>
    <phoneticPr fontId="6" type="noConversion"/>
  </si>
  <si>
    <t>销售收入合计</t>
    <phoneticPr fontId="6" type="noConversion"/>
  </si>
  <si>
    <t>收入结构</t>
    <phoneticPr fontId="6" type="noConversion"/>
  </si>
  <si>
    <r>
      <t>当月销售</t>
    </r>
    <r>
      <rPr>
        <sz val="10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年销售收入（％）</t>
    </r>
    <phoneticPr fontId="6" type="noConversion"/>
  </si>
  <si>
    <r>
      <t xml:space="preserve">A </t>
    </r>
    <r>
      <rPr>
        <sz val="10"/>
        <rFont val="宋体"/>
        <family val="3"/>
        <charset val="134"/>
      </rPr>
      <t>产品</t>
    </r>
    <r>
      <rPr>
        <sz val="10"/>
        <color theme="1"/>
        <rFont val="宋体"/>
        <family val="2"/>
        <charset val="134"/>
        <scheme val="minor"/>
      </rPr>
      <t/>
    </r>
    <phoneticPr fontId="6" type="noConversion"/>
  </si>
  <si>
    <r>
      <t xml:space="preserve">B </t>
    </r>
    <r>
      <rPr>
        <sz val="10"/>
        <rFont val="宋体"/>
        <family val="3"/>
        <charset val="134"/>
      </rPr>
      <t>产品</t>
    </r>
    <r>
      <rPr>
        <sz val="10"/>
        <color theme="1"/>
        <rFont val="宋体"/>
        <family val="2"/>
        <charset val="134"/>
        <scheme val="minor"/>
      </rPr>
      <t xml:space="preserve"> </t>
    </r>
    <r>
      <rPr>
        <b/>
        <sz val="12"/>
        <rFont val="Times New Roman"/>
        <family val="1"/>
      </rPr>
      <t/>
    </r>
    <phoneticPr fontId="2" type="noConversion"/>
  </si>
  <si>
    <t>2013年销售收入预算表</t>
    <phoneticPr fontId="2" type="noConversion"/>
  </si>
  <si>
    <t>12</t>
    <phoneticPr fontId="2" type="noConversion"/>
  </si>
  <si>
    <t>合计</t>
    <phoneticPr fontId="2" type="noConversion"/>
  </si>
  <si>
    <t>材料预算</t>
    <phoneticPr fontId="6" type="noConversion"/>
  </si>
  <si>
    <t>月份</t>
    <phoneticPr fontId="2" type="noConversion"/>
  </si>
  <si>
    <t>合计物料标准成本</t>
    <phoneticPr fontId="2" type="noConversion"/>
  </si>
  <si>
    <t>标准物料成本</t>
    <phoneticPr fontId="2" type="noConversion"/>
  </si>
  <si>
    <t>销售收入比例</t>
    <phoneticPr fontId="2" type="noConversion"/>
  </si>
  <si>
    <t>物料成本差异（人工输入）</t>
    <phoneticPr fontId="2" type="noConversion"/>
  </si>
  <si>
    <t>共计物料成本</t>
    <phoneticPr fontId="2" type="noConversion"/>
  </si>
  <si>
    <t>占销售收入比例</t>
    <phoneticPr fontId="2" type="noConversion"/>
  </si>
  <si>
    <t>物料成本变动</t>
    <phoneticPr fontId="2" type="noConversion"/>
  </si>
  <si>
    <t>国内物料成本</t>
    <phoneticPr fontId="2" type="noConversion"/>
  </si>
  <si>
    <t>单位物料成本</t>
    <phoneticPr fontId="2" type="noConversion"/>
  </si>
  <si>
    <t>共计物料成本</t>
    <phoneticPr fontId="2" type="noConversion"/>
  </si>
  <si>
    <t>合计</t>
    <phoneticPr fontId="2" type="noConversion"/>
  </si>
  <si>
    <t>全年合计</t>
    <phoneticPr fontId="2" type="noConversion"/>
  </si>
  <si>
    <t>2013年材料预算表</t>
    <phoneticPr fontId="2" type="noConversion"/>
  </si>
  <si>
    <t>A产品</t>
    <phoneticPr fontId="2" type="noConversion"/>
  </si>
  <si>
    <t>A产品</t>
    <phoneticPr fontId="2" type="noConversion"/>
  </si>
  <si>
    <t>B产品</t>
    <phoneticPr fontId="2" type="noConversion"/>
  </si>
  <si>
    <t>占合计物料标准成本比例</t>
    <phoneticPr fontId="2" type="noConversion"/>
  </si>
  <si>
    <t>管理费用</t>
    <phoneticPr fontId="2" type="noConversion"/>
  </si>
  <si>
    <t>营业费用</t>
    <phoneticPr fontId="2" type="noConversion"/>
  </si>
  <si>
    <t>财务费用</t>
    <phoneticPr fontId="2" type="noConversion"/>
  </si>
  <si>
    <t>三项费用合计:</t>
    <phoneticPr fontId="2" type="noConversion"/>
  </si>
  <si>
    <t>工资</t>
    <phoneticPr fontId="6" type="noConversion"/>
  </si>
  <si>
    <t>职工福利基金</t>
    <phoneticPr fontId="6" type="noConversion"/>
  </si>
  <si>
    <t>工会经费</t>
    <phoneticPr fontId="6" type="noConversion"/>
  </si>
  <si>
    <t>职工教育经费</t>
    <phoneticPr fontId="6" type="noConversion"/>
  </si>
  <si>
    <t>社会保险基金</t>
    <phoneticPr fontId="6" type="noConversion"/>
  </si>
  <si>
    <t>保险费</t>
    <phoneticPr fontId="6" type="noConversion"/>
  </si>
  <si>
    <t>业务招待费</t>
    <phoneticPr fontId="6" type="noConversion"/>
  </si>
  <si>
    <t>差旅费</t>
    <phoneticPr fontId="6" type="noConversion"/>
  </si>
  <si>
    <t>办公费</t>
    <phoneticPr fontId="6" type="noConversion"/>
  </si>
  <si>
    <t>通讯费</t>
    <phoneticPr fontId="6" type="noConversion"/>
  </si>
  <si>
    <t>小车费</t>
    <phoneticPr fontId="6" type="noConversion"/>
  </si>
  <si>
    <t>税金</t>
    <phoneticPr fontId="6" type="noConversion"/>
  </si>
  <si>
    <t>租赁费</t>
    <phoneticPr fontId="6" type="noConversion"/>
  </si>
  <si>
    <t>资产占用费</t>
    <phoneticPr fontId="6" type="noConversion"/>
  </si>
  <si>
    <t>修理费</t>
    <phoneticPr fontId="6" type="noConversion"/>
  </si>
  <si>
    <t>低值易耗品摊销</t>
    <phoneticPr fontId="6" type="noConversion"/>
  </si>
  <si>
    <t>折旧费</t>
    <phoneticPr fontId="6" type="noConversion"/>
  </si>
  <si>
    <t>排污费</t>
    <phoneticPr fontId="6" type="noConversion"/>
  </si>
  <si>
    <t>董事会会费</t>
    <phoneticPr fontId="6" type="noConversion"/>
  </si>
  <si>
    <t>研究与开发费</t>
    <phoneticPr fontId="6" type="noConversion"/>
  </si>
  <si>
    <t>存货盘盈盘亏</t>
    <phoneticPr fontId="6" type="noConversion"/>
  </si>
  <si>
    <t>提取坏帐准备</t>
    <phoneticPr fontId="6" type="noConversion"/>
  </si>
  <si>
    <t>提取存货跌价准备</t>
    <phoneticPr fontId="6" type="noConversion"/>
  </si>
  <si>
    <t>无形资产摊销</t>
    <phoneticPr fontId="6" type="noConversion"/>
  </si>
  <si>
    <t>中介机构费</t>
    <phoneticPr fontId="6" type="noConversion"/>
  </si>
  <si>
    <t>检验费</t>
    <phoneticPr fontId="6" type="noConversion"/>
  </si>
  <si>
    <t>会务费</t>
  </si>
  <si>
    <t>报损费</t>
    <phoneticPr fontId="6" type="noConversion"/>
  </si>
  <si>
    <t>咨询费</t>
    <phoneticPr fontId="6" type="noConversion"/>
  </si>
  <si>
    <t>诉讼费</t>
    <phoneticPr fontId="6" type="noConversion"/>
  </si>
  <si>
    <t>残联基金</t>
    <phoneticPr fontId="6" type="noConversion"/>
  </si>
  <si>
    <t>内部培训费</t>
    <phoneticPr fontId="6" type="noConversion"/>
  </si>
  <si>
    <t>招聘费</t>
    <phoneticPr fontId="6" type="noConversion"/>
  </si>
  <si>
    <t>上交管理费</t>
    <phoneticPr fontId="6" type="noConversion"/>
  </si>
  <si>
    <t>收取管理费</t>
    <phoneticPr fontId="6" type="noConversion"/>
  </si>
  <si>
    <t>其他</t>
    <phoneticPr fontId="6" type="noConversion"/>
  </si>
  <si>
    <t>管理费用合计</t>
    <phoneticPr fontId="6" type="noConversion"/>
  </si>
  <si>
    <t>营业费用:</t>
    <phoneticPr fontId="6" type="noConversion"/>
  </si>
  <si>
    <t>通讯费</t>
    <phoneticPr fontId="6" type="noConversion"/>
  </si>
  <si>
    <t>运输费</t>
    <phoneticPr fontId="6" type="noConversion"/>
  </si>
  <si>
    <t>会务费</t>
    <phoneticPr fontId="6" type="noConversion"/>
  </si>
  <si>
    <t>租赁费</t>
    <phoneticPr fontId="6" type="noConversion"/>
  </si>
  <si>
    <t>折旧费</t>
    <phoneticPr fontId="6" type="noConversion"/>
  </si>
  <si>
    <t>存货毁损</t>
    <phoneticPr fontId="6" type="noConversion"/>
  </si>
  <si>
    <t>产品检验费</t>
    <phoneticPr fontId="6" type="noConversion"/>
  </si>
  <si>
    <t>运费</t>
    <phoneticPr fontId="6" type="noConversion"/>
  </si>
  <si>
    <t>返利</t>
    <phoneticPr fontId="6" type="noConversion"/>
  </si>
  <si>
    <t>广告费</t>
    <phoneticPr fontId="6" type="noConversion"/>
  </si>
  <si>
    <t>促销费</t>
    <phoneticPr fontId="6" type="noConversion"/>
  </si>
  <si>
    <t>中介机构费</t>
    <phoneticPr fontId="6" type="noConversion"/>
  </si>
  <si>
    <t>内部培训费</t>
    <phoneticPr fontId="6" type="noConversion"/>
  </si>
  <si>
    <t>招聘费</t>
    <phoneticPr fontId="6" type="noConversion"/>
  </si>
  <si>
    <t>其他</t>
    <phoneticPr fontId="6" type="noConversion"/>
  </si>
  <si>
    <t>合计营业费用</t>
    <phoneticPr fontId="6" type="noConversion"/>
  </si>
  <si>
    <t>财务费用:</t>
    <phoneticPr fontId="2" type="noConversion"/>
  </si>
  <si>
    <t>金融手续费</t>
    <phoneticPr fontId="6" type="noConversion"/>
  </si>
  <si>
    <t>汇兑损益</t>
    <phoneticPr fontId="6" type="noConversion"/>
  </si>
  <si>
    <t>贴现利息</t>
    <phoneticPr fontId="6" type="noConversion"/>
  </si>
  <si>
    <t>折扣与折让</t>
    <phoneticPr fontId="6" type="noConversion"/>
  </si>
  <si>
    <t>利息收入</t>
    <phoneticPr fontId="6" type="noConversion"/>
  </si>
  <si>
    <t>财务费用合计</t>
    <phoneticPr fontId="2" type="noConversion"/>
  </si>
  <si>
    <r>
      <rPr>
        <b/>
        <sz val="10"/>
        <color theme="0"/>
        <rFont val="宋体"/>
        <family val="3"/>
        <charset val="134"/>
      </rPr>
      <t>月份</t>
    </r>
    <r>
      <rPr>
        <b/>
        <sz val="10"/>
        <color theme="0"/>
        <rFont val="Times New Roman"/>
        <family val="1"/>
      </rPr>
      <t>:</t>
    </r>
    <phoneticPr fontId="2" type="noConversion"/>
  </si>
  <si>
    <t>2013年三项费用预算表</t>
    <phoneticPr fontId="2" type="noConversion"/>
  </si>
  <si>
    <t>管理费用:</t>
    <phoneticPr fontId="6" type="noConversion"/>
  </si>
  <si>
    <r>
      <t>利息支出</t>
    </r>
    <r>
      <rPr>
        <sz val="10"/>
        <color theme="1"/>
        <rFont val="宋体"/>
        <family val="3"/>
        <charset val="134"/>
      </rPr>
      <t xml:space="preserve"> - USD</t>
    </r>
    <phoneticPr fontId="6" type="noConversion"/>
  </si>
  <si>
    <r>
      <t>利息支出</t>
    </r>
    <r>
      <rPr>
        <sz val="10"/>
        <color theme="1"/>
        <rFont val="宋体"/>
        <family val="3"/>
        <charset val="134"/>
      </rPr>
      <t>- RMB</t>
    </r>
    <phoneticPr fontId="6" type="noConversion"/>
  </si>
  <si>
    <t>预算损益表</t>
    <phoneticPr fontId="2" type="noConversion"/>
  </si>
  <si>
    <t>收入</t>
    <phoneticPr fontId="2" type="noConversion"/>
  </si>
  <si>
    <t>收入合计</t>
    <phoneticPr fontId="2" type="noConversion"/>
  </si>
  <si>
    <t>销售成本</t>
    <phoneticPr fontId="2" type="noConversion"/>
  </si>
  <si>
    <t>直接材料</t>
    <phoneticPr fontId="2" type="noConversion"/>
  </si>
  <si>
    <t>直接人工</t>
    <phoneticPr fontId="2" type="noConversion"/>
  </si>
  <si>
    <t>制造费用</t>
    <phoneticPr fontId="2" type="noConversion"/>
  </si>
  <si>
    <t>销售成本合计</t>
    <phoneticPr fontId="2" type="noConversion"/>
  </si>
  <si>
    <t>材料/销售收入（%）</t>
    <phoneticPr fontId="2" type="noConversion"/>
  </si>
  <si>
    <t>人工/销售收入（%）</t>
    <phoneticPr fontId="2" type="noConversion"/>
  </si>
  <si>
    <t>毛利（%）</t>
    <phoneticPr fontId="2" type="noConversion"/>
  </si>
  <si>
    <t>主营业务利润</t>
    <phoneticPr fontId="2" type="noConversion"/>
  </si>
  <si>
    <t>%销售收入</t>
    <phoneticPr fontId="2" type="noConversion"/>
  </si>
  <si>
    <t>管理费用</t>
    <phoneticPr fontId="2" type="noConversion"/>
  </si>
  <si>
    <t>营业费用</t>
    <phoneticPr fontId="2" type="noConversion"/>
  </si>
  <si>
    <t>财务费用</t>
    <phoneticPr fontId="2" type="noConversion"/>
  </si>
  <si>
    <t>营业利润</t>
    <phoneticPr fontId="2" type="noConversion"/>
  </si>
  <si>
    <t>所得税</t>
    <phoneticPr fontId="2" type="noConversion"/>
  </si>
  <si>
    <t>净利润</t>
    <phoneticPr fontId="2" type="noConversion"/>
  </si>
  <si>
    <t>材料预算</t>
    <phoneticPr fontId="6" type="noConversion"/>
  </si>
  <si>
    <t>月份</t>
    <phoneticPr fontId="2" type="noConversion"/>
  </si>
  <si>
    <t>全年合计</t>
    <phoneticPr fontId="2" type="noConversion"/>
  </si>
  <si>
    <t>人工成本合计</t>
    <phoneticPr fontId="2" type="noConversion"/>
  </si>
  <si>
    <t>直接人工</t>
    <phoneticPr fontId="2" type="noConversion"/>
  </si>
  <si>
    <t>间接人工</t>
    <phoneticPr fontId="2" type="noConversion"/>
  </si>
  <si>
    <t>管理人员</t>
    <phoneticPr fontId="2" type="noConversion"/>
  </si>
  <si>
    <t>制造费用</t>
    <phoneticPr fontId="2" type="noConversion"/>
  </si>
  <si>
    <t>工资</t>
    <phoneticPr fontId="6" type="noConversion"/>
  </si>
  <si>
    <t>职工福利基金</t>
    <phoneticPr fontId="6" type="noConversion"/>
  </si>
  <si>
    <t>保险费</t>
    <phoneticPr fontId="6" type="noConversion"/>
  </si>
  <si>
    <t>社会保险基金</t>
    <phoneticPr fontId="6" type="noConversion"/>
  </si>
  <si>
    <t>差旅费</t>
    <phoneticPr fontId="6" type="noConversion"/>
  </si>
  <si>
    <t>通讯费</t>
    <phoneticPr fontId="6" type="noConversion"/>
  </si>
  <si>
    <t>办公费</t>
    <phoneticPr fontId="6" type="noConversion"/>
  </si>
  <si>
    <t>水</t>
    <phoneticPr fontId="6" type="noConversion"/>
  </si>
  <si>
    <t>电</t>
    <phoneticPr fontId="6" type="noConversion"/>
  </si>
  <si>
    <t>汽</t>
    <phoneticPr fontId="6" type="noConversion"/>
  </si>
  <si>
    <t>空调\暖气</t>
    <phoneticPr fontId="6" type="noConversion"/>
  </si>
  <si>
    <t>维修费</t>
    <phoneticPr fontId="6" type="noConversion"/>
  </si>
  <si>
    <t>机物料消耗</t>
    <phoneticPr fontId="6" type="noConversion"/>
  </si>
  <si>
    <t>清洗费</t>
    <phoneticPr fontId="6" type="noConversion"/>
  </si>
  <si>
    <t>折旧</t>
    <phoneticPr fontId="6" type="noConversion"/>
  </si>
  <si>
    <t>低耗摊销</t>
    <phoneticPr fontId="6" type="noConversion"/>
  </si>
  <si>
    <t>场所租赁费</t>
    <phoneticPr fontId="6" type="noConversion"/>
  </si>
  <si>
    <t>制版费</t>
    <phoneticPr fontId="6" type="noConversion"/>
  </si>
  <si>
    <t>运费</t>
    <phoneticPr fontId="6" type="noConversion"/>
  </si>
  <si>
    <t>质检费</t>
    <phoneticPr fontId="6" type="noConversion"/>
  </si>
  <si>
    <t>内部培训费</t>
    <phoneticPr fontId="6" type="noConversion"/>
  </si>
  <si>
    <t>招聘费</t>
    <phoneticPr fontId="6" type="noConversion"/>
  </si>
  <si>
    <t>会务费</t>
    <phoneticPr fontId="6" type="noConversion"/>
  </si>
  <si>
    <t>合计</t>
    <phoneticPr fontId="2" type="noConversion"/>
  </si>
  <si>
    <r>
      <t>其他</t>
    </r>
    <r>
      <rPr>
        <sz val="11"/>
        <color theme="1"/>
        <rFont val="宋体"/>
        <family val="3"/>
        <charset val="134"/>
      </rPr>
      <t>1</t>
    </r>
    <phoneticPr fontId="6" type="noConversion"/>
  </si>
  <si>
    <r>
      <t>其他</t>
    </r>
    <r>
      <rPr>
        <sz val="11"/>
        <color theme="1"/>
        <rFont val="宋体"/>
        <family val="3"/>
        <charset val="134"/>
      </rPr>
      <t>2</t>
    </r>
    <phoneticPr fontId="6" type="noConversion"/>
  </si>
  <si>
    <t>月份</t>
    <phoneticPr fontId="2" type="noConversion"/>
  </si>
  <si>
    <t>合计</t>
    <phoneticPr fontId="2" type="noConversion"/>
  </si>
  <si>
    <r>
      <t>2013</t>
    </r>
    <r>
      <rPr>
        <b/>
        <sz val="28"/>
        <rFont val="宋体"/>
        <family val="3"/>
        <charset val="134"/>
      </rPr>
      <t>年人工预算表</t>
    </r>
    <phoneticPr fontId="2" type="noConversion"/>
  </si>
  <si>
    <t>2013年预算损益表</t>
    <phoneticPr fontId="2" type="noConversion"/>
  </si>
  <si>
    <t>2012年</t>
    <phoneticPr fontId="2" type="noConversion"/>
  </si>
  <si>
    <t>2013年</t>
    <phoneticPr fontId="2" type="noConversion"/>
  </si>
  <si>
    <t>现金流量预算表</t>
    <phoneticPr fontId="6" type="noConversion"/>
  </si>
  <si>
    <t>1月</t>
    <phoneticPr fontId="6" type="noConversion"/>
  </si>
  <si>
    <t>2月</t>
    <phoneticPr fontId="6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</si>
  <si>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</si>
  <si>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</si>
  <si>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</si>
  <si>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</si>
  <si>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</si>
  <si>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</si>
  <si>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</si>
  <si>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</si>
  <si>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</si>
  <si>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</si>
  <si>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结构增减</t>
    <phoneticPr fontId="2" type="noConversion"/>
  </si>
  <si>
    <t>一、经营活动产生的现金流量</t>
    <phoneticPr fontId="6" type="noConversion"/>
  </si>
  <si>
    <t>销售商品，提供劳务收到的现金</t>
    <phoneticPr fontId="6" type="noConversion"/>
  </si>
  <si>
    <t>收到的税费返还</t>
    <phoneticPr fontId="6" type="noConversion"/>
  </si>
  <si>
    <t>收到的其他与经营活动有关的现金</t>
  </si>
  <si>
    <t>现金流入小计</t>
  </si>
  <si>
    <t>购买商品，接受劳务支付的现金</t>
  </si>
  <si>
    <t>支付给职工以及为职工支付的现金</t>
  </si>
  <si>
    <t>支付的各项税费</t>
    <phoneticPr fontId="6" type="noConversion"/>
  </si>
  <si>
    <t>支付的其他与经营活动有关的现金</t>
  </si>
  <si>
    <t>现金流出小计</t>
  </si>
  <si>
    <t>经营活动产生的现金流量净额</t>
    <phoneticPr fontId="6" type="noConversion"/>
  </si>
  <si>
    <t>二、投资活动产生的现金流量</t>
    <phoneticPr fontId="6" type="noConversion"/>
  </si>
  <si>
    <t>收回投资所收到的现金</t>
  </si>
  <si>
    <t>取得投资收益所收到的现金</t>
    <phoneticPr fontId="6" type="noConversion"/>
  </si>
  <si>
    <t>处置固定资产无形资产其他资产收到的现金净额</t>
  </si>
  <si>
    <t>收到的其他与投资活动有关的现金</t>
  </si>
  <si>
    <t>购建固定资产无形资产其他资产支付的现金</t>
  </si>
  <si>
    <t>投资所支付的现金</t>
    <phoneticPr fontId="6" type="noConversion"/>
  </si>
  <si>
    <t>支付的其他与投资活动有关的现金</t>
  </si>
  <si>
    <t>投资活动产生的现金流量净额</t>
  </si>
  <si>
    <t>三、筹资活动产生的现金流量</t>
    <phoneticPr fontId="6" type="noConversion"/>
  </si>
  <si>
    <t>吸收投资收到的现金</t>
    <phoneticPr fontId="6" type="noConversion"/>
  </si>
  <si>
    <t>借款所收到的现金</t>
  </si>
  <si>
    <t>收到的其他与筹资活动有关的现金</t>
  </si>
  <si>
    <t>偿还债务所支付的现金</t>
    <phoneticPr fontId="6" type="noConversion"/>
  </si>
  <si>
    <t>分配股利利润或偿付利息支付的现金</t>
    <phoneticPr fontId="6" type="noConversion"/>
  </si>
  <si>
    <t>支付的其他与筹资活动有关的现金</t>
  </si>
  <si>
    <t>筹资活动产生的现金流量净额</t>
  </si>
  <si>
    <t>四、现金及现金等价物增加净额</t>
    <phoneticPr fontId="6" type="noConversion"/>
  </si>
  <si>
    <t>2012年</t>
    <phoneticPr fontId="6" type="noConversion"/>
  </si>
  <si>
    <t>2013年现金流量预算表</t>
    <phoneticPr fontId="6" type="noConversion"/>
  </si>
  <si>
    <t>2月</t>
  </si>
  <si>
    <r>
      <t>2013</t>
    </r>
    <r>
      <rPr>
        <b/>
        <sz val="28"/>
        <rFont val="宋体"/>
        <family val="3"/>
        <charset val="134"/>
      </rPr>
      <t>年制造费用预算表</t>
    </r>
    <phoneticPr fontId="2" type="noConversion"/>
  </si>
  <si>
    <t>资产负债表预算</t>
    <phoneticPr fontId="2" type="noConversion"/>
  </si>
  <si>
    <t>1月</t>
    <phoneticPr fontId="2" type="noConversion"/>
  </si>
  <si>
    <t>货币资金</t>
    <phoneticPr fontId="6" type="noConversion"/>
  </si>
  <si>
    <t>盈余资金</t>
    <phoneticPr fontId="6" type="noConversion"/>
  </si>
  <si>
    <t>应收帐款款</t>
    <phoneticPr fontId="6" type="noConversion"/>
  </si>
  <si>
    <t>存货</t>
    <phoneticPr fontId="6" type="noConversion"/>
  </si>
  <si>
    <t>其他流动资产</t>
    <phoneticPr fontId="6" type="noConversion"/>
  </si>
  <si>
    <t>流动资产合计</t>
    <phoneticPr fontId="6" type="noConversion"/>
  </si>
  <si>
    <t>固定资产</t>
    <phoneticPr fontId="6" type="noConversion"/>
  </si>
  <si>
    <t>资产折旧</t>
    <phoneticPr fontId="2" type="noConversion"/>
  </si>
  <si>
    <t>固定资产净值</t>
    <phoneticPr fontId="6" type="noConversion"/>
  </si>
  <si>
    <t>资产合计</t>
    <phoneticPr fontId="2" type="noConversion"/>
  </si>
  <si>
    <t>应付帐款</t>
    <phoneticPr fontId="6" type="noConversion"/>
  </si>
  <si>
    <t>应交税金</t>
    <phoneticPr fontId="6" type="noConversion"/>
  </si>
  <si>
    <t>应付工资</t>
    <phoneticPr fontId="6" type="noConversion"/>
  </si>
  <si>
    <t>其他流动负债</t>
    <phoneticPr fontId="6" type="noConversion"/>
  </si>
  <si>
    <t>流动负债合计</t>
    <phoneticPr fontId="2" type="noConversion"/>
  </si>
  <si>
    <r>
      <t>银行借款</t>
    </r>
    <r>
      <rPr>
        <b/>
        <sz val="10"/>
        <color theme="1"/>
        <rFont val="宋体"/>
        <family val="2"/>
        <charset val="134"/>
        <scheme val="minor"/>
      </rPr>
      <t xml:space="preserve"> - USD</t>
    </r>
    <phoneticPr fontId="6" type="noConversion"/>
  </si>
  <si>
    <r>
      <t>银行借款</t>
    </r>
    <r>
      <rPr>
        <b/>
        <sz val="10"/>
        <color theme="1"/>
        <rFont val="宋体"/>
        <family val="2"/>
        <charset val="134"/>
        <scheme val="minor"/>
      </rPr>
      <t xml:space="preserve"> - RMB</t>
    </r>
    <phoneticPr fontId="6" type="noConversion"/>
  </si>
  <si>
    <r>
      <t xml:space="preserve">  </t>
    </r>
    <r>
      <rPr>
        <b/>
        <sz val="10"/>
        <rFont val="宋体"/>
        <family val="3"/>
        <charset val="134"/>
      </rPr>
      <t>银行借款合计</t>
    </r>
    <phoneticPr fontId="6" type="noConversion"/>
  </si>
  <si>
    <t>负债合计</t>
    <phoneticPr fontId="6" type="noConversion"/>
  </si>
  <si>
    <t>实收资本</t>
    <phoneticPr fontId="6" type="noConversion"/>
  </si>
  <si>
    <t>盈余公积</t>
    <phoneticPr fontId="6" type="noConversion"/>
  </si>
  <si>
    <t>所有者权益</t>
    <phoneticPr fontId="6" type="noConversion"/>
  </si>
  <si>
    <t>负债和所有者权益合计</t>
    <phoneticPr fontId="2" type="noConversion"/>
  </si>
  <si>
    <t>2013年预算资产负债表</t>
    <phoneticPr fontId="2" type="noConversion"/>
  </si>
  <si>
    <t xml:space="preserve">编制单位：                                                                                                                                                                                                                                                    </t>
    <phoneticPr fontId="6" type="noConversion"/>
  </si>
  <si>
    <t>项目名称</t>
  </si>
  <si>
    <t>行次</t>
  </si>
  <si>
    <t>本年预算数</t>
    <phoneticPr fontId="6" type="noConversion"/>
  </si>
  <si>
    <t>一、效益指标：</t>
    <phoneticPr fontId="6" type="noConversion"/>
  </si>
  <si>
    <t>——</t>
    <phoneticPr fontId="6" type="noConversion"/>
  </si>
  <si>
    <t>二、资产运行状况指标：</t>
    <phoneticPr fontId="6" type="noConversion"/>
  </si>
  <si>
    <t>（一）净资产收益率（%）</t>
    <phoneticPr fontId="6" type="noConversion"/>
  </si>
  <si>
    <t>（一）资产增长率（%）</t>
  </si>
  <si>
    <t>（二）主营业务收入增长率（%）</t>
    <phoneticPr fontId="6" type="noConversion"/>
  </si>
  <si>
    <t>（二）速动比率</t>
    <phoneticPr fontId="6" type="noConversion"/>
  </si>
  <si>
    <t>（三）主营业务利润率（%）</t>
    <phoneticPr fontId="6" type="noConversion"/>
  </si>
  <si>
    <t>（三）流动比率</t>
    <phoneticPr fontId="6" type="noConversion"/>
  </si>
  <si>
    <t>（四）利润增长率（%）</t>
    <phoneticPr fontId="6" type="noConversion"/>
  </si>
  <si>
    <t>（四）资产负债率（%）</t>
    <phoneticPr fontId="6" type="noConversion"/>
  </si>
  <si>
    <t>（五）总资产报酬率（%）</t>
    <phoneticPr fontId="6" type="noConversion"/>
  </si>
  <si>
    <t>（五）现金流动负债比率（%）</t>
    <phoneticPr fontId="6" type="noConversion"/>
  </si>
  <si>
    <t>（六）资本收益率（%）</t>
    <phoneticPr fontId="6" type="noConversion"/>
  </si>
  <si>
    <t>（六）所有者权益比率（%）</t>
    <phoneticPr fontId="6" type="noConversion"/>
  </si>
  <si>
    <t>（七）利息保障倍数</t>
    <phoneticPr fontId="6" type="noConversion"/>
  </si>
  <si>
    <t>（七）产权比率（%）</t>
    <phoneticPr fontId="6" type="noConversion"/>
  </si>
  <si>
    <t>（八）成本费用利润率（%）</t>
    <phoneticPr fontId="6" type="noConversion"/>
  </si>
  <si>
    <t>（九）成本费用占营业收入比率（%）</t>
    <phoneticPr fontId="6" type="noConversion"/>
  </si>
  <si>
    <t>（十）人工成本占主营业收入比率（%）</t>
    <phoneticPr fontId="6" type="noConversion"/>
  </si>
  <si>
    <t>（十一）人工成本利润率（%）</t>
    <phoneticPr fontId="6" type="noConversion"/>
  </si>
  <si>
    <t>主要财务指标分析表</t>
    <phoneticPr fontId="6" type="noConversion"/>
  </si>
  <si>
    <t xml:space="preserve">                            2013年度</t>
    <phoneticPr fontId="6" type="noConversion"/>
  </si>
  <si>
    <t>公司名称</t>
    <phoneticPr fontId="2" type="noConversion"/>
  </si>
  <si>
    <t>华云信息有限公司</t>
    <phoneticPr fontId="2" type="noConversion"/>
  </si>
  <si>
    <t>预算年度</t>
    <phoneticPr fontId="2" type="noConversion"/>
  </si>
  <si>
    <t>2013年</t>
    <phoneticPr fontId="2" type="noConversion"/>
  </si>
  <si>
    <t>制表时间</t>
    <phoneticPr fontId="2" type="noConversion"/>
  </si>
  <si>
    <t>公司名称</t>
    <phoneticPr fontId="2" type="noConversion"/>
  </si>
  <si>
    <t>预算年度</t>
    <phoneticPr fontId="2" type="noConversion"/>
  </si>
  <si>
    <t>制表时间</t>
    <phoneticPr fontId="2" type="noConversion"/>
  </si>
  <si>
    <t>公司名称</t>
    <phoneticPr fontId="2" type="noConversion"/>
  </si>
  <si>
    <t>预算年度</t>
    <phoneticPr fontId="2" type="noConversion"/>
  </si>
  <si>
    <t>制表时间</t>
    <phoneticPr fontId="2" type="noConversion"/>
  </si>
  <si>
    <t>B产品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</si>
</sst>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;[Red]\(#,##0.00\)"/>
    <numFmt numFmtId="177" formatCode="#,##0.00000;[Red]\(#,##0.00000\)"/>
    <numFmt numFmtId="178" formatCode="0.0%"/>
    <numFmt numFmtId="179" formatCode="0.00_);[Red]\(0.00\)"/>
    <numFmt numFmtId="180" formatCode="0.0_);[Red]\(0.0\)"/>
    <numFmt numFmtId="181" formatCode="0.0"/>
    <numFmt numFmtId="182" formatCode="#,##0;[Red]\(#,##0\)"/>
    <numFmt numFmtId="183" formatCode="_ * #,##0_ ;_ * \-#,##0_ ;_ * &quot;-&quot;??_ ;_ @_ 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8"/>
      <name val="Times New Roman"/>
      <family val="1"/>
    </font>
    <font>
      <b/>
      <sz val="28"/>
      <name val="宋体"/>
      <family val="3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b/>
      <u/>
      <sz val="10"/>
      <name val="宋体"/>
      <family val="3"/>
      <charset val="134"/>
    </font>
    <font>
      <sz val="10"/>
      <name val="Times New Roman"/>
      <family val="1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sz val="10"/>
      <color indexed="12"/>
      <name val="Times New Roman"/>
      <family val="1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2"/>
      <color indexed="10"/>
      <name val="宋体"/>
      <family val="3"/>
      <charset val="134"/>
    </font>
    <font>
      <b/>
      <sz val="12"/>
      <color theme="0"/>
      <name val="宋体"/>
      <family val="3"/>
      <charset val="134"/>
    </font>
    <font>
      <b/>
      <sz val="20"/>
      <name val="华文中宋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b/>
      <sz val="12"/>
      <name val="宋体"/>
      <family val="3"/>
      <charset val="134"/>
    </font>
    <font>
      <b/>
      <sz val="18"/>
      <name val="宋体"/>
      <family val="3"/>
      <charset val="134"/>
    </font>
    <font>
      <b/>
      <u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0"/>
      <name val="Times New Roman"/>
      <family val="1"/>
    </font>
    <font>
      <b/>
      <sz val="22"/>
      <name val="华文中宋"/>
      <family val="3"/>
      <charset val="134"/>
    </font>
    <font>
      <sz val="10"/>
      <color theme="1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28"/>
      <name val="黑体"/>
      <family val="3"/>
      <charset val="134"/>
    </font>
    <font>
      <sz val="16"/>
      <name val="黑体"/>
      <family val="3"/>
      <charset val="134"/>
    </font>
    <font>
      <b/>
      <sz val="11"/>
      <color theme="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sz val="10"/>
      <color rgb="FF00B0F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00B05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b/>
      <sz val="10"/>
      <color rgb="FF00B0F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AA4FA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40" fillId="0" borderId="0"/>
    <xf numFmtId="0" fontId="39" fillId="0" borderId="0">
      <alignment vertical="center"/>
    </xf>
  </cellStyleXfs>
  <cellXfs count="225">
    <xf numFmtId="0" fontId="0" fillId="0" borderId="0" xfId="0">
      <alignment vertical="center"/>
    </xf>
    <xf numFmtId="0" fontId="5" fillId="0" borderId="0" xfId="0" applyFont="1" applyAlignment="1"/>
    <xf numFmtId="0" fontId="8" fillId="0" borderId="0" xfId="0" applyFont="1" applyAlignment="1"/>
    <xf numFmtId="0" fontId="12" fillId="0" borderId="0" xfId="0" applyFont="1" applyAlignme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9" fontId="5" fillId="0" borderId="0" xfId="2" applyFont="1" applyAlignment="1"/>
    <xf numFmtId="0" fontId="14" fillId="0" borderId="0" xfId="0" quotePrefix="1" applyFont="1" applyAlignment="1">
      <alignment horizontal="left"/>
    </xf>
    <xf numFmtId="0" fontId="15" fillId="0" borderId="0" xfId="0" quotePrefix="1" applyFont="1" applyAlignment="1">
      <alignment horizontal="left"/>
    </xf>
    <xf numFmtId="0" fontId="13" fillId="0" borderId="0" xfId="0" applyFont="1" applyAlignment="1"/>
    <xf numFmtId="0" fontId="13" fillId="0" borderId="4" xfId="0" applyNumberFormat="1" applyFont="1" applyBorder="1" applyAlignment="1" applyProtection="1">
      <alignment horizontal="center"/>
      <protection locked="0"/>
    </xf>
    <xf numFmtId="0" fontId="13" fillId="0" borderId="4" xfId="0" applyNumberFormat="1" applyFont="1" applyBorder="1" applyAlignment="1">
      <alignment horizontal="center"/>
    </xf>
    <xf numFmtId="0" fontId="13" fillId="0" borderId="0" xfId="0" quotePrefix="1" applyFont="1" applyAlignment="1">
      <alignment horizontal="left"/>
    </xf>
    <xf numFmtId="176" fontId="17" fillId="0" borderId="0" xfId="0" applyNumberFormat="1" applyFont="1" applyAlignment="1"/>
    <xf numFmtId="0" fontId="17" fillId="0" borderId="0" xfId="0" applyFont="1" applyAlignment="1"/>
    <xf numFmtId="176" fontId="8" fillId="0" borderId="0" xfId="0" applyNumberFormat="1" applyFont="1" applyAlignment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176" fontId="18" fillId="0" borderId="0" xfId="0" applyNumberFormat="1" applyFont="1" applyAlignment="1" applyProtection="1">
      <protection locked="0"/>
    </xf>
    <xf numFmtId="176" fontId="16" fillId="0" borderId="0" xfId="0" applyNumberFormat="1" applyFont="1" applyAlignment="1"/>
    <xf numFmtId="0" fontId="12" fillId="0" borderId="0" xfId="0" applyFont="1" applyAlignment="1">
      <alignment horizontal="left"/>
    </xf>
    <xf numFmtId="177" fontId="17" fillId="0" borderId="0" xfId="0" applyNumberFormat="1" applyFont="1" applyAlignment="1"/>
    <xf numFmtId="0" fontId="16" fillId="0" borderId="0" xfId="0" applyFont="1" applyAlignment="1"/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/>
    <xf numFmtId="0" fontId="14" fillId="0" borderId="0" xfId="0" applyFont="1" applyAlignment="1"/>
    <xf numFmtId="38" fontId="0" fillId="0" borderId="0" xfId="0" applyNumberFormat="1" applyAlignment="1"/>
    <xf numFmtId="0" fontId="0" fillId="0" borderId="0" xfId="0" applyAlignment="1"/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49" fontId="23" fillId="3" borderId="4" xfId="0" applyNumberFormat="1" applyFont="1" applyFill="1" applyBorder="1" applyAlignment="1">
      <alignment horizontal="center" vertical="center"/>
    </xf>
    <xf numFmtId="49" fontId="23" fillId="3" borderId="4" xfId="0" applyNumberFormat="1" applyFont="1" applyFill="1" applyBorder="1" applyAlignment="1">
      <alignment horizontal="centerContinuous" vertical="center"/>
    </xf>
    <xf numFmtId="0" fontId="9" fillId="3" borderId="5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1" fillId="3" borderId="0" xfId="0" quotePrefix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178" fontId="15" fillId="5" borderId="0" xfId="2" applyNumberFormat="1" applyFont="1" applyFill="1" applyAlignment="1">
      <alignment vertical="center"/>
    </xf>
    <xf numFmtId="178" fontId="20" fillId="5" borderId="0" xfId="2" applyNumberFormat="1" applyFont="1" applyFill="1" applyAlignme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vertical="center"/>
    </xf>
    <xf numFmtId="9" fontId="14" fillId="0" borderId="0" xfId="2" applyFont="1" applyAlignment="1">
      <alignment vertical="center"/>
    </xf>
    <xf numFmtId="0" fontId="25" fillId="3" borderId="2" xfId="0" applyFont="1" applyFill="1" applyBorder="1" applyAlignment="1">
      <alignment horizontal="center" vertical="center"/>
    </xf>
    <xf numFmtId="181" fontId="9" fillId="3" borderId="4" xfId="0" applyNumberFormat="1" applyFont="1" applyFill="1" applyBorder="1" applyAlignment="1">
      <alignment horizontal="left" vertical="center"/>
    </xf>
    <xf numFmtId="49" fontId="27" fillId="3" borderId="4" xfId="0" applyNumberFormat="1" applyFont="1" applyFill="1" applyBorder="1" applyAlignment="1">
      <alignment horizontal="center" vertical="center"/>
    </xf>
    <xf numFmtId="2" fontId="29" fillId="0" borderId="4" xfId="0" applyNumberFormat="1" applyFont="1" applyFill="1" applyBorder="1" applyAlignment="1">
      <alignment vertical="center"/>
    </xf>
    <xf numFmtId="9" fontId="29" fillId="0" borderId="4" xfId="2" applyFont="1" applyFill="1" applyBorder="1" applyAlignment="1">
      <alignment vertical="center"/>
    </xf>
    <xf numFmtId="0" fontId="29" fillId="0" borderId="4" xfId="0" applyFont="1" applyFill="1" applyBorder="1" applyAlignment="1">
      <alignment vertical="center"/>
    </xf>
    <xf numFmtId="0" fontId="25" fillId="3" borderId="6" xfId="0" applyFont="1" applyFill="1" applyBorder="1" applyAlignment="1">
      <alignment horizontal="center" vertical="center"/>
    </xf>
    <xf numFmtId="176" fontId="18" fillId="0" borderId="0" xfId="0" applyNumberFormat="1" applyFont="1" applyFill="1" applyBorder="1" applyAlignment="1" applyProtection="1">
      <alignment vertical="center"/>
      <protection locked="0"/>
    </xf>
    <xf numFmtId="176" fontId="18" fillId="0" borderId="0" xfId="3" applyNumberFormat="1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vertical="center"/>
    </xf>
    <xf numFmtId="176" fontId="10" fillId="4" borderId="3" xfId="3" applyNumberFormat="1" applyFont="1" applyFill="1" applyBorder="1" applyAlignment="1">
      <alignment vertical="center"/>
    </xf>
    <xf numFmtId="176" fontId="10" fillId="4" borderId="4" xfId="3" applyNumberFormat="1" applyFont="1" applyFill="1" applyBorder="1" applyAlignment="1">
      <alignment vertical="center"/>
    </xf>
    <xf numFmtId="181" fontId="14" fillId="4" borderId="3" xfId="0" applyNumberFormat="1" applyFont="1" applyFill="1" applyBorder="1" applyAlignment="1">
      <alignment vertical="center"/>
    </xf>
    <xf numFmtId="181" fontId="14" fillId="4" borderId="4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9" fontId="14" fillId="0" borderId="4" xfId="2" applyFont="1" applyBorder="1" applyAlignment="1">
      <alignment vertical="center"/>
    </xf>
    <xf numFmtId="49" fontId="27" fillId="3" borderId="6" xfId="0" applyNumberFormat="1" applyFont="1" applyFill="1" applyBorder="1" applyAlignment="1">
      <alignment horizontal="center" vertical="center"/>
    </xf>
    <xf numFmtId="0" fontId="28" fillId="3" borderId="4" xfId="0" applyFont="1" applyFill="1" applyBorder="1">
      <alignment vertical="center"/>
    </xf>
    <xf numFmtId="0" fontId="14" fillId="0" borderId="4" xfId="0" applyFont="1" applyBorder="1" applyAlignment="1">
      <alignment horizontal="center" vertical="center"/>
    </xf>
    <xf numFmtId="182" fontId="20" fillId="0" borderId="4" xfId="0" applyNumberFormat="1" applyFont="1" applyBorder="1" applyAlignment="1">
      <alignment horizontal="center" vertical="center"/>
    </xf>
    <xf numFmtId="182" fontId="15" fillId="0" borderId="4" xfId="0" applyNumberFormat="1" applyFont="1" applyBorder="1" applyAlignment="1">
      <alignment horizontal="center" vertical="center"/>
    </xf>
    <xf numFmtId="182" fontId="20" fillId="7" borderId="4" xfId="0" applyNumberFormat="1" applyFont="1" applyFill="1" applyBorder="1" applyAlignment="1">
      <alignment horizontal="center" vertical="center"/>
    </xf>
    <xf numFmtId="182" fontId="34" fillId="3" borderId="4" xfId="0" applyNumberFormat="1" applyFont="1" applyFill="1" applyBorder="1" applyAlignment="1">
      <alignment horizontal="center" vertical="center"/>
    </xf>
    <xf numFmtId="182" fontId="27" fillId="3" borderId="4" xfId="0" applyNumberFormat="1" applyFont="1" applyFill="1" applyBorder="1" applyAlignment="1">
      <alignment horizontal="center" vertical="center"/>
    </xf>
    <xf numFmtId="0" fontId="29" fillId="0" borderId="0" xfId="0" applyFont="1">
      <alignment vertical="center"/>
    </xf>
    <xf numFmtId="0" fontId="33" fillId="6" borderId="4" xfId="0" applyFont="1" applyFill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182" fontId="27" fillId="7" borderId="4" xfId="0" applyNumberFormat="1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center" vertical="center"/>
    </xf>
    <xf numFmtId="182" fontId="15" fillId="0" borderId="4" xfId="0" applyNumberFormat="1" applyFont="1" applyFill="1" applyBorder="1" applyAlignment="1">
      <alignment horizontal="center" vertical="center"/>
    </xf>
    <xf numFmtId="182" fontId="36" fillId="0" borderId="4" xfId="0" applyNumberFormat="1" applyFont="1" applyBorder="1" applyAlignment="1">
      <alignment horizontal="center" vertical="center"/>
    </xf>
    <xf numFmtId="182" fontId="15" fillId="7" borderId="4" xfId="0" applyNumberFormat="1" applyFont="1" applyFill="1" applyBorder="1" applyAlignment="1">
      <alignment horizontal="center" vertical="center"/>
    </xf>
    <xf numFmtId="179" fontId="15" fillId="7" borderId="4" xfId="0" applyNumberFormat="1" applyFont="1" applyFill="1" applyBorder="1" applyAlignment="1">
      <alignment horizontal="center" vertical="center"/>
    </xf>
    <xf numFmtId="179" fontId="15" fillId="0" borderId="4" xfId="0" applyNumberFormat="1" applyFont="1" applyFill="1" applyBorder="1" applyAlignment="1">
      <alignment horizontal="center" vertical="center"/>
    </xf>
    <xf numFmtId="0" fontId="15" fillId="8" borderId="4" xfId="0" applyNumberFormat="1" applyFont="1" applyFill="1" applyBorder="1" applyAlignment="1">
      <alignment horizontal="center" vertical="center"/>
    </xf>
    <xf numFmtId="182" fontId="15" fillId="8" borderId="4" xfId="0" applyNumberFormat="1" applyFont="1" applyFill="1" applyBorder="1" applyAlignment="1">
      <alignment horizontal="center" vertical="center"/>
    </xf>
    <xf numFmtId="179" fontId="36" fillId="2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2" fontId="16" fillId="0" borderId="0" xfId="0" applyNumberFormat="1" applyFont="1" applyFill="1" applyBorder="1" applyAlignment="1">
      <alignment horizontal="center" vertical="center"/>
    </xf>
    <xf numFmtId="182" fontId="39" fillId="0" borderId="0" xfId="0" applyNumberFormat="1" applyFont="1" applyFill="1" applyBorder="1" applyAlignment="1">
      <alignment horizontal="center" vertical="center"/>
    </xf>
    <xf numFmtId="182" fontId="30" fillId="10" borderId="4" xfId="0" applyNumberFormat="1" applyFont="1" applyFill="1" applyBorder="1" applyAlignment="1">
      <alignment horizontal="center" vertical="center"/>
    </xf>
    <xf numFmtId="182" fontId="39" fillId="0" borderId="4" xfId="0" applyNumberFormat="1" applyFont="1" applyBorder="1" applyAlignment="1">
      <alignment horizontal="center" vertical="center"/>
    </xf>
    <xf numFmtId="0" fontId="39" fillId="0" borderId="4" xfId="4" applyFont="1" applyBorder="1" applyAlignment="1">
      <alignment horizontal="center" vertical="center"/>
    </xf>
    <xf numFmtId="38" fontId="30" fillId="0" borderId="4" xfId="0" applyNumberFormat="1" applyFont="1" applyFill="1" applyBorder="1" applyAlignment="1">
      <alignment horizontal="center" vertical="center"/>
    </xf>
    <xf numFmtId="182" fontId="30" fillId="0" borderId="4" xfId="0" applyNumberFormat="1" applyFont="1" applyFill="1" applyBorder="1" applyAlignment="1">
      <alignment horizontal="center" vertical="center"/>
    </xf>
    <xf numFmtId="182" fontId="23" fillId="3" borderId="4" xfId="0" applyNumberFormat="1" applyFont="1" applyFill="1" applyBorder="1" applyAlignment="1">
      <alignment horizontal="center" vertical="center"/>
    </xf>
    <xf numFmtId="182" fontId="39" fillId="0" borderId="4" xfId="0" applyNumberFormat="1" applyFont="1" applyFill="1" applyBorder="1" applyAlignment="1">
      <alignment horizontal="center" vertical="center"/>
    </xf>
    <xf numFmtId="182" fontId="39" fillId="9" borderId="4" xfId="0" applyNumberFormat="1" applyFont="1" applyFill="1" applyBorder="1" applyAlignment="1">
      <alignment horizontal="center" vertical="center"/>
    </xf>
    <xf numFmtId="179" fontId="9" fillId="0" borderId="4" xfId="0" applyNumberFormat="1" applyFont="1" applyFill="1" applyBorder="1" applyAlignment="1">
      <alignment horizontal="left" vertical="center"/>
    </xf>
    <xf numFmtId="179" fontId="14" fillId="0" borderId="4" xfId="0" applyNumberFormat="1" applyFont="1" applyFill="1" applyBorder="1" applyAlignment="1">
      <alignment vertical="center"/>
    </xf>
    <xf numFmtId="179" fontId="13" fillId="0" borderId="4" xfId="0" applyNumberFormat="1" applyFont="1" applyFill="1" applyBorder="1" applyAlignment="1"/>
    <xf numFmtId="0" fontId="28" fillId="3" borderId="8" xfId="0" applyFont="1" applyFill="1" applyBorder="1" applyAlignment="1">
      <alignment horizontal="center" vertical="center"/>
    </xf>
    <xf numFmtId="183" fontId="14" fillId="0" borderId="4" xfId="1" applyNumberFormat="1" applyFont="1" applyBorder="1" applyAlignment="1">
      <alignment horizontal="center" vertical="center"/>
    </xf>
    <xf numFmtId="9" fontId="14" fillId="6" borderId="4" xfId="2" applyFont="1" applyFill="1" applyBorder="1" applyAlignment="1">
      <alignment horizontal="center" vertical="center"/>
    </xf>
    <xf numFmtId="9" fontId="14" fillId="0" borderId="4" xfId="2" applyFont="1" applyBorder="1" applyAlignment="1">
      <alignment horizontal="center" vertical="center"/>
    </xf>
    <xf numFmtId="9" fontId="0" fillId="0" borderId="11" xfId="2" applyFont="1" applyBorder="1" applyAlignment="1">
      <alignment horizontal="center" vertical="center"/>
    </xf>
    <xf numFmtId="9" fontId="29" fillId="6" borderId="13" xfId="2" applyFont="1" applyFill="1" applyBorder="1" applyAlignment="1">
      <alignment horizontal="center" vertical="center"/>
    </xf>
    <xf numFmtId="9" fontId="14" fillId="0" borderId="13" xfId="2" applyFont="1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  <xf numFmtId="0" fontId="39" fillId="0" borderId="0" xfId="5">
      <alignment vertical="center"/>
    </xf>
    <xf numFmtId="0" fontId="20" fillId="0" borderId="4" xfId="5" applyFont="1" applyBorder="1">
      <alignment vertical="center"/>
    </xf>
    <xf numFmtId="0" fontId="39" fillId="0" borderId="0" xfId="5" applyFont="1">
      <alignment vertical="center"/>
    </xf>
    <xf numFmtId="0" fontId="15" fillId="0" borderId="4" xfId="5" applyFont="1" applyBorder="1">
      <alignment vertical="center"/>
    </xf>
    <xf numFmtId="44" fontId="39" fillId="0" borderId="0" xfId="5" applyNumberFormat="1">
      <alignment vertical="center"/>
    </xf>
    <xf numFmtId="41" fontId="20" fillId="0" borderId="4" xfId="5" applyNumberFormat="1" applyFont="1" applyBorder="1" applyAlignment="1">
      <alignment horizontal="center" vertical="center"/>
    </xf>
    <xf numFmtId="41" fontId="15" fillId="0" borderId="4" xfId="5" applyNumberFormat="1" applyFont="1" applyBorder="1" applyAlignment="1">
      <alignment horizontal="center" vertical="center"/>
    </xf>
    <xf numFmtId="41" fontId="15" fillId="0" borderId="4" xfId="1" applyNumberFormat="1" applyFont="1" applyFill="1" applyBorder="1" applyAlignment="1">
      <alignment horizontal="center" vertical="center"/>
    </xf>
    <xf numFmtId="41" fontId="15" fillId="0" borderId="4" xfId="1" applyNumberFormat="1" applyFont="1" applyBorder="1" applyAlignment="1">
      <alignment horizontal="center" vertical="center"/>
    </xf>
    <xf numFmtId="41" fontId="20" fillId="6" borderId="4" xfId="1" applyNumberFormat="1" applyFont="1" applyFill="1" applyBorder="1" applyAlignment="1">
      <alignment horizontal="center" vertical="center"/>
    </xf>
    <xf numFmtId="41" fontId="13" fillId="0" borderId="4" xfId="5" applyNumberFormat="1" applyFont="1" applyFill="1" applyBorder="1" applyAlignment="1">
      <alignment horizontal="center" vertical="center"/>
    </xf>
    <xf numFmtId="41" fontId="15" fillId="6" borderId="4" xfId="1" applyNumberFormat="1" applyFont="1" applyFill="1" applyBorder="1" applyAlignment="1">
      <alignment horizontal="center" vertical="center"/>
    </xf>
    <xf numFmtId="41" fontId="15" fillId="5" borderId="4" xfId="1" applyNumberFormat="1" applyFont="1" applyFill="1" applyBorder="1" applyAlignment="1">
      <alignment horizontal="center" vertical="center"/>
    </xf>
    <xf numFmtId="41" fontId="15" fillId="4" borderId="4" xfId="1" applyNumberFormat="1" applyFont="1" applyFill="1" applyBorder="1" applyAlignment="1">
      <alignment horizontal="center" vertical="center"/>
    </xf>
    <xf numFmtId="41" fontId="20" fillId="6" borderId="4" xfId="5" applyNumberFormat="1" applyFont="1" applyFill="1" applyBorder="1" applyAlignment="1">
      <alignment horizontal="center" vertical="center"/>
    </xf>
    <xf numFmtId="0" fontId="15" fillId="4" borderId="4" xfId="5" applyFont="1" applyFill="1" applyBorder="1" applyAlignment="1">
      <alignment horizontal="center"/>
    </xf>
    <xf numFmtId="0" fontId="15" fillId="6" borderId="4" xfId="5" applyFont="1" applyFill="1" applyBorder="1">
      <alignment vertical="center"/>
    </xf>
    <xf numFmtId="0" fontId="15" fillId="5" borderId="4" xfId="5" applyFont="1" applyFill="1" applyBorder="1" applyAlignment="1">
      <alignment horizontal="center"/>
    </xf>
    <xf numFmtId="0" fontId="20" fillId="6" borderId="4" xfId="5" applyFont="1" applyFill="1" applyBorder="1">
      <alignment vertical="center"/>
    </xf>
    <xf numFmtId="0" fontId="20" fillId="6" borderId="4" xfId="5" applyFont="1" applyFill="1" applyBorder="1" applyAlignment="1">
      <alignment horizontal="center" vertical="center"/>
    </xf>
    <xf numFmtId="179" fontId="15" fillId="0" borderId="4" xfId="5" applyNumberFormat="1" applyFont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/>
    </xf>
    <xf numFmtId="0" fontId="43" fillId="0" borderId="4" xfId="0" applyFont="1" applyBorder="1">
      <alignment vertical="center"/>
    </xf>
    <xf numFmtId="0" fontId="46" fillId="3" borderId="4" xfId="0" applyFont="1" applyFill="1" applyBorder="1" applyAlignment="1">
      <alignment horizontal="center" vertical="center"/>
    </xf>
    <xf numFmtId="0" fontId="20" fillId="4" borderId="4" xfId="0" applyFont="1" applyFill="1" applyBorder="1" applyAlignment="1"/>
    <xf numFmtId="182" fontId="26" fillId="0" borderId="4" xfId="0" applyNumberFormat="1" applyFont="1" applyBorder="1" applyAlignment="1">
      <alignment horizontal="center" vertical="center"/>
    </xf>
    <xf numFmtId="182" fontId="14" fillId="0" borderId="4" xfId="0" applyNumberFormat="1" applyFont="1" applyBorder="1">
      <alignment vertical="center"/>
    </xf>
    <xf numFmtId="182" fontId="26" fillId="0" borderId="4" xfId="0" applyNumberFormat="1" applyFont="1" applyBorder="1">
      <alignment vertical="center"/>
    </xf>
    <xf numFmtId="0" fontId="20" fillId="4" borderId="4" xfId="0" quotePrefix="1" applyFont="1" applyFill="1" applyBorder="1" applyAlignment="1">
      <alignment horizontal="left"/>
    </xf>
    <xf numFmtId="0" fontId="19" fillId="4" borderId="4" xfId="0" applyFont="1" applyFill="1" applyBorder="1" applyAlignment="1"/>
    <xf numFmtId="0" fontId="45" fillId="4" borderId="4" xfId="0" applyFont="1" applyFill="1" applyBorder="1" applyAlignment="1"/>
    <xf numFmtId="0" fontId="42" fillId="4" borderId="4" xfId="0" applyFont="1" applyFill="1" applyBorder="1" applyAlignment="1">
      <alignment horizontal="centerContinuous"/>
    </xf>
    <xf numFmtId="182" fontId="26" fillId="4" borderId="4" xfId="0" applyNumberFormat="1" applyFont="1" applyFill="1" applyBorder="1" applyAlignment="1">
      <alignment horizontal="center" vertical="center"/>
    </xf>
    <xf numFmtId="182" fontId="14" fillId="4" borderId="4" xfId="0" applyNumberFormat="1" applyFont="1" applyFill="1" applyBorder="1">
      <alignment vertical="center"/>
    </xf>
    <xf numFmtId="182" fontId="26" fillId="4" borderId="4" xfId="0" applyNumberFormat="1" applyFont="1" applyFill="1" applyBorder="1">
      <alignment vertical="center"/>
    </xf>
    <xf numFmtId="0" fontId="20" fillId="4" borderId="4" xfId="0" applyFont="1" applyFill="1" applyBorder="1" applyAlignment="1">
      <alignment horizontal="left"/>
    </xf>
    <xf numFmtId="0" fontId="48" fillId="0" borderId="0" xfId="0" applyFont="1" applyFill="1" applyAlignment="1">
      <alignment horizontal="center" vertical="center"/>
    </xf>
    <xf numFmtId="0" fontId="0" fillId="0" borderId="0" xfId="0" applyFill="1" applyAlignment="1"/>
    <xf numFmtId="0" fontId="15" fillId="0" borderId="15" xfId="0" applyFont="1" applyFill="1" applyBorder="1" applyAlignment="1">
      <alignment horizontal="left" vertical="center"/>
    </xf>
    <xf numFmtId="0" fontId="15" fillId="0" borderId="15" xfId="0" applyFont="1" applyFill="1" applyBorder="1" applyAlignment="1">
      <alignment horizontal="right" vertical="center"/>
    </xf>
    <xf numFmtId="0" fontId="0" fillId="0" borderId="15" xfId="0" applyFill="1" applyBorder="1" applyAlignment="1"/>
    <xf numFmtId="0" fontId="15" fillId="0" borderId="0" xfId="0" applyFont="1" applyFill="1" applyBorder="1" applyAlignment="1"/>
    <xf numFmtId="0" fontId="15" fillId="0" borderId="0" xfId="0" applyFont="1" applyFill="1" applyAlignment="1"/>
    <xf numFmtId="0" fontId="20" fillId="0" borderId="10" xfId="0" applyFont="1" applyFill="1" applyBorder="1" applyAlignment="1">
      <alignment vertical="center"/>
    </xf>
    <xf numFmtId="0" fontId="15" fillId="0" borderId="4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vertical="center"/>
    </xf>
    <xf numFmtId="10" fontId="15" fillId="0" borderId="4" xfId="2" applyNumberFormat="1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vertical="center"/>
    </xf>
    <xf numFmtId="10" fontId="15" fillId="0" borderId="11" xfId="2" applyNumberFormat="1" applyFont="1" applyFill="1" applyBorder="1" applyAlignment="1">
      <alignment horizontal="center" vertical="center"/>
    </xf>
    <xf numFmtId="178" fontId="15" fillId="0" borderId="11" xfId="2" applyNumberFormat="1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0" fontId="15" fillId="0" borderId="13" xfId="0" applyFont="1" applyFill="1" applyBorder="1" applyAlignment="1">
      <alignment horizontal="center" vertical="center"/>
    </xf>
    <xf numFmtId="178" fontId="15" fillId="0" borderId="13" xfId="2" applyNumberFormat="1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vertical="top" wrapText="1"/>
    </xf>
    <xf numFmtId="0" fontId="49" fillId="3" borderId="7" xfId="0" applyFont="1" applyFill="1" applyBorder="1" applyAlignment="1">
      <alignment horizontal="center" vertical="center"/>
    </xf>
    <xf numFmtId="0" fontId="49" fillId="3" borderId="8" xfId="0" applyFont="1" applyFill="1" applyBorder="1" applyAlignment="1">
      <alignment horizontal="center" vertical="center"/>
    </xf>
    <xf numFmtId="0" fontId="49" fillId="3" borderId="9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15" fillId="0" borderId="16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9" fontId="50" fillId="0" borderId="4" xfId="2" applyFont="1" applyBorder="1" applyAlignment="1" applyProtection="1">
      <alignment horizontal="center" vertical="center"/>
      <protection locked="0"/>
    </xf>
    <xf numFmtId="9" fontId="51" fillId="0" borderId="4" xfId="2" applyFont="1" applyBorder="1" applyAlignment="1" applyProtection="1">
      <alignment horizontal="center" vertical="center"/>
      <protection locked="0"/>
    </xf>
    <xf numFmtId="9" fontId="52" fillId="0" borderId="4" xfId="2" applyFont="1" applyBorder="1" applyAlignment="1" applyProtection="1">
      <alignment horizontal="center" vertical="center"/>
      <protection locked="0"/>
    </xf>
    <xf numFmtId="0" fontId="53" fillId="0" borderId="4" xfId="0" applyFont="1" applyBorder="1">
      <alignment vertical="center"/>
    </xf>
    <xf numFmtId="176" fontId="9" fillId="0" borderId="4" xfId="0" applyNumberFormat="1" applyFont="1" applyBorder="1" applyAlignment="1">
      <alignment horizontal="center" vertical="center"/>
    </xf>
    <xf numFmtId="9" fontId="54" fillId="0" borderId="4" xfId="2" applyFont="1" applyBorder="1" applyAlignment="1" applyProtection="1">
      <alignment horizontal="center" vertical="center"/>
      <protection locked="0"/>
    </xf>
    <xf numFmtId="0" fontId="11" fillId="4" borderId="4" xfId="0" applyNumberFormat="1" applyFont="1" applyFill="1" applyBorder="1" applyAlignment="1">
      <alignment horizontal="center" vertical="center"/>
    </xf>
    <xf numFmtId="180" fontId="15" fillId="12" borderId="4" xfId="0" applyNumberFormat="1" applyFont="1" applyFill="1" applyBorder="1" applyAlignment="1">
      <alignment horizontal="center" vertical="center"/>
    </xf>
    <xf numFmtId="9" fontId="55" fillId="0" borderId="4" xfId="2" applyFont="1" applyBorder="1" applyAlignment="1">
      <alignment vertical="center"/>
    </xf>
    <xf numFmtId="9" fontId="56" fillId="0" borderId="4" xfId="2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0" fillId="12" borderId="4" xfId="0" applyFill="1" applyBorder="1" applyAlignment="1">
      <alignment horizontal="center" vertical="center"/>
    </xf>
    <xf numFmtId="183" fontId="14" fillId="12" borderId="4" xfId="1" applyNumberFormat="1" applyFont="1" applyFill="1" applyBorder="1" applyAlignment="1">
      <alignment horizontal="center" vertical="center"/>
    </xf>
    <xf numFmtId="0" fontId="14" fillId="12" borderId="4" xfId="0" applyFont="1" applyFill="1" applyBorder="1" applyAlignment="1">
      <alignment horizontal="center" vertical="center"/>
    </xf>
    <xf numFmtId="0" fontId="38" fillId="5" borderId="8" xfId="0" applyFont="1" applyFill="1" applyBorder="1" applyAlignment="1">
      <alignment horizontal="center" vertical="center"/>
    </xf>
    <xf numFmtId="0" fontId="38" fillId="11" borderId="9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83" fontId="0" fillId="4" borderId="11" xfId="1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/>
    </xf>
    <xf numFmtId="0" fontId="15" fillId="0" borderId="16" xfId="0" applyFont="1" applyBorder="1" applyAlignment="1">
      <alignment horizontal="left" vertical="center"/>
    </xf>
    <xf numFmtId="14" fontId="15" fillId="0" borderId="16" xfId="0" applyNumberFormat="1" applyFont="1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0" fontId="31" fillId="0" borderId="1" xfId="5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7" fillId="0" borderId="0" xfId="0" applyFont="1" applyFill="1" applyAlignment="1">
      <alignment horizontal="center" vertical="center"/>
    </xf>
  </cellXfs>
  <cellStyles count="6">
    <cellStyle name="Normal_dept-bugdet2000-salary" xfId="4"/>
    <cellStyle name="百分比" xfId="2" builtinId="5"/>
    <cellStyle name="百分比 2" xfId="3"/>
    <cellStyle name="常规" xfId="0" builtinId="0"/>
    <cellStyle name="常规_现金流量表" xfId="5"/>
    <cellStyle name="千位分隔" xfId="1" builtinId="3"/>
  </cellStyles>
  <dxfs count="0"/>
  <tableStyles count="0" defaultTableStyle="TableStyleMedium2" defaultPivotStyle="PivotStyleLight16"/>
  <colors>
    <mruColors>
      <color rgb="FF99FF33"/>
      <color rgb="FFFAA4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三项费用趋势图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三项费用预算表!$A$8</c:f>
              <c:strCache>
                <c:ptCount val="1"/>
                <c:pt idx="0">
                  <c:v>三项费用合计: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00B0F0"/>
                </a:solidFill>
              </a:ln>
            </c:spPr>
          </c:marker>
          <c:val>
            <c:numRef>
              <c:f>三项费用预算表!$B$8:$M$8</c:f>
              <c:numCache>
                <c:formatCode>0.00_);[Red]\(0.00\)</c:formatCode>
                <c:ptCount val="12"/>
                <c:pt idx="0">
                  <c:v>9665.99</c:v>
                </c:pt>
                <c:pt idx="1">
                  <c:v>9629.49</c:v>
                </c:pt>
                <c:pt idx="2">
                  <c:v>9629.49</c:v>
                </c:pt>
                <c:pt idx="3">
                  <c:v>9628.49</c:v>
                </c:pt>
                <c:pt idx="4">
                  <c:v>9628.49</c:v>
                </c:pt>
                <c:pt idx="5">
                  <c:v>9628.49</c:v>
                </c:pt>
                <c:pt idx="6">
                  <c:v>9679.98</c:v>
                </c:pt>
                <c:pt idx="7">
                  <c:v>9691.98</c:v>
                </c:pt>
                <c:pt idx="8">
                  <c:v>9693.98</c:v>
                </c:pt>
                <c:pt idx="9">
                  <c:v>9693.98</c:v>
                </c:pt>
                <c:pt idx="10">
                  <c:v>9682.98</c:v>
                </c:pt>
                <c:pt idx="11">
                  <c:v>9670.98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341632"/>
        <c:axId val="227007488"/>
      </c:lineChart>
      <c:catAx>
        <c:axId val="226341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27007488"/>
        <c:crosses val="autoZero"/>
        <c:auto val="1"/>
        <c:lblAlgn val="ctr"/>
        <c:lblOffset val="100"/>
        <c:noMultiLvlLbl val="0"/>
      </c:catAx>
      <c:valAx>
        <c:axId val="227007488"/>
        <c:scaling>
          <c:orientation val="minMax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226341632"/>
        <c:crosses val="autoZero"/>
        <c:crossBetween val="between"/>
      </c:valAx>
    </c:plotArea>
    <c:plotVisOnly val="1"/>
    <c:dispBlanksAs val="gap"/>
    <c:showDLblsOverMax val="0"/>
  </c:chart>
  <c:spPr>
    <a:gradFill>
      <a:gsLst>
        <a:gs pos="0">
          <a:srgbClr val="FC9FCB"/>
        </a:gs>
        <a:gs pos="13000">
          <a:srgbClr val="F8B049"/>
        </a:gs>
        <a:gs pos="21001">
          <a:srgbClr val="F8B049"/>
        </a:gs>
        <a:gs pos="63000">
          <a:srgbClr val="FEE7F2"/>
        </a:gs>
        <a:gs pos="67000">
          <a:srgbClr val="F952A0"/>
        </a:gs>
        <a:gs pos="69000">
          <a:srgbClr val="C50849"/>
        </a:gs>
        <a:gs pos="82001">
          <a:srgbClr val="B43E85"/>
        </a:gs>
        <a:gs pos="100000">
          <a:srgbClr val="F8B049"/>
        </a:gs>
      </a:gsLst>
      <a:lin ang="5400000" scaled="0"/>
    </a:gra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三项费用结构图</a:t>
            </a:r>
          </a:p>
        </c:rich>
      </c:tx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</c:spPr>
          </c:dPt>
          <c:dPt>
            <c:idx val="1"/>
            <c:bubble3D val="0"/>
            <c:spPr>
              <a:solidFill>
                <a:srgbClr val="00B050"/>
              </a:solidFill>
            </c:spPr>
          </c:dPt>
          <c:dPt>
            <c:idx val="2"/>
            <c:bubble3D val="0"/>
            <c:spPr>
              <a:solidFill>
                <a:srgbClr val="FFFF00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三项费用预算表!$A$5:$A$7</c:f>
              <c:strCache>
                <c:ptCount val="3"/>
                <c:pt idx="0">
                  <c:v>管理费用</c:v>
                </c:pt>
                <c:pt idx="1">
                  <c:v>营业费用</c:v>
                </c:pt>
                <c:pt idx="2">
                  <c:v>财务费用</c:v>
                </c:pt>
              </c:strCache>
            </c:strRef>
          </c:cat>
          <c:val>
            <c:numRef>
              <c:f>三项费用预算表!$N$5:$N$7</c:f>
              <c:numCache>
                <c:formatCode>General</c:formatCode>
                <c:ptCount val="3"/>
                <c:pt idx="0" formatCode="#,##0;[Red]\(#,##0\)">
                  <c:v>79139</c:v>
                </c:pt>
                <c:pt idx="1">
                  <c:v>33829.5</c:v>
                </c:pt>
                <c:pt idx="2">
                  <c:v>2955.82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spPr>
    <a:gradFill>
      <a:gsLst>
        <a:gs pos="0">
          <a:schemeClr val="accent5">
            <a:lumMod val="60000"/>
            <a:lumOff val="40000"/>
          </a:schemeClr>
        </a:gs>
        <a:gs pos="45000">
          <a:srgbClr val="21D6E0"/>
        </a:gs>
        <a:gs pos="75000">
          <a:srgbClr val="0087E6"/>
        </a:gs>
        <a:gs pos="100000">
          <a:srgbClr val="005CBF"/>
        </a:gs>
      </a:gsLst>
      <a:lin ang="5400000" scaled="0"/>
    </a:gra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预算现金流量趋势</c:v>
          </c:tx>
          <c:spPr>
            <a:ln>
              <a:solidFill>
                <a:srgbClr val="00B050"/>
              </a:solidFill>
            </a:ln>
          </c:spPr>
          <c:marker>
            <c:spPr>
              <a:solidFill>
                <a:srgbClr val="FF0000"/>
              </a:solidFill>
            </c:spPr>
          </c:marker>
          <c:val>
            <c:numRef>
              <c:f>现金流量预算表!$D$35:$O$35</c:f>
              <c:numCache>
                <c:formatCode>_(* #,##0_);_(* \(#,##0\);_(* "-"_);_(@_)</c:formatCode>
                <c:ptCount val="12"/>
                <c:pt idx="0">
                  <c:v>564120</c:v>
                </c:pt>
                <c:pt idx="1">
                  <c:v>416450</c:v>
                </c:pt>
                <c:pt idx="2">
                  <c:v>499670</c:v>
                </c:pt>
                <c:pt idx="3">
                  <c:v>377031</c:v>
                </c:pt>
                <c:pt idx="4">
                  <c:v>421225</c:v>
                </c:pt>
                <c:pt idx="5">
                  <c:v>456500</c:v>
                </c:pt>
                <c:pt idx="6">
                  <c:v>497339</c:v>
                </c:pt>
                <c:pt idx="7">
                  <c:v>443436</c:v>
                </c:pt>
                <c:pt idx="8">
                  <c:v>398929</c:v>
                </c:pt>
                <c:pt idx="9">
                  <c:v>397366</c:v>
                </c:pt>
                <c:pt idx="10">
                  <c:v>448867</c:v>
                </c:pt>
                <c:pt idx="11">
                  <c:v>397566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852224"/>
        <c:axId val="286854144"/>
      </c:lineChart>
      <c:catAx>
        <c:axId val="286852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86854144"/>
        <c:crosses val="autoZero"/>
        <c:auto val="1"/>
        <c:lblAlgn val="ctr"/>
        <c:lblOffset val="100"/>
        <c:noMultiLvlLbl val="0"/>
      </c:catAx>
      <c:valAx>
        <c:axId val="286854144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2868522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gradFill>
      <a:gsLst>
        <a:gs pos="0">
          <a:schemeClr val="accent6">
            <a:lumMod val="75000"/>
          </a:schemeClr>
        </a:gs>
        <a:gs pos="50000">
          <a:schemeClr val="accent6"/>
        </a:gs>
        <a:gs pos="36000">
          <a:srgbClr val="FAC77D"/>
        </a:gs>
        <a:gs pos="68000">
          <a:srgbClr val="FBA97D"/>
        </a:gs>
        <a:gs pos="82001">
          <a:srgbClr val="FBD49C"/>
        </a:gs>
        <a:gs pos="100000">
          <a:srgbClr val="FEE7F2"/>
        </a:gs>
      </a:gsLst>
      <a:lin ang="5400000" scaled="0"/>
    </a:gra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1013881</xdr:colOff>
      <xdr:row>8</xdr:row>
      <xdr:rowOff>155044</xdr:rowOff>
    </xdr:from>
    <xdr:to>
      <xdr:col>7</xdr:col>
      <xdr:colOff>390525</xdr:colOff>
      <xdr:row>23</xdr:row>
      <xdr:rowOff>152400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648758</xdr:colOff>
      <xdr:row>15</xdr:row>
      <xdr:rowOff>94720</xdr:rowOff>
    </xdr:from>
    <xdr:to>
      <xdr:col>13</xdr:col>
      <xdr:colOff>357716</xdr:colOff>
      <xdr:row>29</xdr:row>
      <xdr:rowOff>170920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550332</xdr:colOff>
      <xdr:row>2</xdr:row>
      <xdr:rowOff>168009</xdr:rowOff>
    </xdr:from>
    <xdr:to>
      <xdr:col>12</xdr:col>
      <xdr:colOff>550332</xdr:colOff>
      <xdr:row>22</xdr:row>
      <xdr:rowOff>93926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&#26700;&#38754;/&#23454;&#20363;&#25991;&#20214;/&#31532;20&#31456;/&#26368;&#32456;&#25991;&#20214;/&#26448;&#26009;&#39044;&#31639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销售收入预算"/>
      <sheetName val="材料预算表"/>
      <sheetName val="Sheet3"/>
    </sheetNames>
    <sheetDataSet>
      <sheetData sheetId="0">
        <row r="5">
          <cell r="E5">
            <v>120</v>
          </cell>
          <cell r="F5">
            <v>126</v>
          </cell>
          <cell r="G5">
            <v>138</v>
          </cell>
          <cell r="H5">
            <v>141</v>
          </cell>
          <cell r="I5">
            <v>144</v>
          </cell>
          <cell r="J5">
            <v>175</v>
          </cell>
          <cell r="K5">
            <v>201</v>
          </cell>
          <cell r="L5">
            <v>224</v>
          </cell>
          <cell r="M5">
            <v>224</v>
          </cell>
          <cell r="N5">
            <v>224</v>
          </cell>
          <cell r="O5">
            <v>224</v>
          </cell>
        </row>
      </sheetData>
      <sheetData sheetId="1">
        <row r="15">
          <cell r="D15">
            <v>146.44999999999999</v>
          </cell>
          <cell r="E15">
            <v>149.37899999999999</v>
          </cell>
          <cell r="F15">
            <v>149.37899999999999</v>
          </cell>
          <cell r="G15">
            <v>147.88521</v>
          </cell>
          <cell r="H15">
            <v>147.88521</v>
          </cell>
          <cell r="I15">
            <v>147.88521</v>
          </cell>
          <cell r="J15">
            <v>147.88521</v>
          </cell>
          <cell r="K15">
            <v>147.88521</v>
          </cell>
          <cell r="L15">
            <v>147.88521</v>
          </cell>
          <cell r="M15">
            <v>147.88521</v>
          </cell>
          <cell r="N15">
            <v>147.88521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showGridLines="0" zoomScale="90" zoomScaleNormal="90" workbookViewId="0">
      <selection activeCell="V19" sqref="V19"/>
    </sheetView>
  </sheetViews>
  <sheetFormatPr defaultRowHeight="13.5" x14ac:dyDescent="0.15"/>
  <cols>
    <col min="1" max="1" width="2.75" customWidth="1"/>
    <col min="2" max="2" width="8.5" customWidth="1"/>
    <col min="3" max="3" width="12.125" customWidth="1"/>
    <col min="4" max="4" width="7.375" customWidth="1"/>
    <col min="5" max="5" width="8.125" customWidth="1"/>
    <col min="6" max="6" width="7.625" customWidth="1"/>
    <col min="7" max="8" width="8.5" customWidth="1"/>
    <col min="9" max="9" width="8.375" customWidth="1"/>
    <col min="10" max="10" width="8.5" customWidth="1"/>
    <col min="11" max="11" width="8.625" customWidth="1"/>
    <col min="12" max="12" width="8" customWidth="1"/>
    <col min="13" max="13" width="7.625" customWidth="1"/>
    <col min="14" max="15" width="7.75" customWidth="1"/>
    <col min="16" max="16" width="8.5" customWidth="1"/>
    <col min="17" max="17" width="11.125" customWidth="1"/>
  </cols>
  <sheetData>
    <row r="1" spans="2:18" ht="45" customHeight="1" x14ac:dyDescent="0.25">
      <c r="B1" s="194" t="s">
        <v>16</v>
      </c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"/>
    </row>
    <row r="2" spans="2:18" ht="23.25" customHeight="1" x14ac:dyDescent="0.25">
      <c r="B2" s="169"/>
      <c r="C2" s="169"/>
      <c r="D2" s="198" t="s">
        <v>267</v>
      </c>
      <c r="E2" s="198"/>
      <c r="F2" s="198"/>
      <c r="G2" s="198" t="s">
        <v>268</v>
      </c>
      <c r="H2" s="198"/>
      <c r="I2" s="198"/>
      <c r="J2" s="198"/>
      <c r="K2" s="198"/>
      <c r="L2" s="171"/>
      <c r="M2" s="171"/>
      <c r="N2" s="171"/>
      <c r="O2" s="171"/>
      <c r="P2" s="171"/>
      <c r="Q2" s="172"/>
      <c r="R2" s="1"/>
    </row>
    <row r="3" spans="2:18" ht="20.25" customHeight="1" x14ac:dyDescent="0.25">
      <c r="B3" s="169"/>
      <c r="C3" s="169"/>
      <c r="D3" s="198" t="s">
        <v>269</v>
      </c>
      <c r="E3" s="198"/>
      <c r="F3" s="198"/>
      <c r="G3" s="198" t="s">
        <v>270</v>
      </c>
      <c r="H3" s="198"/>
      <c r="I3" s="198"/>
      <c r="J3" s="198"/>
      <c r="K3" s="198" t="s">
        <v>271</v>
      </c>
      <c r="L3" s="198"/>
      <c r="M3" s="198"/>
      <c r="N3" s="199">
        <v>41214</v>
      </c>
      <c r="O3" s="198"/>
      <c r="P3" s="198"/>
      <c r="Q3" s="198"/>
      <c r="R3" s="1"/>
    </row>
    <row r="4" spans="2:18" ht="27.75" customHeight="1" x14ac:dyDescent="0.25">
      <c r="B4" s="195" t="s">
        <v>0</v>
      </c>
      <c r="C4" s="196"/>
      <c r="D4" s="34" t="s">
        <v>1</v>
      </c>
      <c r="E4" s="34">
        <v>1</v>
      </c>
      <c r="F4" s="34">
        <v>2</v>
      </c>
      <c r="G4" s="34">
        <v>3</v>
      </c>
      <c r="H4" s="34">
        <v>4</v>
      </c>
      <c r="I4" s="34">
        <v>5</v>
      </c>
      <c r="J4" s="34">
        <v>6</v>
      </c>
      <c r="K4" s="34">
        <v>7</v>
      </c>
      <c r="L4" s="34">
        <v>8</v>
      </c>
      <c r="M4" s="34">
        <v>9</v>
      </c>
      <c r="N4" s="34">
        <v>10</v>
      </c>
      <c r="O4" s="34">
        <v>11</v>
      </c>
      <c r="P4" s="33" t="s">
        <v>17</v>
      </c>
      <c r="Q4" s="33" t="s">
        <v>18</v>
      </c>
      <c r="R4" s="2"/>
    </row>
    <row r="5" spans="2:18" ht="26.25" customHeight="1" x14ac:dyDescent="0.25">
      <c r="B5" s="35" t="s">
        <v>2</v>
      </c>
      <c r="C5" s="36"/>
      <c r="D5" s="37" t="s">
        <v>3</v>
      </c>
      <c r="E5" s="38">
        <f>E19</f>
        <v>54250</v>
      </c>
      <c r="F5" s="38">
        <f t="shared" ref="F5:Q5" si="0">F19</f>
        <v>53832.5</v>
      </c>
      <c r="G5" s="38">
        <f t="shared" si="0"/>
        <v>51125</v>
      </c>
      <c r="H5" s="38">
        <f t="shared" si="0"/>
        <v>49762.06</v>
      </c>
      <c r="I5" s="38">
        <f t="shared" si="0"/>
        <v>44986.28</v>
      </c>
      <c r="J5" s="38">
        <f t="shared" si="0"/>
        <v>42577.1008</v>
      </c>
      <c r="K5" s="38">
        <f t="shared" si="0"/>
        <v>51183.392800000001</v>
      </c>
      <c r="L5" s="38">
        <f t="shared" si="0"/>
        <v>68519.684800000003</v>
      </c>
      <c r="M5" s="38">
        <f t="shared" si="0"/>
        <v>65426.580799999996</v>
      </c>
      <c r="N5" s="38">
        <f t="shared" si="0"/>
        <v>64879.726800000004</v>
      </c>
      <c r="O5" s="38">
        <f t="shared" si="0"/>
        <v>61333.7788</v>
      </c>
      <c r="P5" s="38">
        <f t="shared" si="0"/>
        <v>54301.653224000002</v>
      </c>
      <c r="Q5" s="38">
        <f t="shared" si="0"/>
        <v>662177.75802399998</v>
      </c>
      <c r="R5" s="1"/>
    </row>
    <row r="6" spans="2:18" ht="15.75" x14ac:dyDescent="0.25">
      <c r="B6" s="3" t="s">
        <v>4</v>
      </c>
      <c r="C6" s="4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1"/>
    </row>
    <row r="7" spans="2:18" ht="15.75" x14ac:dyDescent="0.25">
      <c r="B7" s="7" t="s">
        <v>14</v>
      </c>
      <c r="C7" s="8" t="s">
        <v>5</v>
      </c>
      <c r="D7" s="9"/>
      <c r="E7" s="10">
        <v>100</v>
      </c>
      <c r="F7" s="10">
        <v>125</v>
      </c>
      <c r="G7" s="10">
        <v>130</v>
      </c>
      <c r="H7" s="10">
        <v>135</v>
      </c>
      <c r="I7" s="10">
        <v>130</v>
      </c>
      <c r="J7" s="10">
        <v>136</v>
      </c>
      <c r="K7" s="10">
        <v>155</v>
      </c>
      <c r="L7" s="10">
        <v>200</v>
      </c>
      <c r="M7" s="10">
        <v>180</v>
      </c>
      <c r="N7" s="10">
        <v>170</v>
      </c>
      <c r="O7" s="10">
        <v>160</v>
      </c>
      <c r="P7" s="10">
        <v>134</v>
      </c>
      <c r="Q7" s="11">
        <f>SUM(E7:P7)</f>
        <v>1755</v>
      </c>
      <c r="R7" s="1"/>
    </row>
    <row r="8" spans="2:18" ht="15.75" x14ac:dyDescent="0.25">
      <c r="B8" s="7" t="s">
        <v>15</v>
      </c>
      <c r="C8" s="8" t="s">
        <v>5</v>
      </c>
      <c r="D8" s="9"/>
      <c r="E8" s="10">
        <v>150</v>
      </c>
      <c r="F8" s="10">
        <v>120</v>
      </c>
      <c r="G8" s="10">
        <v>100</v>
      </c>
      <c r="H8" s="10">
        <v>86</v>
      </c>
      <c r="I8" s="10">
        <v>68</v>
      </c>
      <c r="J8" s="10">
        <v>48</v>
      </c>
      <c r="K8" s="10">
        <v>68</v>
      </c>
      <c r="L8" s="10">
        <v>88</v>
      </c>
      <c r="M8" s="10">
        <v>98</v>
      </c>
      <c r="N8" s="10">
        <v>108</v>
      </c>
      <c r="O8" s="10">
        <v>100</v>
      </c>
      <c r="P8" s="10">
        <v>98</v>
      </c>
      <c r="Q8" s="11">
        <f>SUM(E8:P8)</f>
        <v>1132</v>
      </c>
      <c r="R8" s="1"/>
    </row>
    <row r="9" spans="2:18" ht="15.75" x14ac:dyDescent="0.25">
      <c r="B9" s="9"/>
      <c r="C9" s="12"/>
      <c r="D9" s="9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  <c r="R9" s="1"/>
    </row>
    <row r="10" spans="2:18" ht="15.75" x14ac:dyDescent="0.25">
      <c r="B10" s="3" t="s">
        <v>6</v>
      </c>
      <c r="C10" s="12"/>
      <c r="D10" s="9"/>
      <c r="E10" s="197" t="s">
        <v>7</v>
      </c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"/>
    </row>
    <row r="11" spans="2:18" ht="15.75" x14ac:dyDescent="0.25">
      <c r="B11" s="16" t="str">
        <f>+B7</f>
        <v>A 产品</v>
      </c>
      <c r="C11" s="12"/>
      <c r="D11" s="9"/>
      <c r="E11" s="173">
        <v>-0.03</v>
      </c>
      <c r="F11" s="174"/>
      <c r="G11" s="174"/>
      <c r="H11" s="174"/>
      <c r="I11" s="174"/>
      <c r="J11" s="174"/>
      <c r="K11" s="174"/>
      <c r="L11" s="175">
        <v>0.05</v>
      </c>
      <c r="M11" s="174"/>
      <c r="N11" s="174"/>
      <c r="O11" s="176"/>
      <c r="P11" s="174"/>
      <c r="Q11" s="177"/>
      <c r="R11" s="1"/>
    </row>
    <row r="12" spans="2:18" ht="15.75" x14ac:dyDescent="0.25">
      <c r="B12" s="16" t="str">
        <f>+B8</f>
        <v xml:space="preserve">B 产品 </v>
      </c>
      <c r="C12" s="12"/>
      <c r="D12" s="9"/>
      <c r="E12" s="174"/>
      <c r="F12" s="173">
        <v>-0.02</v>
      </c>
      <c r="G12" s="178"/>
      <c r="H12" s="175">
        <v>0.01</v>
      </c>
      <c r="I12" s="173"/>
      <c r="J12" s="175">
        <v>0.01</v>
      </c>
      <c r="K12" s="174"/>
      <c r="L12" s="174"/>
      <c r="M12" s="174"/>
      <c r="N12" s="174"/>
      <c r="O12" s="175">
        <v>0.03</v>
      </c>
      <c r="P12" s="174"/>
      <c r="Q12" s="177"/>
      <c r="R12" s="1"/>
    </row>
    <row r="13" spans="2:18" ht="15.75" x14ac:dyDescent="0.25">
      <c r="B13" s="3" t="s">
        <v>8</v>
      </c>
      <c r="C13" s="4"/>
      <c r="D13" s="17" t="s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5"/>
      <c r="R13" s="1"/>
    </row>
    <row r="14" spans="2:18" ht="15.75" x14ac:dyDescent="0.25">
      <c r="B14" s="7" t="str">
        <f>+B7</f>
        <v>A 产品</v>
      </c>
      <c r="C14" s="18" t="s">
        <v>3</v>
      </c>
      <c r="D14" s="19">
        <v>250</v>
      </c>
      <c r="E14" s="179">
        <f>D14*(1+E11)</f>
        <v>242.5</v>
      </c>
      <c r="F14" s="179">
        <f>E14*(1+F11)</f>
        <v>242.5</v>
      </c>
      <c r="G14" s="179">
        <f t="shared" ref="G14:J14" si="1">F14*(1+G11)</f>
        <v>242.5</v>
      </c>
      <c r="H14" s="179">
        <f t="shared" si="1"/>
        <v>242.5</v>
      </c>
      <c r="I14" s="179">
        <f t="shared" si="1"/>
        <v>242.5</v>
      </c>
      <c r="J14" s="179">
        <f t="shared" si="1"/>
        <v>242.5</v>
      </c>
      <c r="K14" s="179">
        <f>J14*(1+K11)</f>
        <v>242.5</v>
      </c>
      <c r="L14" s="179">
        <f t="shared" ref="L14:P14" si="2">K14*(1+L11)</f>
        <v>254.625</v>
      </c>
      <c r="M14" s="179">
        <f t="shared" si="2"/>
        <v>254.625</v>
      </c>
      <c r="N14" s="179">
        <f t="shared" si="2"/>
        <v>254.625</v>
      </c>
      <c r="O14" s="179">
        <f t="shared" si="2"/>
        <v>254.625</v>
      </c>
      <c r="P14" s="179">
        <f t="shared" si="2"/>
        <v>254.625</v>
      </c>
      <c r="Q14" s="20"/>
      <c r="R14" s="1"/>
    </row>
    <row r="15" spans="2:18" ht="15.75" x14ac:dyDescent="0.25">
      <c r="B15" s="7" t="str">
        <f>+B8</f>
        <v xml:space="preserve">B 产品 </v>
      </c>
      <c r="C15" s="8" t="s">
        <v>3</v>
      </c>
      <c r="D15" s="19">
        <v>200</v>
      </c>
      <c r="E15" s="179">
        <f>D15*(1+E12)</f>
        <v>200</v>
      </c>
      <c r="F15" s="179">
        <f>E15*(1+F12)</f>
        <v>196</v>
      </c>
      <c r="G15" s="179">
        <f>F15*(1+G12)</f>
        <v>196</v>
      </c>
      <c r="H15" s="179">
        <f>G15*(1+H12)</f>
        <v>197.96</v>
      </c>
      <c r="I15" s="179">
        <f>H15*(1+I12)</f>
        <v>197.96</v>
      </c>
      <c r="J15" s="179">
        <f>I15*(1+J12)</f>
        <v>199.93960000000001</v>
      </c>
      <c r="K15" s="179">
        <f>J15*(1+K12)</f>
        <v>199.93960000000001</v>
      </c>
      <c r="L15" s="179">
        <f>K15*(1+L12)</f>
        <v>199.93960000000001</v>
      </c>
      <c r="M15" s="179">
        <f>L15*(1+M12)</f>
        <v>199.93960000000001</v>
      </c>
      <c r="N15" s="179">
        <f>M15*(1+N12)</f>
        <v>199.93960000000001</v>
      </c>
      <c r="O15" s="179">
        <f>N15*(1+O12)</f>
        <v>205.93778800000001</v>
      </c>
      <c r="P15" s="179">
        <f>O15*(1+P12)</f>
        <v>205.93778800000001</v>
      </c>
      <c r="Q15" s="20"/>
      <c r="R15" s="1"/>
    </row>
    <row r="16" spans="2:18" ht="15.75" x14ac:dyDescent="0.25">
      <c r="B16" s="21" t="s">
        <v>10</v>
      </c>
      <c r="C16" s="4"/>
      <c r="D16" s="9"/>
      <c r="E16" s="22"/>
      <c r="F16" s="22"/>
      <c r="G16" s="14"/>
      <c r="H16" s="1"/>
      <c r="I16" s="1"/>
      <c r="J16" s="1"/>
      <c r="K16" s="1"/>
      <c r="L16" s="1"/>
      <c r="M16" s="1"/>
      <c r="N16" s="1"/>
      <c r="O16" s="1"/>
      <c r="P16" s="1"/>
      <c r="Q16" s="23"/>
      <c r="R16" s="1"/>
    </row>
    <row r="17" spans="2:18" ht="15.75" x14ac:dyDescent="0.25">
      <c r="B17" s="7" t="str">
        <f>+B14</f>
        <v>A 产品</v>
      </c>
      <c r="C17" s="18" t="s">
        <v>3</v>
      </c>
      <c r="D17" s="9"/>
      <c r="E17" s="180">
        <f>E7*E14</f>
        <v>24250</v>
      </c>
      <c r="F17" s="180">
        <f t="shared" ref="F17:P17" si="3">F7*F14</f>
        <v>30312.5</v>
      </c>
      <c r="G17" s="180">
        <f t="shared" si="3"/>
        <v>31525</v>
      </c>
      <c r="H17" s="180">
        <f t="shared" si="3"/>
        <v>32737.5</v>
      </c>
      <c r="I17" s="180">
        <f t="shared" si="3"/>
        <v>31525</v>
      </c>
      <c r="J17" s="180">
        <f t="shared" si="3"/>
        <v>32980</v>
      </c>
      <c r="K17" s="180">
        <f t="shared" si="3"/>
        <v>37587.5</v>
      </c>
      <c r="L17" s="180">
        <f t="shared" si="3"/>
        <v>50925</v>
      </c>
      <c r="M17" s="180">
        <f t="shared" si="3"/>
        <v>45832.5</v>
      </c>
      <c r="N17" s="180">
        <f t="shared" si="3"/>
        <v>43286.25</v>
      </c>
      <c r="O17" s="180">
        <f t="shared" si="3"/>
        <v>40740</v>
      </c>
      <c r="P17" s="180">
        <f t="shared" si="3"/>
        <v>34119.75</v>
      </c>
      <c r="Q17" s="180">
        <f>SUM(E17:P17)</f>
        <v>435821</v>
      </c>
      <c r="R17" s="1"/>
    </row>
    <row r="18" spans="2:18" ht="15.75" x14ac:dyDescent="0.25">
      <c r="B18" s="7" t="str">
        <f>+B15</f>
        <v xml:space="preserve">B 产品 </v>
      </c>
      <c r="C18" s="18" t="s">
        <v>3</v>
      </c>
      <c r="D18" s="9"/>
      <c r="E18" s="180">
        <f>E8*E15</f>
        <v>30000</v>
      </c>
      <c r="F18" s="180">
        <f t="shared" ref="F18:P18" si="4">+F8*F15</f>
        <v>23520</v>
      </c>
      <c r="G18" s="180">
        <f t="shared" si="4"/>
        <v>19600</v>
      </c>
      <c r="H18" s="180">
        <f t="shared" si="4"/>
        <v>17024.560000000001</v>
      </c>
      <c r="I18" s="180">
        <f t="shared" si="4"/>
        <v>13461.28</v>
      </c>
      <c r="J18" s="180">
        <f t="shared" si="4"/>
        <v>9597.1008000000002</v>
      </c>
      <c r="K18" s="180">
        <f t="shared" si="4"/>
        <v>13595.892800000001</v>
      </c>
      <c r="L18" s="180">
        <f t="shared" si="4"/>
        <v>17594.684800000003</v>
      </c>
      <c r="M18" s="180">
        <f t="shared" si="4"/>
        <v>19594.0808</v>
      </c>
      <c r="N18" s="180">
        <f t="shared" si="4"/>
        <v>21593.4768</v>
      </c>
      <c r="O18" s="180">
        <f t="shared" si="4"/>
        <v>20593.7788</v>
      </c>
      <c r="P18" s="180">
        <f t="shared" si="4"/>
        <v>20181.903224000002</v>
      </c>
      <c r="Q18" s="180">
        <f>SUM(E18:P18)</f>
        <v>226356.75802400001</v>
      </c>
      <c r="R18" s="1"/>
    </row>
    <row r="19" spans="2:18" ht="15.75" x14ac:dyDescent="0.25">
      <c r="B19" s="24" t="s">
        <v>11</v>
      </c>
      <c r="C19" s="25"/>
      <c r="D19" s="26"/>
      <c r="E19" s="180">
        <f>SUM(E17:E18)</f>
        <v>54250</v>
      </c>
      <c r="F19" s="180">
        <f t="shared" ref="F19:P19" si="5">SUM(F17:F18)</f>
        <v>53832.5</v>
      </c>
      <c r="G19" s="180">
        <f t="shared" si="5"/>
        <v>51125</v>
      </c>
      <c r="H19" s="180">
        <f t="shared" si="5"/>
        <v>49762.06</v>
      </c>
      <c r="I19" s="180">
        <f t="shared" si="5"/>
        <v>44986.28</v>
      </c>
      <c r="J19" s="180">
        <f t="shared" si="5"/>
        <v>42577.1008</v>
      </c>
      <c r="K19" s="180">
        <f t="shared" si="5"/>
        <v>51183.392800000001</v>
      </c>
      <c r="L19" s="180">
        <f t="shared" si="5"/>
        <v>68519.684800000003</v>
      </c>
      <c r="M19" s="180">
        <f t="shared" si="5"/>
        <v>65426.580799999996</v>
      </c>
      <c r="N19" s="180">
        <f t="shared" si="5"/>
        <v>64879.726800000004</v>
      </c>
      <c r="O19" s="180">
        <f t="shared" si="5"/>
        <v>61333.7788</v>
      </c>
      <c r="P19" s="180">
        <f t="shared" si="5"/>
        <v>54301.653224000002</v>
      </c>
      <c r="Q19" s="180">
        <f>SUM(E19:P19)</f>
        <v>662177.75802399998</v>
      </c>
      <c r="R19" s="23"/>
    </row>
    <row r="20" spans="2:18" ht="14.25" x14ac:dyDescent="0.2">
      <c r="B20" s="27"/>
      <c r="C20" s="16"/>
      <c r="D20" s="5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9"/>
    </row>
    <row r="21" spans="2:18" ht="15.75" x14ac:dyDescent="0.25">
      <c r="B21" s="9"/>
      <c r="C21" s="4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3"/>
      <c r="R21" s="1"/>
    </row>
    <row r="22" spans="2:18" ht="24" x14ac:dyDescent="0.25">
      <c r="B22" s="30" t="s">
        <v>12</v>
      </c>
      <c r="C22" s="31" t="s">
        <v>13</v>
      </c>
      <c r="D22" s="32"/>
      <c r="E22" s="39">
        <f>IF(E19=0,0,+E19/$Q$19)</f>
        <v>8.1926641815767184E-2</v>
      </c>
      <c r="F22" s="39">
        <f t="shared" ref="F22:P22" si="6">IF(F19=0,0,+F19/$Q$19)</f>
        <v>8.1296146461701135E-2</v>
      </c>
      <c r="G22" s="39">
        <f t="shared" si="6"/>
        <v>7.7207365213476445E-2</v>
      </c>
      <c r="H22" s="39">
        <f t="shared" si="6"/>
        <v>7.5149096140732077E-2</v>
      </c>
      <c r="I22" s="39">
        <f t="shared" si="6"/>
        <v>6.7936863560991906E-2</v>
      </c>
      <c r="J22" s="39">
        <f t="shared" si="6"/>
        <v>6.4298596991620535E-2</v>
      </c>
      <c r="K22" s="39">
        <f t="shared" si="6"/>
        <v>7.729554818140677E-2</v>
      </c>
      <c r="L22" s="39">
        <f t="shared" si="6"/>
        <v>0.10347627048735239</v>
      </c>
      <c r="M22" s="39">
        <f t="shared" si="6"/>
        <v>9.8805162219943773E-2</v>
      </c>
      <c r="N22" s="39">
        <f t="shared" si="6"/>
        <v>9.7979320528081684E-2</v>
      </c>
      <c r="O22" s="39">
        <f t="shared" si="6"/>
        <v>9.2624341510692987E-2</v>
      </c>
      <c r="P22" s="39">
        <f t="shared" si="6"/>
        <v>8.2004646888233126E-2</v>
      </c>
      <c r="Q22" s="40">
        <f>SUM(E22:P22)</f>
        <v>1</v>
      </c>
      <c r="R22" s="1"/>
    </row>
  </sheetData>
  <mergeCells count="9">
    <mergeCell ref="B1:Q1"/>
    <mergeCell ref="B4:C4"/>
    <mergeCell ref="E10:Q10"/>
    <mergeCell ref="D2:F2"/>
    <mergeCell ref="G2:K2"/>
    <mergeCell ref="D3:F3"/>
    <mergeCell ref="G3:J3"/>
    <mergeCell ref="K3:M3"/>
    <mergeCell ref="N3:Q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showGridLines="0" zoomScale="90" zoomScaleNormal="90" workbookViewId="0">
      <selection activeCell="T28" sqref="T28"/>
    </sheetView>
  </sheetViews>
  <sheetFormatPr defaultRowHeight="13.5" x14ac:dyDescent="0.15"/>
  <cols>
    <col min="2" max="2" width="19.625" customWidth="1"/>
    <col min="3" max="3" width="5.75" customWidth="1"/>
    <col min="4" max="4" width="7.625" customWidth="1"/>
    <col min="5" max="5" width="8.25" customWidth="1"/>
    <col min="6" max="11" width="8.5" bestFit="1" customWidth="1"/>
    <col min="12" max="12" width="8.875" customWidth="1"/>
    <col min="13" max="14" width="9.25" bestFit="1" customWidth="1"/>
    <col min="15" max="15" width="9.75" customWidth="1"/>
    <col min="16" max="16" width="9.875" customWidth="1"/>
  </cols>
  <sheetData>
    <row r="1" spans="2:16" ht="22.5" x14ac:dyDescent="0.15">
      <c r="B1" s="200" t="s">
        <v>33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</row>
    <row r="2" spans="2:16" ht="22.5" x14ac:dyDescent="0.15">
      <c r="B2" s="198" t="s">
        <v>267</v>
      </c>
      <c r="C2" s="198"/>
      <c r="D2" s="198"/>
      <c r="E2" s="198" t="s">
        <v>268</v>
      </c>
      <c r="F2" s="198"/>
      <c r="G2" s="198"/>
      <c r="H2" s="198"/>
      <c r="I2" s="198"/>
      <c r="J2" s="171"/>
      <c r="K2" s="171"/>
      <c r="L2" s="171"/>
      <c r="M2" s="171"/>
      <c r="N2" s="171"/>
      <c r="O2" s="172"/>
      <c r="P2" s="170"/>
    </row>
    <row r="3" spans="2:16" ht="22.5" x14ac:dyDescent="0.15">
      <c r="B3" s="198" t="s">
        <v>269</v>
      </c>
      <c r="C3" s="198"/>
      <c r="D3" s="198"/>
      <c r="E3" s="198" t="s">
        <v>270</v>
      </c>
      <c r="F3" s="198"/>
      <c r="G3" s="198"/>
      <c r="H3" s="198"/>
      <c r="I3" s="198" t="s">
        <v>271</v>
      </c>
      <c r="J3" s="198"/>
      <c r="K3" s="198"/>
      <c r="L3" s="199">
        <v>41214</v>
      </c>
      <c r="M3" s="198"/>
      <c r="N3" s="198"/>
      <c r="O3" s="198"/>
      <c r="P3" s="170"/>
    </row>
    <row r="4" spans="2:16" s="41" customFormat="1" ht="18" customHeight="1" x14ac:dyDescent="0.15">
      <c r="B4" s="50" t="s">
        <v>19</v>
      </c>
      <c r="C4" s="62" t="s">
        <v>20</v>
      </c>
      <c r="D4" s="46">
        <v>1</v>
      </c>
      <c r="E4" s="46">
        <v>2</v>
      </c>
      <c r="F4" s="46">
        <v>3</v>
      </c>
      <c r="G4" s="46">
        <v>4</v>
      </c>
      <c r="H4" s="46">
        <v>5</v>
      </c>
      <c r="I4" s="46">
        <v>6</v>
      </c>
      <c r="J4" s="46">
        <v>7</v>
      </c>
      <c r="K4" s="46">
        <v>8</v>
      </c>
      <c r="L4" s="46">
        <v>9</v>
      </c>
      <c r="M4" s="46">
        <v>10</v>
      </c>
      <c r="N4" s="46">
        <v>11</v>
      </c>
      <c r="O4" s="46">
        <v>12</v>
      </c>
      <c r="P4" s="63" t="s">
        <v>32</v>
      </c>
    </row>
    <row r="5" spans="2:16" s="41" customFormat="1" ht="25.5" customHeight="1" x14ac:dyDescent="0.15">
      <c r="B5" s="53" t="s">
        <v>21</v>
      </c>
      <c r="C5" s="54"/>
      <c r="D5" s="45">
        <f>D6</f>
        <v>14250</v>
      </c>
      <c r="E5" s="45">
        <f t="shared" ref="E5:P5" si="0">E6</f>
        <v>23028</v>
      </c>
      <c r="F5" s="45">
        <f t="shared" si="0"/>
        <v>23366.753999999997</v>
      </c>
      <c r="G5" s="45">
        <f t="shared" si="0"/>
        <v>24640.262999999999</v>
      </c>
      <c r="H5" s="45">
        <f t="shared" si="0"/>
        <v>24035.132610000001</v>
      </c>
      <c r="I5" s="45">
        <f t="shared" si="0"/>
        <v>23520.047759999998</v>
      </c>
      <c r="J5" s="45">
        <f t="shared" si="0"/>
        <v>29031.396570000001</v>
      </c>
      <c r="K5" s="45">
        <f t="shared" si="0"/>
        <v>33721.751487599999</v>
      </c>
      <c r="L5" s="45">
        <f t="shared" si="0"/>
        <v>37666.316071692003</v>
      </c>
      <c r="M5" s="45">
        <f t="shared" si="0"/>
        <v>38129.584340232002</v>
      </c>
      <c r="N5" s="45">
        <f t="shared" si="0"/>
        <v>37758.969725400006</v>
      </c>
      <c r="O5" s="45">
        <f t="shared" si="0"/>
        <v>37666.316071692003</v>
      </c>
      <c r="P5" s="45">
        <f t="shared" si="0"/>
        <v>346814.53163661604</v>
      </c>
    </row>
    <row r="6" spans="2:16" s="41" customFormat="1" ht="18" customHeight="1" x14ac:dyDescent="0.15">
      <c r="B6" s="53" t="s">
        <v>22</v>
      </c>
      <c r="C6" s="53"/>
      <c r="D6" s="47">
        <f>D23</f>
        <v>14250</v>
      </c>
      <c r="E6" s="47">
        <f t="shared" ref="E6:O6" si="1">E23</f>
        <v>23028</v>
      </c>
      <c r="F6" s="47">
        <f t="shared" si="1"/>
        <v>23366.753999999997</v>
      </c>
      <c r="G6" s="47">
        <f t="shared" si="1"/>
        <v>24640.262999999999</v>
      </c>
      <c r="H6" s="47">
        <f t="shared" si="1"/>
        <v>24035.132610000001</v>
      </c>
      <c r="I6" s="47">
        <f t="shared" si="1"/>
        <v>23520.047759999998</v>
      </c>
      <c r="J6" s="47">
        <f t="shared" si="1"/>
        <v>29031.396570000001</v>
      </c>
      <c r="K6" s="47">
        <f t="shared" si="1"/>
        <v>33721.751487599999</v>
      </c>
      <c r="L6" s="47">
        <f t="shared" si="1"/>
        <v>37666.316071692003</v>
      </c>
      <c r="M6" s="47">
        <f t="shared" si="1"/>
        <v>38129.584340232002</v>
      </c>
      <c r="N6" s="47">
        <f t="shared" si="1"/>
        <v>37758.969725400006</v>
      </c>
      <c r="O6" s="47">
        <f t="shared" si="1"/>
        <v>37666.316071692003</v>
      </c>
      <c r="P6" s="47">
        <f>SUM(D6:O6)</f>
        <v>346814.53163661604</v>
      </c>
    </row>
    <row r="7" spans="2:16" s="41" customFormat="1" ht="18" customHeight="1" x14ac:dyDescent="0.15">
      <c r="B7" s="53" t="s">
        <v>23</v>
      </c>
      <c r="C7" s="53"/>
      <c r="D7" s="48">
        <f>D6/销售收入预算表!E5</f>
        <v>0.26267281105990781</v>
      </c>
      <c r="E7" s="48">
        <f>E6/销售收入预算表!F5</f>
        <v>0.42777132772953141</v>
      </c>
      <c r="F7" s="48">
        <f>F6/销售收入预算表!G5</f>
        <v>0.45705142298288504</v>
      </c>
      <c r="G7" s="48">
        <f>G6/销售收入预算表!H5</f>
        <v>0.49516163518953998</v>
      </c>
      <c r="H7" s="48">
        <f>H6/销售收入预算表!I5</f>
        <v>0.53427695310659162</v>
      </c>
      <c r="I7" s="48">
        <f>I6/销售收入预算表!J5</f>
        <v>0.5524107400004088</v>
      </c>
      <c r="J7" s="48">
        <f>J6/销售收入预算表!K5</f>
        <v>0.56720344201176132</v>
      </c>
      <c r="K7" s="48">
        <f>K6/销售收入预算表!L5</f>
        <v>0.49214691494903079</v>
      </c>
      <c r="L7" s="48">
        <f>L6/销售收入预算表!M5</f>
        <v>0.57570356896431307</v>
      </c>
      <c r="M7" s="48">
        <f>M6/销售收入预算表!N5</f>
        <v>0.58769643802248561</v>
      </c>
      <c r="N7" s="48">
        <f>N6/销售收入预算表!O5</f>
        <v>0.61563090460358205</v>
      </c>
      <c r="O7" s="48">
        <f>O6/销售收入预算表!P5</f>
        <v>0.69364952695481497</v>
      </c>
      <c r="P7" s="48">
        <f>P6/销售收入预算表!Q5</f>
        <v>0.52374838543587277</v>
      </c>
    </row>
    <row r="8" spans="2:16" s="41" customFormat="1" ht="18" customHeight="1" x14ac:dyDescent="0.15">
      <c r="B8" s="53" t="s">
        <v>24</v>
      </c>
      <c r="C8" s="53"/>
      <c r="D8" s="49">
        <v>0</v>
      </c>
      <c r="E8" s="49">
        <v>-834</v>
      </c>
      <c r="F8" s="49">
        <v>1388.58</v>
      </c>
      <c r="G8" s="49">
        <v>0</v>
      </c>
      <c r="H8" s="49">
        <v>0</v>
      </c>
      <c r="I8" s="49">
        <v>0</v>
      </c>
      <c r="J8" s="49">
        <v>1321.54</v>
      </c>
      <c r="K8" s="49">
        <v>0</v>
      </c>
      <c r="L8" s="49">
        <v>-1023.52</v>
      </c>
      <c r="M8" s="49">
        <v>0</v>
      </c>
      <c r="N8" s="49">
        <v>0</v>
      </c>
      <c r="O8" s="49">
        <v>0</v>
      </c>
      <c r="P8" s="49">
        <f>SUM(D8:O8)</f>
        <v>852.59999999999991</v>
      </c>
    </row>
    <row r="9" spans="2:16" s="41" customFormat="1" ht="18" customHeight="1" x14ac:dyDescent="0.15">
      <c r="B9" s="53" t="s">
        <v>37</v>
      </c>
      <c r="C9" s="53"/>
      <c r="D9" s="48">
        <f>D8/D6</f>
        <v>0</v>
      </c>
      <c r="E9" s="48">
        <f t="shared" ref="E9:P9" si="2">E8/E6</f>
        <v>-3.6216779572694112E-2</v>
      </c>
      <c r="F9" s="48">
        <f t="shared" si="2"/>
        <v>5.9425455499724097E-2</v>
      </c>
      <c r="G9" s="48">
        <f t="shared" si="2"/>
        <v>0</v>
      </c>
      <c r="H9" s="48">
        <f t="shared" si="2"/>
        <v>0</v>
      </c>
      <c r="I9" s="48">
        <f t="shared" si="2"/>
        <v>0</v>
      </c>
      <c r="J9" s="48">
        <f t="shared" si="2"/>
        <v>4.5521061889445297E-2</v>
      </c>
      <c r="K9" s="48">
        <f t="shared" si="2"/>
        <v>0</v>
      </c>
      <c r="L9" s="48">
        <f t="shared" si="2"/>
        <v>-2.7173350270089807E-2</v>
      </c>
      <c r="M9" s="48">
        <f t="shared" si="2"/>
        <v>0</v>
      </c>
      <c r="N9" s="48">
        <f t="shared" si="2"/>
        <v>0</v>
      </c>
      <c r="O9" s="48">
        <f t="shared" si="2"/>
        <v>0</v>
      </c>
      <c r="P9" s="48">
        <f t="shared" si="2"/>
        <v>2.4583744976791624E-3</v>
      </c>
    </row>
    <row r="10" spans="2:16" s="41" customFormat="1" ht="18" customHeight="1" x14ac:dyDescent="0.15">
      <c r="B10" s="53" t="s">
        <v>25</v>
      </c>
      <c r="C10" s="53"/>
      <c r="D10" s="47">
        <f>D6+D8</f>
        <v>14250</v>
      </c>
      <c r="E10" s="47">
        <f t="shared" ref="E10:O10" si="3">E6+E8</f>
        <v>22194</v>
      </c>
      <c r="F10" s="47">
        <f t="shared" si="3"/>
        <v>24755.333999999995</v>
      </c>
      <c r="G10" s="47">
        <f t="shared" si="3"/>
        <v>24640.262999999999</v>
      </c>
      <c r="H10" s="47">
        <f t="shared" si="3"/>
        <v>24035.132610000001</v>
      </c>
      <c r="I10" s="47">
        <f t="shared" si="3"/>
        <v>23520.047759999998</v>
      </c>
      <c r="J10" s="47">
        <f t="shared" si="3"/>
        <v>30352.936570000002</v>
      </c>
      <c r="K10" s="47">
        <f t="shared" si="3"/>
        <v>33721.751487599999</v>
      </c>
      <c r="L10" s="47">
        <f t="shared" si="3"/>
        <v>36642.796071692006</v>
      </c>
      <c r="M10" s="47">
        <f t="shared" si="3"/>
        <v>38129.584340232002</v>
      </c>
      <c r="N10" s="47">
        <f t="shared" si="3"/>
        <v>37758.969725400006</v>
      </c>
      <c r="O10" s="47">
        <f t="shared" si="3"/>
        <v>37666.316071692003</v>
      </c>
      <c r="P10" s="47">
        <f>SUM(D10:O10)</f>
        <v>347667.13163661602</v>
      </c>
    </row>
    <row r="11" spans="2:16" s="41" customFormat="1" ht="18" customHeight="1" x14ac:dyDescent="0.15">
      <c r="B11" s="53" t="s">
        <v>26</v>
      </c>
      <c r="C11" s="53"/>
      <c r="D11" s="48">
        <f>D10/销售收入预算表!E5</f>
        <v>0.26267281105990781</v>
      </c>
      <c r="E11" s="48">
        <f>E10/销售收入预算表!F5</f>
        <v>0.4122788278456323</v>
      </c>
      <c r="F11" s="48">
        <f>F10/销售收入预算表!G5</f>
        <v>0.48421191198044</v>
      </c>
      <c r="G11" s="48">
        <f>G10/销售收入预算表!H5</f>
        <v>0.49516163518953998</v>
      </c>
      <c r="H11" s="48">
        <f>H10/销售收入预算表!I5</f>
        <v>0.53427695310659162</v>
      </c>
      <c r="I11" s="48">
        <f>I10/销售收入预算表!J5</f>
        <v>0.5524107400004088</v>
      </c>
      <c r="J11" s="48">
        <f>J10/销售收入预算表!K5</f>
        <v>0.59302314499948505</v>
      </c>
      <c r="K11" s="48">
        <f>K10/销售收入预算表!L5</f>
        <v>0.49214691494903079</v>
      </c>
      <c r="L11" s="48">
        <f>L10/销售收入预算表!M5</f>
        <v>0.56005977423310505</v>
      </c>
      <c r="M11" s="48">
        <f>M10/销售收入预算表!N5</f>
        <v>0.58769643802248561</v>
      </c>
      <c r="N11" s="48">
        <f>N10/销售收入预算表!O5</f>
        <v>0.61563090460358205</v>
      </c>
      <c r="O11" s="48">
        <f>O10/销售收入预算表!P5</f>
        <v>0.69364952695481497</v>
      </c>
      <c r="P11" s="48">
        <f>P10/销售收入预算表!Q5</f>
        <v>0.52503595510982892</v>
      </c>
    </row>
    <row r="12" spans="2:16" s="41" customFormat="1" ht="18" customHeight="1" x14ac:dyDescent="0.15">
      <c r="B12" s="53"/>
      <c r="C12" s="5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</row>
    <row r="13" spans="2:16" s="41" customFormat="1" ht="18" customHeight="1" x14ac:dyDescent="0.15">
      <c r="B13" s="55" t="s">
        <v>27</v>
      </c>
      <c r="C13" s="53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2:16" s="41" customFormat="1" ht="18" customHeight="1" x14ac:dyDescent="0.15">
      <c r="B14" s="60" t="s">
        <v>28</v>
      </c>
      <c r="C14" s="53"/>
      <c r="D14" s="182">
        <v>0.01</v>
      </c>
      <c r="E14" s="61"/>
      <c r="F14" s="182">
        <v>0.03</v>
      </c>
      <c r="G14" s="61"/>
      <c r="H14" s="181">
        <v>-0.01</v>
      </c>
      <c r="I14" s="61"/>
      <c r="J14" s="181">
        <v>-0.02</v>
      </c>
      <c r="K14" s="182">
        <v>0.02</v>
      </c>
      <c r="L14" s="61"/>
      <c r="M14" s="61"/>
      <c r="N14" s="61"/>
      <c r="O14" s="61"/>
      <c r="P14" s="43"/>
    </row>
    <row r="15" spans="2:16" s="41" customFormat="1" ht="18" customHeight="1" x14ac:dyDescent="0.15">
      <c r="B15" s="53"/>
      <c r="C15" s="53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2:16" s="41" customFormat="1" ht="18" customHeight="1" x14ac:dyDescent="0.15">
      <c r="B16" s="55" t="s">
        <v>29</v>
      </c>
      <c r="C16" s="5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 s="41" customFormat="1" ht="18" customHeight="1" x14ac:dyDescent="0.15">
      <c r="B17" s="53" t="s">
        <v>34</v>
      </c>
      <c r="C17" s="51">
        <v>75</v>
      </c>
      <c r="D17" s="56">
        <f>C17*(1+D14)</f>
        <v>75.75</v>
      </c>
      <c r="E17" s="57">
        <f t="shared" ref="E17:O17" si="4">D17*(1+E14)</f>
        <v>75.75</v>
      </c>
      <c r="F17" s="57">
        <f t="shared" si="4"/>
        <v>78.022500000000008</v>
      </c>
      <c r="G17" s="57">
        <f t="shared" si="4"/>
        <v>78.022500000000008</v>
      </c>
      <c r="H17" s="57">
        <f t="shared" si="4"/>
        <v>77.242275000000006</v>
      </c>
      <c r="I17" s="57">
        <f t="shared" si="4"/>
        <v>77.242275000000006</v>
      </c>
      <c r="J17" s="57">
        <f t="shared" si="4"/>
        <v>75.697429499999998</v>
      </c>
      <c r="K17" s="57">
        <f t="shared" si="4"/>
        <v>77.211378089999997</v>
      </c>
      <c r="L17" s="57">
        <f t="shared" si="4"/>
        <v>77.211378089999997</v>
      </c>
      <c r="M17" s="57">
        <f t="shared" si="4"/>
        <v>77.211378089999997</v>
      </c>
      <c r="N17" s="57">
        <f t="shared" si="4"/>
        <v>77.211378089999997</v>
      </c>
      <c r="O17" s="57">
        <f t="shared" si="4"/>
        <v>77.211378089999997</v>
      </c>
      <c r="P17" s="42"/>
    </row>
    <row r="18" spans="2:16" s="41" customFormat="1" ht="18" customHeight="1" x14ac:dyDescent="0.15">
      <c r="B18" s="53" t="s">
        <v>36</v>
      </c>
      <c r="C18" s="52">
        <v>45</v>
      </c>
      <c r="D18" s="56">
        <f>C18*(1+D14)</f>
        <v>45.45</v>
      </c>
      <c r="E18" s="57">
        <f t="shared" ref="E18:O18" si="5">D18*(1+E14)</f>
        <v>45.45</v>
      </c>
      <c r="F18" s="57">
        <f t="shared" si="5"/>
        <v>46.813500000000005</v>
      </c>
      <c r="G18" s="57">
        <f t="shared" si="5"/>
        <v>46.813500000000005</v>
      </c>
      <c r="H18" s="57">
        <f t="shared" si="5"/>
        <v>46.345365000000001</v>
      </c>
      <c r="I18" s="57">
        <f t="shared" si="5"/>
        <v>46.345365000000001</v>
      </c>
      <c r="J18" s="57">
        <f t="shared" si="5"/>
        <v>45.418457699999998</v>
      </c>
      <c r="K18" s="57">
        <f t="shared" si="5"/>
        <v>46.326826853999997</v>
      </c>
      <c r="L18" s="57">
        <f t="shared" si="5"/>
        <v>46.326826853999997</v>
      </c>
      <c r="M18" s="57">
        <f t="shared" si="5"/>
        <v>46.326826853999997</v>
      </c>
      <c r="N18" s="57">
        <f t="shared" si="5"/>
        <v>46.326826853999997</v>
      </c>
      <c r="O18" s="57">
        <f t="shared" si="5"/>
        <v>46.326826853999997</v>
      </c>
      <c r="P18" s="42"/>
    </row>
    <row r="19" spans="2:16" s="41" customFormat="1" ht="18" customHeight="1" x14ac:dyDescent="0.15">
      <c r="B19" s="53"/>
      <c r="C19" s="53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 s="41" customFormat="1" ht="18" customHeight="1" x14ac:dyDescent="0.15">
      <c r="B20" s="55" t="s">
        <v>30</v>
      </c>
      <c r="C20" s="53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 s="41" customFormat="1" ht="18" customHeight="1" x14ac:dyDescent="0.15">
      <c r="B21" s="53" t="s">
        <v>35</v>
      </c>
      <c r="C21" s="53"/>
      <c r="D21" s="58">
        <f>销售收入预算表!E7*C17</f>
        <v>7500</v>
      </c>
      <c r="E21" s="59">
        <f>[1]销售收入预算!E5*[1]材料预算表!D15</f>
        <v>17574</v>
      </c>
      <c r="F21" s="59">
        <f>[1]销售收入预算!F5*[1]材料预算表!E15</f>
        <v>18821.753999999997</v>
      </c>
      <c r="G21" s="59">
        <f>[1]销售收入预算!G5*[1]材料预算表!F15</f>
        <v>20614.302</v>
      </c>
      <c r="H21" s="59">
        <f>[1]销售收入预算!H5*[1]材料预算表!G15</f>
        <v>20851.814610000001</v>
      </c>
      <c r="I21" s="59">
        <f>[1]销售收入预算!I5*[1]材料预算表!H15</f>
        <v>21295.470239999999</v>
      </c>
      <c r="J21" s="59">
        <f>[1]销售收入预算!J5*[1]材料预算表!I15</f>
        <v>25879.911749999999</v>
      </c>
      <c r="K21" s="59">
        <f>[1]销售收入预算!K5*[1]材料预算表!J15</f>
        <v>29724.927210000002</v>
      </c>
      <c r="L21" s="59">
        <f>[1]销售收入预算!L5*[1]材料预算表!K15</f>
        <v>33126.287040000003</v>
      </c>
      <c r="M21" s="59">
        <f>[1]销售收入预算!M5*[1]材料预算表!L15</f>
        <v>33126.287040000003</v>
      </c>
      <c r="N21" s="59">
        <f>[1]销售收入预算!N5*[1]材料预算表!M15</f>
        <v>33126.287040000003</v>
      </c>
      <c r="O21" s="59">
        <f>[1]销售收入预算!O5*[1]材料预算表!N15</f>
        <v>33126.287040000003</v>
      </c>
      <c r="P21" s="42"/>
    </row>
    <row r="22" spans="2:16" s="41" customFormat="1" ht="18" customHeight="1" x14ac:dyDescent="0.15">
      <c r="B22" s="53" t="s">
        <v>36</v>
      </c>
      <c r="C22" s="53"/>
      <c r="D22" s="58">
        <f>销售收入预算表!E8*C18</f>
        <v>6750</v>
      </c>
      <c r="E22" s="59">
        <f>销售收入预算表!F8*D18</f>
        <v>5454</v>
      </c>
      <c r="F22" s="59">
        <f>销售收入预算表!G8*E18</f>
        <v>4545</v>
      </c>
      <c r="G22" s="59">
        <f>销售收入预算表!H8*F18</f>
        <v>4025.9610000000002</v>
      </c>
      <c r="H22" s="59">
        <f>销售收入预算表!I8*G18</f>
        <v>3183.3180000000002</v>
      </c>
      <c r="I22" s="59">
        <f>销售收入预算表!J8*H18</f>
        <v>2224.5775199999998</v>
      </c>
      <c r="J22" s="59">
        <f>销售收入预算表!K8*I18</f>
        <v>3151.4848200000001</v>
      </c>
      <c r="K22" s="59">
        <f>销售收入预算表!L8*J18</f>
        <v>3996.8242775999997</v>
      </c>
      <c r="L22" s="59">
        <f>销售收入预算表!M8*K18</f>
        <v>4540.029031692</v>
      </c>
      <c r="M22" s="59">
        <f>销售收入预算表!N8*L18</f>
        <v>5003.2973002319995</v>
      </c>
      <c r="N22" s="59">
        <f>销售收入预算表!O8*M18</f>
        <v>4632.6826854000001</v>
      </c>
      <c r="O22" s="59">
        <f>销售收入预算表!P8*N18</f>
        <v>4540.029031692</v>
      </c>
      <c r="P22" s="42"/>
    </row>
    <row r="23" spans="2:16" s="41" customFormat="1" ht="18" customHeight="1" x14ac:dyDescent="0.15">
      <c r="B23" s="53" t="s">
        <v>31</v>
      </c>
      <c r="C23" s="53"/>
      <c r="D23" s="58">
        <f>SUM(D21:D22)</f>
        <v>14250</v>
      </c>
      <c r="E23" s="59">
        <f t="shared" ref="E23:O23" si="6">SUM(E21:E22)</f>
        <v>23028</v>
      </c>
      <c r="F23" s="59">
        <f t="shared" si="6"/>
        <v>23366.753999999997</v>
      </c>
      <c r="G23" s="59">
        <f t="shared" si="6"/>
        <v>24640.262999999999</v>
      </c>
      <c r="H23" s="59">
        <f t="shared" si="6"/>
        <v>24035.132610000001</v>
      </c>
      <c r="I23" s="59">
        <f t="shared" si="6"/>
        <v>23520.047759999998</v>
      </c>
      <c r="J23" s="59">
        <f t="shared" si="6"/>
        <v>29031.396570000001</v>
      </c>
      <c r="K23" s="59">
        <f t="shared" si="6"/>
        <v>33721.751487599999</v>
      </c>
      <c r="L23" s="59">
        <f t="shared" si="6"/>
        <v>37666.316071692003</v>
      </c>
      <c r="M23" s="59">
        <f t="shared" si="6"/>
        <v>38129.584340232002</v>
      </c>
      <c r="N23" s="59">
        <f t="shared" si="6"/>
        <v>37758.969725400006</v>
      </c>
      <c r="O23" s="59">
        <f t="shared" si="6"/>
        <v>37666.316071692003</v>
      </c>
      <c r="P23" s="42"/>
    </row>
  </sheetData>
  <mergeCells count="7">
    <mergeCell ref="B1:P1"/>
    <mergeCell ref="L3:O3"/>
    <mergeCell ref="B2:D2"/>
    <mergeCell ref="E2:I2"/>
    <mergeCell ref="B3:D3"/>
    <mergeCell ref="E3:H3"/>
    <mergeCell ref="I3:K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zoomScaleNormal="100" workbookViewId="0">
      <selection activeCell="P19" sqref="P19"/>
    </sheetView>
  </sheetViews>
  <sheetFormatPr defaultRowHeight="13.5" x14ac:dyDescent="0.15"/>
  <cols>
    <col min="1" max="1" width="14.25" customWidth="1"/>
    <col min="2" max="3" width="8.625" customWidth="1"/>
    <col min="4" max="4" width="10.125" customWidth="1"/>
    <col min="5" max="5" width="9.125" customWidth="1"/>
    <col min="6" max="6" width="8.5" customWidth="1"/>
    <col min="7" max="10" width="8.875" customWidth="1"/>
    <col min="11" max="13" width="9.375" customWidth="1"/>
    <col min="14" max="14" width="11.625" bestFit="1" customWidth="1"/>
  </cols>
  <sheetData>
    <row r="1" spans="1:17" ht="37.5" customHeight="1" x14ac:dyDescent="0.15">
      <c r="A1" s="201" t="s">
        <v>104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</row>
    <row r="2" spans="1:17" ht="17.25" customHeight="1" x14ac:dyDescent="0.15">
      <c r="A2" s="184" t="s">
        <v>272</v>
      </c>
      <c r="B2" s="202" t="s">
        <v>268</v>
      </c>
      <c r="C2" s="202"/>
      <c r="D2" s="202"/>
      <c r="E2" s="202"/>
      <c r="F2" s="184"/>
      <c r="G2" s="184"/>
      <c r="H2" s="184"/>
      <c r="I2" s="184"/>
      <c r="J2" s="184"/>
      <c r="K2" s="184"/>
      <c r="L2" s="184"/>
      <c r="M2" s="183"/>
      <c r="N2" s="183"/>
    </row>
    <row r="3" spans="1:17" ht="19.5" customHeight="1" x14ac:dyDescent="0.15">
      <c r="A3" s="203" t="s">
        <v>273</v>
      </c>
      <c r="B3" s="203"/>
      <c r="C3" s="203">
        <v>2013</v>
      </c>
      <c r="D3" s="203"/>
      <c r="E3" s="203"/>
      <c r="F3" s="203"/>
      <c r="G3" s="203" t="s">
        <v>274</v>
      </c>
      <c r="H3" s="203"/>
      <c r="I3" s="204">
        <v>41214</v>
      </c>
      <c r="J3" s="203"/>
      <c r="K3" s="203"/>
      <c r="L3" s="203"/>
      <c r="M3" s="183"/>
      <c r="N3" s="183"/>
    </row>
    <row r="4" spans="1:17" s="41" customFormat="1" ht="30.75" customHeight="1" x14ac:dyDescent="0.15">
      <c r="A4" s="68" t="s">
        <v>103</v>
      </c>
      <c r="B4" s="68">
        <v>1</v>
      </c>
      <c r="C4" s="68">
        <f>+B4+1</f>
        <v>2</v>
      </c>
      <c r="D4" s="68">
        <f t="shared" ref="D4:M4" si="0">+C4+1</f>
        <v>3</v>
      </c>
      <c r="E4" s="68">
        <f t="shared" si="0"/>
        <v>4</v>
      </c>
      <c r="F4" s="68">
        <f t="shared" si="0"/>
        <v>5</v>
      </c>
      <c r="G4" s="68">
        <f t="shared" si="0"/>
        <v>6</v>
      </c>
      <c r="H4" s="68">
        <f t="shared" si="0"/>
        <v>7</v>
      </c>
      <c r="I4" s="68">
        <f t="shared" si="0"/>
        <v>8</v>
      </c>
      <c r="J4" s="68">
        <f t="shared" si="0"/>
        <v>9</v>
      </c>
      <c r="K4" s="68">
        <f t="shared" si="0"/>
        <v>10</v>
      </c>
      <c r="L4" s="68">
        <f t="shared" si="0"/>
        <v>11</v>
      </c>
      <c r="M4" s="68">
        <f t="shared" si="0"/>
        <v>12</v>
      </c>
      <c r="N4" s="69" t="s">
        <v>18</v>
      </c>
    </row>
    <row r="5" spans="1:17" s="41" customFormat="1" ht="15" customHeight="1" x14ac:dyDescent="0.15">
      <c r="A5" s="67" t="s">
        <v>38</v>
      </c>
      <c r="B5" s="81">
        <f>B46</f>
        <v>6594</v>
      </c>
      <c r="C5" s="81">
        <f>C46</f>
        <v>6595</v>
      </c>
      <c r="D5" s="80">
        <f t="shared" ref="D5:M5" si="1">D46</f>
        <v>6595</v>
      </c>
      <c r="E5" s="80">
        <f t="shared" si="1"/>
        <v>6595</v>
      </c>
      <c r="F5" s="80">
        <f t="shared" si="1"/>
        <v>6595</v>
      </c>
      <c r="G5" s="80">
        <f t="shared" si="1"/>
        <v>6595</v>
      </c>
      <c r="H5" s="80">
        <f t="shared" si="1"/>
        <v>6595</v>
      </c>
      <c r="I5" s="80">
        <f t="shared" si="1"/>
        <v>6595</v>
      </c>
      <c r="J5" s="80">
        <f t="shared" si="1"/>
        <v>6595</v>
      </c>
      <c r="K5" s="80">
        <f t="shared" si="1"/>
        <v>6595</v>
      </c>
      <c r="L5" s="80">
        <f t="shared" si="1"/>
        <v>6595</v>
      </c>
      <c r="M5" s="80">
        <f t="shared" si="1"/>
        <v>6595</v>
      </c>
      <c r="N5" s="81">
        <f>SUM(B5:M5)</f>
        <v>79139</v>
      </c>
    </row>
    <row r="6" spans="1:17" s="41" customFormat="1" ht="15" customHeight="1" x14ac:dyDescent="0.15">
      <c r="A6" s="67" t="s">
        <v>39</v>
      </c>
      <c r="B6" s="80">
        <f>B64</f>
        <v>2853.5</v>
      </c>
      <c r="C6" s="80">
        <f t="shared" ref="C6:M6" si="2">C64</f>
        <v>2816</v>
      </c>
      <c r="D6" s="80">
        <f t="shared" si="2"/>
        <v>2816</v>
      </c>
      <c r="E6" s="80">
        <f t="shared" si="2"/>
        <v>2816</v>
      </c>
      <c r="F6" s="80">
        <f t="shared" si="2"/>
        <v>2816</v>
      </c>
      <c r="G6" s="80">
        <f t="shared" si="2"/>
        <v>2816</v>
      </c>
      <c r="H6" s="80">
        <f t="shared" si="2"/>
        <v>2816</v>
      </c>
      <c r="I6" s="80">
        <f t="shared" si="2"/>
        <v>2816</v>
      </c>
      <c r="J6" s="80">
        <f t="shared" si="2"/>
        <v>2816</v>
      </c>
      <c r="K6" s="80">
        <f t="shared" si="2"/>
        <v>2816</v>
      </c>
      <c r="L6" s="80">
        <f t="shared" si="2"/>
        <v>2816</v>
      </c>
      <c r="M6" s="80">
        <f t="shared" si="2"/>
        <v>2816</v>
      </c>
      <c r="N6" s="80">
        <f t="shared" ref="N6:N8" si="3">SUM(B6:M6)</f>
        <v>33829.5</v>
      </c>
    </row>
    <row r="7" spans="1:17" s="41" customFormat="1" ht="15" customHeight="1" x14ac:dyDescent="0.15">
      <c r="A7" s="67" t="s">
        <v>40</v>
      </c>
      <c r="B7" s="80">
        <f>B74</f>
        <v>218.49</v>
      </c>
      <c r="C7" s="80">
        <f t="shared" ref="C7:M7" si="4">C74</f>
        <v>218.49</v>
      </c>
      <c r="D7" s="80">
        <f t="shared" si="4"/>
        <v>218.49</v>
      </c>
      <c r="E7" s="80">
        <f t="shared" si="4"/>
        <v>217.49</v>
      </c>
      <c r="F7" s="80">
        <f t="shared" si="4"/>
        <v>217.49</v>
      </c>
      <c r="G7" s="80">
        <f t="shared" si="4"/>
        <v>217.49</v>
      </c>
      <c r="H7" s="80">
        <f t="shared" si="4"/>
        <v>268.98</v>
      </c>
      <c r="I7" s="80">
        <f t="shared" si="4"/>
        <v>280.98</v>
      </c>
      <c r="J7" s="80">
        <f t="shared" si="4"/>
        <v>282.98</v>
      </c>
      <c r="K7" s="80">
        <f t="shared" si="4"/>
        <v>282.98</v>
      </c>
      <c r="L7" s="80">
        <f t="shared" si="4"/>
        <v>271.98</v>
      </c>
      <c r="M7" s="80">
        <f t="shared" si="4"/>
        <v>259.98</v>
      </c>
      <c r="N7" s="80">
        <f t="shared" si="3"/>
        <v>2955.82</v>
      </c>
    </row>
    <row r="8" spans="1:17" s="41" customFormat="1" ht="15" customHeight="1" x14ac:dyDescent="0.15">
      <c r="A8" s="71" t="s">
        <v>41</v>
      </c>
      <c r="B8" s="82">
        <f>SUM(B5:B7)</f>
        <v>9665.99</v>
      </c>
      <c r="C8" s="82">
        <f t="shared" ref="C8:M8" si="5">SUM(C5:C7)</f>
        <v>9629.49</v>
      </c>
      <c r="D8" s="82">
        <f t="shared" si="5"/>
        <v>9629.49</v>
      </c>
      <c r="E8" s="82">
        <f t="shared" si="5"/>
        <v>9628.49</v>
      </c>
      <c r="F8" s="82">
        <f t="shared" si="5"/>
        <v>9628.49</v>
      </c>
      <c r="G8" s="82">
        <f t="shared" si="5"/>
        <v>9628.49</v>
      </c>
      <c r="H8" s="82">
        <f t="shared" si="5"/>
        <v>9679.98</v>
      </c>
      <c r="I8" s="82">
        <f t="shared" si="5"/>
        <v>9691.98</v>
      </c>
      <c r="J8" s="82">
        <f t="shared" si="5"/>
        <v>9693.98</v>
      </c>
      <c r="K8" s="82">
        <f t="shared" si="5"/>
        <v>9693.98</v>
      </c>
      <c r="L8" s="82">
        <f t="shared" si="5"/>
        <v>9682.98</v>
      </c>
      <c r="M8" s="82">
        <f t="shared" si="5"/>
        <v>9670.98</v>
      </c>
      <c r="N8" s="80">
        <f t="shared" si="3"/>
        <v>115924.31999999998</v>
      </c>
    </row>
    <row r="9" spans="1:17" s="41" customFormat="1" ht="15" customHeight="1" x14ac:dyDescent="0.15">
      <c r="A9" s="65" t="s">
        <v>105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3"/>
    </row>
    <row r="10" spans="1:17" s="41" customFormat="1" ht="15" customHeight="1" x14ac:dyDescent="0.15">
      <c r="A10" s="66" t="s">
        <v>42</v>
      </c>
      <c r="B10" s="74">
        <v>14566</v>
      </c>
      <c r="C10" s="74">
        <v>14666</v>
      </c>
      <c r="D10" s="74">
        <v>14676</v>
      </c>
      <c r="E10" s="74">
        <v>15667</v>
      </c>
      <c r="F10" s="74">
        <v>15720</v>
      </c>
      <c r="G10" s="74">
        <v>15720</v>
      </c>
      <c r="H10" s="74">
        <v>15720</v>
      </c>
      <c r="I10" s="74">
        <v>15720</v>
      </c>
      <c r="J10" s="74">
        <v>15720</v>
      </c>
      <c r="K10" s="74">
        <v>16725</v>
      </c>
      <c r="L10" s="74">
        <v>16725</v>
      </c>
      <c r="M10" s="74">
        <v>16725</v>
      </c>
      <c r="N10" s="67">
        <f t="shared" ref="N10:N62" si="6">SUM(B10:M10)</f>
        <v>188350</v>
      </c>
    </row>
    <row r="11" spans="1:17" s="41" customFormat="1" ht="15" customHeight="1" x14ac:dyDescent="0.15">
      <c r="A11" s="66" t="s">
        <v>43</v>
      </c>
      <c r="B11" s="75">
        <v>80</v>
      </c>
      <c r="C11" s="75">
        <v>80</v>
      </c>
      <c r="D11" s="75">
        <v>80</v>
      </c>
      <c r="E11" s="75">
        <v>80</v>
      </c>
      <c r="F11" s="75">
        <v>80</v>
      </c>
      <c r="G11" s="75">
        <v>80</v>
      </c>
      <c r="H11" s="75">
        <v>80</v>
      </c>
      <c r="I11" s="75">
        <v>80</v>
      </c>
      <c r="J11" s="75">
        <v>80</v>
      </c>
      <c r="K11" s="75">
        <v>80</v>
      </c>
      <c r="L11" s="75">
        <v>80</v>
      </c>
      <c r="M11" s="75">
        <v>80</v>
      </c>
      <c r="N11" s="67">
        <f t="shared" si="6"/>
        <v>960</v>
      </c>
    </row>
    <row r="12" spans="1:17" s="41" customFormat="1" ht="15" customHeight="1" x14ac:dyDescent="0.15">
      <c r="A12" s="66" t="s">
        <v>44</v>
      </c>
      <c r="B12" s="75">
        <v>0</v>
      </c>
      <c r="C12" s="75">
        <v>0</v>
      </c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67">
        <f t="shared" si="6"/>
        <v>0</v>
      </c>
    </row>
    <row r="13" spans="1:17" s="41" customFormat="1" ht="15" customHeight="1" x14ac:dyDescent="0.15">
      <c r="A13" s="66" t="s">
        <v>45</v>
      </c>
      <c r="B13" s="75">
        <v>524</v>
      </c>
      <c r="C13" s="75">
        <v>524</v>
      </c>
      <c r="D13" s="75">
        <v>524</v>
      </c>
      <c r="E13" s="75">
        <v>524</v>
      </c>
      <c r="F13" s="75">
        <v>524</v>
      </c>
      <c r="G13" s="75">
        <v>524</v>
      </c>
      <c r="H13" s="75">
        <v>524</v>
      </c>
      <c r="I13" s="75">
        <v>524</v>
      </c>
      <c r="J13" s="75">
        <v>524</v>
      </c>
      <c r="K13" s="75">
        <v>524</v>
      </c>
      <c r="L13" s="75">
        <v>524</v>
      </c>
      <c r="M13" s="75">
        <v>524</v>
      </c>
      <c r="N13" s="67">
        <f t="shared" si="6"/>
        <v>6288</v>
      </c>
    </row>
    <row r="14" spans="1:17" s="41" customFormat="1" ht="15" customHeight="1" x14ac:dyDescent="0.15">
      <c r="A14" s="66" t="s">
        <v>46</v>
      </c>
      <c r="B14" s="75">
        <v>850</v>
      </c>
      <c r="C14" s="75">
        <v>850</v>
      </c>
      <c r="D14" s="75">
        <v>850</v>
      </c>
      <c r="E14" s="75">
        <v>850</v>
      </c>
      <c r="F14" s="75">
        <v>850</v>
      </c>
      <c r="G14" s="75">
        <v>850</v>
      </c>
      <c r="H14" s="75">
        <v>850</v>
      </c>
      <c r="I14" s="75">
        <v>850</v>
      </c>
      <c r="J14" s="75">
        <v>850</v>
      </c>
      <c r="K14" s="75">
        <v>850</v>
      </c>
      <c r="L14" s="75">
        <v>850</v>
      </c>
      <c r="M14" s="75">
        <v>850</v>
      </c>
      <c r="N14" s="67">
        <f t="shared" si="6"/>
        <v>10200</v>
      </c>
    </row>
    <row r="15" spans="1:17" s="41" customFormat="1" ht="15" customHeight="1" x14ac:dyDescent="0.15">
      <c r="A15" s="66" t="s">
        <v>47</v>
      </c>
      <c r="B15" s="75">
        <v>200</v>
      </c>
      <c r="C15" s="75">
        <v>200</v>
      </c>
      <c r="D15" s="75">
        <v>200</v>
      </c>
      <c r="E15" s="75">
        <v>200</v>
      </c>
      <c r="F15" s="75">
        <v>200</v>
      </c>
      <c r="G15" s="75">
        <v>200</v>
      </c>
      <c r="H15" s="75">
        <v>200</v>
      </c>
      <c r="I15" s="75">
        <v>200</v>
      </c>
      <c r="J15" s="75">
        <v>200</v>
      </c>
      <c r="K15" s="75">
        <v>200</v>
      </c>
      <c r="L15" s="75">
        <v>200</v>
      </c>
      <c r="M15" s="75">
        <v>200</v>
      </c>
      <c r="N15" s="67">
        <f t="shared" si="6"/>
        <v>2400</v>
      </c>
    </row>
    <row r="16" spans="1:17" s="41" customFormat="1" ht="15" customHeight="1" x14ac:dyDescent="0.15">
      <c r="A16" s="66" t="s">
        <v>48</v>
      </c>
      <c r="B16" s="75">
        <v>2500</v>
      </c>
      <c r="C16" s="75">
        <v>2500</v>
      </c>
      <c r="D16" s="75">
        <v>2500</v>
      </c>
      <c r="E16" s="75">
        <v>2500</v>
      </c>
      <c r="F16" s="75">
        <v>2500</v>
      </c>
      <c r="G16" s="75">
        <v>2500</v>
      </c>
      <c r="H16" s="75">
        <v>2500</v>
      </c>
      <c r="I16" s="75">
        <v>2500</v>
      </c>
      <c r="J16" s="75">
        <v>2500</v>
      </c>
      <c r="K16" s="75">
        <v>2500</v>
      </c>
      <c r="L16" s="75">
        <v>2500</v>
      </c>
      <c r="M16" s="75">
        <v>2500</v>
      </c>
      <c r="N16" s="67">
        <f t="shared" si="6"/>
        <v>30000</v>
      </c>
      <c r="Q16" s="70"/>
    </row>
    <row r="17" spans="1:14" s="41" customFormat="1" ht="15" customHeight="1" x14ac:dyDescent="0.15">
      <c r="A17" s="66" t="s">
        <v>49</v>
      </c>
      <c r="B17" s="75">
        <v>1500</v>
      </c>
      <c r="C17" s="75">
        <v>1500</v>
      </c>
      <c r="D17" s="75">
        <v>1500</v>
      </c>
      <c r="E17" s="75">
        <v>1500</v>
      </c>
      <c r="F17" s="75">
        <v>1500</v>
      </c>
      <c r="G17" s="75">
        <v>1500</v>
      </c>
      <c r="H17" s="75">
        <v>1500</v>
      </c>
      <c r="I17" s="75">
        <v>1500</v>
      </c>
      <c r="J17" s="75">
        <v>1500</v>
      </c>
      <c r="K17" s="75">
        <v>1500</v>
      </c>
      <c r="L17" s="75">
        <v>1500</v>
      </c>
      <c r="M17" s="75">
        <v>1500</v>
      </c>
      <c r="N17" s="67">
        <f t="shared" si="6"/>
        <v>18000</v>
      </c>
    </row>
    <row r="18" spans="1:14" s="41" customFormat="1" ht="15" customHeight="1" x14ac:dyDescent="0.15">
      <c r="A18" s="66" t="s">
        <v>50</v>
      </c>
      <c r="B18" s="75">
        <v>300</v>
      </c>
      <c r="C18" s="75">
        <v>300</v>
      </c>
      <c r="D18" s="75">
        <v>300</v>
      </c>
      <c r="E18" s="75">
        <v>300</v>
      </c>
      <c r="F18" s="75">
        <v>300</v>
      </c>
      <c r="G18" s="75">
        <v>300</v>
      </c>
      <c r="H18" s="75">
        <v>300</v>
      </c>
      <c r="I18" s="75">
        <v>300</v>
      </c>
      <c r="J18" s="75">
        <v>300</v>
      </c>
      <c r="K18" s="75">
        <v>300</v>
      </c>
      <c r="L18" s="75">
        <v>300</v>
      </c>
      <c r="M18" s="75">
        <v>300</v>
      </c>
      <c r="N18" s="67">
        <f t="shared" si="6"/>
        <v>3600</v>
      </c>
    </row>
    <row r="19" spans="1:14" s="41" customFormat="1" ht="15" customHeight="1" x14ac:dyDescent="0.15">
      <c r="A19" s="66" t="s">
        <v>51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67">
        <f t="shared" si="6"/>
        <v>0</v>
      </c>
    </row>
    <row r="20" spans="1:14" s="41" customFormat="1" ht="15" customHeight="1" x14ac:dyDescent="0.15">
      <c r="A20" s="66" t="s">
        <v>52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67">
        <f t="shared" si="6"/>
        <v>0</v>
      </c>
    </row>
    <row r="21" spans="1:14" s="41" customFormat="1" ht="15" customHeight="1" x14ac:dyDescent="0.15">
      <c r="A21" s="66" t="s">
        <v>53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67">
        <f t="shared" si="6"/>
        <v>0</v>
      </c>
    </row>
    <row r="22" spans="1:14" s="41" customFormat="1" ht="15" customHeight="1" x14ac:dyDescent="0.15">
      <c r="A22" s="66" t="s">
        <v>54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67">
        <f t="shared" si="6"/>
        <v>0</v>
      </c>
    </row>
    <row r="23" spans="1:14" s="41" customFormat="1" ht="15" customHeight="1" x14ac:dyDescent="0.15">
      <c r="A23" s="66" t="s">
        <v>55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67">
        <f t="shared" si="6"/>
        <v>0</v>
      </c>
    </row>
    <row r="24" spans="1:14" s="41" customFormat="1" ht="15" customHeight="1" x14ac:dyDescent="0.15">
      <c r="A24" s="66" t="s">
        <v>56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67">
        <f t="shared" si="6"/>
        <v>0</v>
      </c>
    </row>
    <row r="25" spans="1:14" s="41" customFormat="1" ht="15" customHeight="1" x14ac:dyDescent="0.15">
      <c r="A25" s="66" t="s">
        <v>57</v>
      </c>
      <c r="B25" s="75">
        <v>80</v>
      </c>
      <c r="C25" s="75">
        <v>80</v>
      </c>
      <c r="D25" s="75">
        <v>80</v>
      </c>
      <c r="E25" s="75">
        <v>80</v>
      </c>
      <c r="F25" s="75">
        <v>80</v>
      </c>
      <c r="G25" s="75">
        <v>80</v>
      </c>
      <c r="H25" s="75">
        <v>80</v>
      </c>
      <c r="I25" s="75">
        <v>80</v>
      </c>
      <c r="J25" s="75">
        <v>80</v>
      </c>
      <c r="K25" s="75">
        <v>80</v>
      </c>
      <c r="L25" s="75">
        <v>80</v>
      </c>
      <c r="M25" s="75">
        <v>80</v>
      </c>
      <c r="N25" s="67">
        <f t="shared" si="6"/>
        <v>960</v>
      </c>
    </row>
    <row r="26" spans="1:14" s="41" customFormat="1" ht="15" customHeight="1" x14ac:dyDescent="0.15">
      <c r="A26" s="76" t="s">
        <v>58</v>
      </c>
      <c r="B26" s="77">
        <v>75</v>
      </c>
      <c r="C26" s="77">
        <v>75</v>
      </c>
      <c r="D26" s="77">
        <v>75</v>
      </c>
      <c r="E26" s="77">
        <v>75</v>
      </c>
      <c r="F26" s="77">
        <v>75</v>
      </c>
      <c r="G26" s="77">
        <v>75</v>
      </c>
      <c r="H26" s="77">
        <v>75</v>
      </c>
      <c r="I26" s="77">
        <v>75</v>
      </c>
      <c r="J26" s="77">
        <v>75</v>
      </c>
      <c r="K26" s="77">
        <v>75</v>
      </c>
      <c r="L26" s="77">
        <v>75</v>
      </c>
      <c r="M26" s="77">
        <v>75</v>
      </c>
      <c r="N26" s="67">
        <f t="shared" si="6"/>
        <v>900</v>
      </c>
    </row>
    <row r="27" spans="1:14" s="41" customFormat="1" ht="15" customHeight="1" x14ac:dyDescent="0.15">
      <c r="A27" s="66" t="s">
        <v>59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67">
        <f t="shared" si="6"/>
        <v>0</v>
      </c>
    </row>
    <row r="28" spans="1:14" s="41" customFormat="1" ht="15" customHeight="1" x14ac:dyDescent="0.15">
      <c r="A28" s="66" t="s">
        <v>60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67">
        <f t="shared" si="6"/>
        <v>0</v>
      </c>
    </row>
    <row r="29" spans="1:14" s="41" customFormat="1" ht="15" customHeight="1" x14ac:dyDescent="0.15">
      <c r="A29" s="66" t="s">
        <v>61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67">
        <f t="shared" si="6"/>
        <v>0</v>
      </c>
    </row>
    <row r="30" spans="1:14" s="41" customFormat="1" ht="15" customHeight="1" x14ac:dyDescent="0.15">
      <c r="A30" s="66" t="s">
        <v>62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67">
        <f t="shared" si="6"/>
        <v>0</v>
      </c>
    </row>
    <row r="31" spans="1:14" s="41" customFormat="1" ht="15" customHeight="1" x14ac:dyDescent="0.15">
      <c r="A31" s="66" t="s">
        <v>63</v>
      </c>
      <c r="B31" s="75">
        <v>20</v>
      </c>
      <c r="C31" s="75">
        <v>21</v>
      </c>
      <c r="D31" s="75">
        <v>21</v>
      </c>
      <c r="E31" s="75">
        <v>21</v>
      </c>
      <c r="F31" s="75">
        <v>21</v>
      </c>
      <c r="G31" s="75">
        <v>21</v>
      </c>
      <c r="H31" s="75">
        <v>21</v>
      </c>
      <c r="I31" s="75">
        <v>21</v>
      </c>
      <c r="J31" s="75">
        <v>21</v>
      </c>
      <c r="K31" s="75">
        <v>21</v>
      </c>
      <c r="L31" s="75">
        <v>21</v>
      </c>
      <c r="M31" s="75">
        <v>21</v>
      </c>
      <c r="N31" s="67">
        <f t="shared" si="6"/>
        <v>251</v>
      </c>
    </row>
    <row r="32" spans="1:14" s="41" customFormat="1" ht="15" customHeight="1" x14ac:dyDescent="0.15">
      <c r="A32" s="66" t="s">
        <v>64</v>
      </c>
      <c r="B32" s="75">
        <v>8</v>
      </c>
      <c r="C32" s="75">
        <v>8</v>
      </c>
      <c r="D32" s="75">
        <v>8</v>
      </c>
      <c r="E32" s="75">
        <v>8</v>
      </c>
      <c r="F32" s="75">
        <v>8</v>
      </c>
      <c r="G32" s="75">
        <v>8</v>
      </c>
      <c r="H32" s="75">
        <v>8</v>
      </c>
      <c r="I32" s="75">
        <v>8</v>
      </c>
      <c r="J32" s="75">
        <v>8</v>
      </c>
      <c r="K32" s="75">
        <v>8</v>
      </c>
      <c r="L32" s="75">
        <v>8</v>
      </c>
      <c r="M32" s="75">
        <v>8</v>
      </c>
      <c r="N32" s="67">
        <f t="shared" si="6"/>
        <v>96</v>
      </c>
    </row>
    <row r="33" spans="1:14" s="41" customFormat="1" ht="15" customHeight="1" x14ac:dyDescent="0.15">
      <c r="A33" s="66" t="s">
        <v>65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67">
        <f t="shared" si="6"/>
        <v>0</v>
      </c>
    </row>
    <row r="34" spans="1:14" s="41" customFormat="1" ht="15" customHeight="1" x14ac:dyDescent="0.15">
      <c r="A34" s="66" t="s">
        <v>66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67">
        <f t="shared" si="6"/>
        <v>0</v>
      </c>
    </row>
    <row r="35" spans="1:14" s="41" customFormat="1" ht="15" customHeight="1" x14ac:dyDescent="0.15">
      <c r="A35" s="66" t="s">
        <v>67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67">
        <f t="shared" si="6"/>
        <v>0</v>
      </c>
    </row>
    <row r="36" spans="1:14" s="41" customFormat="1" ht="15" customHeight="1" x14ac:dyDescent="0.15">
      <c r="A36" s="66" t="s">
        <v>68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67">
        <f t="shared" si="6"/>
        <v>0</v>
      </c>
    </row>
    <row r="37" spans="1:14" s="41" customFormat="1" ht="15" customHeight="1" x14ac:dyDescent="0.15">
      <c r="A37" s="66" t="s">
        <v>69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67">
        <f t="shared" si="6"/>
        <v>0</v>
      </c>
    </row>
    <row r="38" spans="1:14" s="41" customFormat="1" ht="15" customHeight="1" x14ac:dyDescent="0.15">
      <c r="A38" s="66" t="s">
        <v>70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67">
        <f t="shared" si="6"/>
        <v>0</v>
      </c>
    </row>
    <row r="39" spans="1:14" s="41" customFormat="1" ht="15" customHeight="1" x14ac:dyDescent="0.15">
      <c r="A39" s="66" t="s">
        <v>71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67">
        <f t="shared" si="6"/>
        <v>0</v>
      </c>
    </row>
    <row r="40" spans="1:14" s="41" customFormat="1" ht="15" customHeight="1" x14ac:dyDescent="0.15">
      <c r="A40" s="66" t="s">
        <v>72</v>
      </c>
      <c r="B40" s="75">
        <v>208</v>
      </c>
      <c r="C40" s="75">
        <v>208</v>
      </c>
      <c r="D40" s="75">
        <v>208</v>
      </c>
      <c r="E40" s="75">
        <v>208</v>
      </c>
      <c r="F40" s="75">
        <v>208</v>
      </c>
      <c r="G40" s="75">
        <v>208</v>
      </c>
      <c r="H40" s="75">
        <v>208</v>
      </c>
      <c r="I40" s="75">
        <v>208</v>
      </c>
      <c r="J40" s="75">
        <v>208</v>
      </c>
      <c r="K40" s="75">
        <v>208</v>
      </c>
      <c r="L40" s="75">
        <v>208</v>
      </c>
      <c r="M40" s="75">
        <v>208</v>
      </c>
      <c r="N40" s="67">
        <f t="shared" si="6"/>
        <v>2496</v>
      </c>
    </row>
    <row r="41" spans="1:14" s="41" customFormat="1" ht="15" customHeight="1" x14ac:dyDescent="0.15">
      <c r="A41" s="66" t="s">
        <v>73</v>
      </c>
      <c r="B41" s="75">
        <v>208</v>
      </c>
      <c r="C41" s="75">
        <v>208</v>
      </c>
      <c r="D41" s="75">
        <v>208</v>
      </c>
      <c r="E41" s="75">
        <v>208</v>
      </c>
      <c r="F41" s="75">
        <v>208</v>
      </c>
      <c r="G41" s="75">
        <v>208</v>
      </c>
      <c r="H41" s="75">
        <v>208</v>
      </c>
      <c r="I41" s="75">
        <v>208</v>
      </c>
      <c r="J41" s="75">
        <v>208</v>
      </c>
      <c r="K41" s="75">
        <v>208</v>
      </c>
      <c r="L41" s="75">
        <v>208</v>
      </c>
      <c r="M41" s="75">
        <v>208</v>
      </c>
      <c r="N41" s="67">
        <f t="shared" si="6"/>
        <v>2496</v>
      </c>
    </row>
    <row r="42" spans="1:14" s="41" customFormat="1" ht="15" customHeight="1" x14ac:dyDescent="0.15">
      <c r="A42" s="66" t="s">
        <v>74</v>
      </c>
      <c r="B42" s="75">
        <v>0</v>
      </c>
      <c r="C42" s="75">
        <v>0</v>
      </c>
      <c r="D42" s="75">
        <v>0</v>
      </c>
      <c r="E42" s="75">
        <v>0</v>
      </c>
      <c r="F42" s="75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67">
        <f t="shared" si="6"/>
        <v>0</v>
      </c>
    </row>
    <row r="43" spans="1:14" s="41" customFormat="1" ht="15" customHeight="1" x14ac:dyDescent="0.15">
      <c r="A43" s="66" t="s">
        <v>75</v>
      </c>
      <c r="B43" s="75">
        <v>0</v>
      </c>
      <c r="C43" s="75">
        <v>0</v>
      </c>
      <c r="D43" s="75">
        <v>0</v>
      </c>
      <c r="E43" s="75">
        <v>0</v>
      </c>
      <c r="F43" s="75">
        <v>0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  <c r="N43" s="67">
        <f t="shared" si="6"/>
        <v>0</v>
      </c>
    </row>
    <row r="44" spans="1:14" s="41" customFormat="1" ht="15" customHeight="1" x14ac:dyDescent="0.15">
      <c r="A44" s="66" t="s">
        <v>76</v>
      </c>
      <c r="B44" s="75">
        <v>41</v>
      </c>
      <c r="C44" s="75">
        <v>41</v>
      </c>
      <c r="D44" s="75">
        <v>41</v>
      </c>
      <c r="E44" s="75">
        <v>41</v>
      </c>
      <c r="F44" s="75">
        <v>41</v>
      </c>
      <c r="G44" s="75">
        <v>41</v>
      </c>
      <c r="H44" s="75">
        <v>41</v>
      </c>
      <c r="I44" s="75">
        <v>41</v>
      </c>
      <c r="J44" s="75">
        <v>41</v>
      </c>
      <c r="K44" s="75">
        <v>41</v>
      </c>
      <c r="L44" s="75">
        <v>41</v>
      </c>
      <c r="M44" s="75">
        <v>41</v>
      </c>
      <c r="N44" s="67">
        <f t="shared" si="6"/>
        <v>492</v>
      </c>
    </row>
    <row r="45" spans="1:14" s="41" customFormat="1" ht="15" customHeight="1" x14ac:dyDescent="0.15">
      <c r="A45" s="66" t="s">
        <v>77</v>
      </c>
      <c r="B45" s="75">
        <v>0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67">
        <f t="shared" si="6"/>
        <v>0</v>
      </c>
    </row>
    <row r="46" spans="1:14" s="41" customFormat="1" ht="15" customHeight="1" x14ac:dyDescent="0.15">
      <c r="A46" s="65" t="s">
        <v>78</v>
      </c>
      <c r="B46" s="66">
        <f>SUM(B11:B45)</f>
        <v>6594</v>
      </c>
      <c r="C46" s="66">
        <f t="shared" ref="C46:M46" si="7">SUM(C11:C45)</f>
        <v>6595</v>
      </c>
      <c r="D46" s="66">
        <f t="shared" si="7"/>
        <v>6595</v>
      </c>
      <c r="E46" s="66">
        <f t="shared" si="7"/>
        <v>6595</v>
      </c>
      <c r="F46" s="66">
        <f t="shared" si="7"/>
        <v>6595</v>
      </c>
      <c r="G46" s="66">
        <f t="shared" si="7"/>
        <v>6595</v>
      </c>
      <c r="H46" s="66">
        <f t="shared" si="7"/>
        <v>6595</v>
      </c>
      <c r="I46" s="66">
        <f t="shared" si="7"/>
        <v>6595</v>
      </c>
      <c r="J46" s="66">
        <f t="shared" si="7"/>
        <v>6595</v>
      </c>
      <c r="K46" s="66">
        <f t="shared" si="7"/>
        <v>6595</v>
      </c>
      <c r="L46" s="66">
        <f t="shared" si="7"/>
        <v>6595</v>
      </c>
      <c r="M46" s="66">
        <f t="shared" si="7"/>
        <v>6595</v>
      </c>
      <c r="N46" s="67">
        <f t="shared" si="6"/>
        <v>79139</v>
      </c>
    </row>
    <row r="47" spans="1:14" s="41" customFormat="1" ht="15" customHeight="1" x14ac:dyDescent="0.15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67">
        <f t="shared" si="6"/>
        <v>0</v>
      </c>
    </row>
    <row r="48" spans="1:14" s="41" customFormat="1" ht="15" customHeight="1" x14ac:dyDescent="0.15">
      <c r="A48" s="65" t="s">
        <v>79</v>
      </c>
      <c r="B48" s="66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67">
        <f t="shared" si="6"/>
        <v>0</v>
      </c>
    </row>
    <row r="49" spans="1:14" s="41" customFormat="1" ht="15" customHeight="1" x14ac:dyDescent="0.15">
      <c r="A49" s="66" t="s">
        <v>80</v>
      </c>
      <c r="B49" s="75">
        <v>180</v>
      </c>
      <c r="C49" s="75">
        <v>180</v>
      </c>
      <c r="D49" s="75">
        <v>180</v>
      </c>
      <c r="E49" s="75">
        <v>180</v>
      </c>
      <c r="F49" s="75">
        <v>180</v>
      </c>
      <c r="G49" s="75">
        <v>180</v>
      </c>
      <c r="H49" s="75">
        <v>180</v>
      </c>
      <c r="I49" s="75">
        <v>180</v>
      </c>
      <c r="J49" s="75">
        <v>180</v>
      </c>
      <c r="K49" s="75">
        <v>180</v>
      </c>
      <c r="L49" s="75">
        <v>180</v>
      </c>
      <c r="M49" s="75">
        <v>180</v>
      </c>
      <c r="N49" s="67">
        <f t="shared" si="6"/>
        <v>2160</v>
      </c>
    </row>
    <row r="50" spans="1:14" s="41" customFormat="1" ht="15" customHeight="1" x14ac:dyDescent="0.15">
      <c r="A50" s="66" t="s">
        <v>81</v>
      </c>
      <c r="B50" s="75">
        <v>360</v>
      </c>
      <c r="C50" s="75">
        <v>360</v>
      </c>
      <c r="D50" s="75">
        <v>360</v>
      </c>
      <c r="E50" s="75">
        <v>360</v>
      </c>
      <c r="F50" s="75">
        <v>360</v>
      </c>
      <c r="G50" s="75">
        <v>360</v>
      </c>
      <c r="H50" s="75">
        <v>360</v>
      </c>
      <c r="I50" s="75">
        <v>360</v>
      </c>
      <c r="J50" s="75">
        <v>360</v>
      </c>
      <c r="K50" s="75">
        <v>360</v>
      </c>
      <c r="L50" s="75">
        <v>360</v>
      </c>
      <c r="M50" s="75">
        <v>360</v>
      </c>
      <c r="N50" s="67">
        <f t="shared" si="6"/>
        <v>4320</v>
      </c>
    </row>
    <row r="51" spans="1:14" s="41" customFormat="1" ht="15" customHeight="1" x14ac:dyDescent="0.15">
      <c r="A51" s="66" t="s">
        <v>82</v>
      </c>
      <c r="B51" s="75">
        <v>500</v>
      </c>
      <c r="C51" s="75">
        <v>500</v>
      </c>
      <c r="D51" s="75">
        <v>500</v>
      </c>
      <c r="E51" s="75">
        <v>500</v>
      </c>
      <c r="F51" s="75">
        <v>500</v>
      </c>
      <c r="G51" s="75">
        <v>500</v>
      </c>
      <c r="H51" s="75">
        <v>500</v>
      </c>
      <c r="I51" s="75">
        <v>500</v>
      </c>
      <c r="J51" s="75">
        <v>500</v>
      </c>
      <c r="K51" s="75">
        <v>500</v>
      </c>
      <c r="L51" s="75">
        <v>500</v>
      </c>
      <c r="M51" s="75">
        <v>500</v>
      </c>
      <c r="N51" s="67">
        <f t="shared" si="6"/>
        <v>6000</v>
      </c>
    </row>
    <row r="52" spans="1:14" s="41" customFormat="1" ht="15" customHeight="1" x14ac:dyDescent="0.15">
      <c r="A52" s="66" t="s">
        <v>83</v>
      </c>
      <c r="B52" s="75">
        <v>0</v>
      </c>
      <c r="C52" s="75">
        <v>0</v>
      </c>
      <c r="D52" s="75">
        <v>0</v>
      </c>
      <c r="E52" s="75">
        <v>0</v>
      </c>
      <c r="F52" s="75">
        <v>0</v>
      </c>
      <c r="G52" s="75">
        <v>0</v>
      </c>
      <c r="H52" s="75">
        <v>0</v>
      </c>
      <c r="I52" s="75">
        <v>0</v>
      </c>
      <c r="J52" s="75">
        <v>0</v>
      </c>
      <c r="K52" s="75">
        <v>0</v>
      </c>
      <c r="L52" s="75">
        <v>0</v>
      </c>
      <c r="M52" s="75">
        <v>0</v>
      </c>
      <c r="N52" s="67">
        <f t="shared" si="6"/>
        <v>0</v>
      </c>
    </row>
    <row r="53" spans="1:14" s="41" customFormat="1" ht="15" customHeight="1" x14ac:dyDescent="0.15">
      <c r="A53" s="76" t="s">
        <v>84</v>
      </c>
      <c r="B53" s="78">
        <v>87.5</v>
      </c>
      <c r="C53" s="77">
        <v>50</v>
      </c>
      <c r="D53" s="77">
        <v>50</v>
      </c>
      <c r="E53" s="77">
        <v>50</v>
      </c>
      <c r="F53" s="77">
        <v>50</v>
      </c>
      <c r="G53" s="77">
        <v>50</v>
      </c>
      <c r="H53" s="77">
        <v>50</v>
      </c>
      <c r="I53" s="77">
        <v>50</v>
      </c>
      <c r="J53" s="77">
        <v>50</v>
      </c>
      <c r="K53" s="77">
        <v>50</v>
      </c>
      <c r="L53" s="77">
        <v>50</v>
      </c>
      <c r="M53" s="77">
        <v>50</v>
      </c>
      <c r="N53" s="67">
        <f t="shared" si="6"/>
        <v>637.5</v>
      </c>
    </row>
    <row r="54" spans="1:14" s="41" customFormat="1" ht="15" customHeight="1" x14ac:dyDescent="0.15">
      <c r="A54" s="66" t="s">
        <v>85</v>
      </c>
      <c r="B54" s="75">
        <v>85</v>
      </c>
      <c r="C54" s="75">
        <v>85</v>
      </c>
      <c r="D54" s="75">
        <v>85</v>
      </c>
      <c r="E54" s="75">
        <v>85</v>
      </c>
      <c r="F54" s="75">
        <v>85</v>
      </c>
      <c r="G54" s="75">
        <v>85</v>
      </c>
      <c r="H54" s="75">
        <v>85</v>
      </c>
      <c r="I54" s="75">
        <v>85</v>
      </c>
      <c r="J54" s="75">
        <v>85</v>
      </c>
      <c r="K54" s="75">
        <v>85</v>
      </c>
      <c r="L54" s="75">
        <v>85</v>
      </c>
      <c r="M54" s="75">
        <v>85</v>
      </c>
      <c r="N54" s="67">
        <f t="shared" si="6"/>
        <v>1020</v>
      </c>
    </row>
    <row r="55" spans="1:14" s="41" customFormat="1" ht="15" customHeight="1" x14ac:dyDescent="0.15">
      <c r="A55" s="66" t="s">
        <v>86</v>
      </c>
      <c r="B55" s="75">
        <v>41</v>
      </c>
      <c r="C55" s="75">
        <v>41</v>
      </c>
      <c r="D55" s="75">
        <v>41</v>
      </c>
      <c r="E55" s="75">
        <v>41</v>
      </c>
      <c r="F55" s="75">
        <v>41</v>
      </c>
      <c r="G55" s="75">
        <v>41</v>
      </c>
      <c r="H55" s="75">
        <v>41</v>
      </c>
      <c r="I55" s="75">
        <v>41</v>
      </c>
      <c r="J55" s="75">
        <v>41</v>
      </c>
      <c r="K55" s="75">
        <v>41</v>
      </c>
      <c r="L55" s="75">
        <v>41</v>
      </c>
      <c r="M55" s="75">
        <v>41</v>
      </c>
      <c r="N55" s="67">
        <f t="shared" si="6"/>
        <v>492</v>
      </c>
    </row>
    <row r="56" spans="1:14" s="41" customFormat="1" ht="15" customHeight="1" x14ac:dyDescent="0.15">
      <c r="A56" s="66" t="s">
        <v>87</v>
      </c>
      <c r="B56" s="75">
        <v>640</v>
      </c>
      <c r="C56" s="75">
        <v>640</v>
      </c>
      <c r="D56" s="75">
        <v>640</v>
      </c>
      <c r="E56" s="75">
        <v>640</v>
      </c>
      <c r="F56" s="75">
        <v>640</v>
      </c>
      <c r="G56" s="75">
        <v>640</v>
      </c>
      <c r="H56" s="75">
        <v>640</v>
      </c>
      <c r="I56" s="75">
        <v>640</v>
      </c>
      <c r="J56" s="75">
        <v>640</v>
      </c>
      <c r="K56" s="75">
        <v>640</v>
      </c>
      <c r="L56" s="75">
        <v>640</v>
      </c>
      <c r="M56" s="75">
        <v>640</v>
      </c>
      <c r="N56" s="67">
        <f t="shared" si="6"/>
        <v>7680</v>
      </c>
    </row>
    <row r="57" spans="1:14" s="41" customFormat="1" ht="15" customHeight="1" x14ac:dyDescent="0.15">
      <c r="A57" s="66" t="s">
        <v>88</v>
      </c>
      <c r="B57" s="75">
        <f>0</f>
        <v>0</v>
      </c>
      <c r="C57" s="75">
        <f>0</f>
        <v>0</v>
      </c>
      <c r="D57" s="75">
        <f>0</f>
        <v>0</v>
      </c>
      <c r="E57" s="75">
        <f>0</f>
        <v>0</v>
      </c>
      <c r="F57" s="75">
        <f>0</f>
        <v>0</v>
      </c>
      <c r="G57" s="75">
        <f>0</f>
        <v>0</v>
      </c>
      <c r="H57" s="75">
        <f>0</f>
        <v>0</v>
      </c>
      <c r="I57" s="75">
        <f>0</f>
        <v>0</v>
      </c>
      <c r="J57" s="75">
        <f>0</f>
        <v>0</v>
      </c>
      <c r="K57" s="75">
        <f>0</f>
        <v>0</v>
      </c>
      <c r="L57" s="75">
        <f>0</f>
        <v>0</v>
      </c>
      <c r="M57" s="75">
        <f>0</f>
        <v>0</v>
      </c>
      <c r="N57" s="67">
        <f t="shared" si="6"/>
        <v>0</v>
      </c>
    </row>
    <row r="58" spans="1:14" s="41" customFormat="1" ht="15" customHeight="1" x14ac:dyDescent="0.15">
      <c r="A58" s="66" t="s">
        <v>89</v>
      </c>
      <c r="B58" s="75">
        <v>800</v>
      </c>
      <c r="C58" s="75">
        <v>800</v>
      </c>
      <c r="D58" s="75">
        <v>800</v>
      </c>
      <c r="E58" s="75">
        <v>800</v>
      </c>
      <c r="F58" s="75">
        <v>800</v>
      </c>
      <c r="G58" s="75">
        <v>800</v>
      </c>
      <c r="H58" s="75">
        <v>800</v>
      </c>
      <c r="I58" s="75">
        <v>800</v>
      </c>
      <c r="J58" s="75">
        <v>800</v>
      </c>
      <c r="K58" s="75">
        <v>800</v>
      </c>
      <c r="L58" s="75">
        <v>800</v>
      </c>
      <c r="M58" s="75">
        <v>800</v>
      </c>
      <c r="N58" s="67">
        <f t="shared" si="6"/>
        <v>9600</v>
      </c>
    </row>
    <row r="59" spans="1:14" s="41" customFormat="1" ht="15" customHeight="1" x14ac:dyDescent="0.15">
      <c r="A59" s="66" t="s">
        <v>90</v>
      </c>
      <c r="B59" s="75">
        <v>160</v>
      </c>
      <c r="C59" s="75">
        <v>160</v>
      </c>
      <c r="D59" s="75">
        <v>160</v>
      </c>
      <c r="E59" s="75">
        <v>160</v>
      </c>
      <c r="F59" s="75">
        <v>160</v>
      </c>
      <c r="G59" s="75">
        <v>160</v>
      </c>
      <c r="H59" s="75">
        <v>160</v>
      </c>
      <c r="I59" s="75">
        <v>160</v>
      </c>
      <c r="J59" s="75">
        <v>160</v>
      </c>
      <c r="K59" s="75">
        <v>160</v>
      </c>
      <c r="L59" s="75">
        <v>160</v>
      </c>
      <c r="M59" s="75">
        <v>160</v>
      </c>
      <c r="N59" s="67">
        <f t="shared" si="6"/>
        <v>1920</v>
      </c>
    </row>
    <row r="60" spans="1:14" s="41" customFormat="1" ht="15" customHeight="1" x14ac:dyDescent="0.15">
      <c r="A60" s="66" t="s">
        <v>91</v>
      </c>
      <c r="B60" s="75">
        <v>0</v>
      </c>
      <c r="C60" s="75">
        <v>0</v>
      </c>
      <c r="D60" s="75">
        <v>0</v>
      </c>
      <c r="E60" s="75">
        <v>0</v>
      </c>
      <c r="F60" s="75">
        <v>0</v>
      </c>
      <c r="G60" s="75">
        <v>0</v>
      </c>
      <c r="H60" s="75">
        <v>0</v>
      </c>
      <c r="I60" s="75">
        <v>0</v>
      </c>
      <c r="J60" s="75">
        <v>0</v>
      </c>
      <c r="K60" s="75">
        <v>0</v>
      </c>
      <c r="L60" s="75">
        <v>0</v>
      </c>
      <c r="M60" s="75">
        <v>0</v>
      </c>
      <c r="N60" s="67">
        <f t="shared" si="6"/>
        <v>0</v>
      </c>
    </row>
    <row r="61" spans="1:14" s="41" customFormat="1" ht="15" customHeight="1" x14ac:dyDescent="0.15">
      <c r="A61" s="66" t="s">
        <v>92</v>
      </c>
      <c r="B61" s="75">
        <v>0</v>
      </c>
      <c r="C61" s="75">
        <v>0</v>
      </c>
      <c r="D61" s="75">
        <v>0</v>
      </c>
      <c r="E61" s="75">
        <v>0</v>
      </c>
      <c r="F61" s="75">
        <v>0</v>
      </c>
      <c r="G61" s="75">
        <v>0</v>
      </c>
      <c r="H61" s="75">
        <v>0</v>
      </c>
      <c r="I61" s="75">
        <v>0</v>
      </c>
      <c r="J61" s="75">
        <v>0</v>
      </c>
      <c r="K61" s="75">
        <v>0</v>
      </c>
      <c r="L61" s="75">
        <v>0</v>
      </c>
      <c r="M61" s="75">
        <v>0</v>
      </c>
      <c r="N61" s="67">
        <f t="shared" si="6"/>
        <v>0</v>
      </c>
    </row>
    <row r="62" spans="1:14" s="41" customFormat="1" ht="15" customHeight="1" x14ac:dyDescent="0.15">
      <c r="A62" s="66" t="s">
        <v>93</v>
      </c>
      <c r="B62" s="75">
        <v>0</v>
      </c>
      <c r="C62" s="75">
        <v>0</v>
      </c>
      <c r="D62" s="75">
        <v>0</v>
      </c>
      <c r="E62" s="75">
        <v>0</v>
      </c>
      <c r="F62" s="75">
        <v>0</v>
      </c>
      <c r="G62" s="75">
        <v>0</v>
      </c>
      <c r="H62" s="75">
        <v>0</v>
      </c>
      <c r="I62" s="75">
        <v>0</v>
      </c>
      <c r="J62" s="75">
        <v>0</v>
      </c>
      <c r="K62" s="75">
        <v>0</v>
      </c>
      <c r="L62" s="75">
        <v>0</v>
      </c>
      <c r="M62" s="75">
        <v>0</v>
      </c>
      <c r="N62" s="67">
        <f t="shared" si="6"/>
        <v>0</v>
      </c>
    </row>
    <row r="63" spans="1:14" s="41" customFormat="1" ht="15" customHeight="1" x14ac:dyDescent="0.15">
      <c r="A63" s="66" t="s">
        <v>94</v>
      </c>
      <c r="B63" s="75">
        <v>0</v>
      </c>
      <c r="C63" s="75">
        <v>0</v>
      </c>
      <c r="D63" s="75">
        <v>0</v>
      </c>
      <c r="E63" s="75">
        <v>0</v>
      </c>
      <c r="F63" s="75">
        <v>0</v>
      </c>
      <c r="G63" s="75">
        <v>0</v>
      </c>
      <c r="H63" s="75">
        <v>0</v>
      </c>
      <c r="I63" s="75">
        <v>0</v>
      </c>
      <c r="J63" s="75">
        <v>0</v>
      </c>
      <c r="K63" s="75">
        <v>0</v>
      </c>
      <c r="L63" s="75">
        <v>0</v>
      </c>
      <c r="M63" s="75">
        <v>0</v>
      </c>
      <c r="N63" s="67">
        <f t="shared" ref="N63:N74" si="8">SUM(B63:M63)</f>
        <v>0</v>
      </c>
    </row>
    <row r="64" spans="1:14" s="41" customFormat="1" ht="15" customHeight="1" x14ac:dyDescent="0.15">
      <c r="A64" s="65" t="s">
        <v>95</v>
      </c>
      <c r="B64" s="66">
        <f t="shared" ref="B64:M64" si="9">SUM(B49:B63)</f>
        <v>2853.5</v>
      </c>
      <c r="C64" s="66">
        <f t="shared" si="9"/>
        <v>2816</v>
      </c>
      <c r="D64" s="66">
        <f t="shared" si="9"/>
        <v>2816</v>
      </c>
      <c r="E64" s="66">
        <f t="shared" si="9"/>
        <v>2816</v>
      </c>
      <c r="F64" s="66">
        <f t="shared" si="9"/>
        <v>2816</v>
      </c>
      <c r="G64" s="66">
        <f t="shared" si="9"/>
        <v>2816</v>
      </c>
      <c r="H64" s="66">
        <f t="shared" si="9"/>
        <v>2816</v>
      </c>
      <c r="I64" s="66">
        <f t="shared" si="9"/>
        <v>2816</v>
      </c>
      <c r="J64" s="66">
        <f t="shared" si="9"/>
        <v>2816</v>
      </c>
      <c r="K64" s="66">
        <f t="shared" si="9"/>
        <v>2816</v>
      </c>
      <c r="L64" s="66">
        <f t="shared" si="9"/>
        <v>2816</v>
      </c>
      <c r="M64" s="66">
        <f t="shared" si="9"/>
        <v>2816</v>
      </c>
      <c r="N64" s="67">
        <f t="shared" si="8"/>
        <v>33829.5</v>
      </c>
    </row>
    <row r="65" spans="1:14" s="41" customFormat="1" ht="15" customHeight="1" x14ac:dyDescent="0.15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67">
        <f t="shared" si="8"/>
        <v>0</v>
      </c>
    </row>
    <row r="66" spans="1:14" s="41" customFormat="1" ht="15" customHeight="1" x14ac:dyDescent="0.15">
      <c r="A66" s="65" t="s">
        <v>96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67">
        <f t="shared" si="8"/>
        <v>0</v>
      </c>
    </row>
    <row r="67" spans="1:14" s="41" customFormat="1" ht="15" customHeight="1" x14ac:dyDescent="0.15">
      <c r="A67" s="66" t="s">
        <v>97</v>
      </c>
      <c r="B67" s="75">
        <v>80</v>
      </c>
      <c r="C67" s="75">
        <v>80</v>
      </c>
      <c r="D67" s="75">
        <v>80</v>
      </c>
      <c r="E67" s="75">
        <v>80</v>
      </c>
      <c r="F67" s="75">
        <v>80</v>
      </c>
      <c r="G67" s="75">
        <v>80</v>
      </c>
      <c r="H67" s="75">
        <v>80</v>
      </c>
      <c r="I67" s="75">
        <v>80</v>
      </c>
      <c r="J67" s="75">
        <v>80</v>
      </c>
      <c r="K67" s="75">
        <v>80</v>
      </c>
      <c r="L67" s="75">
        <v>80</v>
      </c>
      <c r="M67" s="75">
        <v>80</v>
      </c>
      <c r="N67" s="67">
        <f t="shared" si="8"/>
        <v>960</v>
      </c>
    </row>
    <row r="68" spans="1:14" s="41" customFormat="1" ht="15" customHeight="1" x14ac:dyDescent="0.15">
      <c r="A68" s="66" t="s">
        <v>98</v>
      </c>
      <c r="B68" s="75">
        <v>0</v>
      </c>
      <c r="C68" s="75">
        <v>0</v>
      </c>
      <c r="D68" s="75">
        <v>0</v>
      </c>
      <c r="E68" s="75">
        <v>0</v>
      </c>
      <c r="F68" s="75">
        <v>0</v>
      </c>
      <c r="G68" s="75">
        <v>0</v>
      </c>
      <c r="H68" s="75">
        <v>0</v>
      </c>
      <c r="I68" s="75">
        <v>0</v>
      </c>
      <c r="J68" s="75">
        <v>0</v>
      </c>
      <c r="K68" s="75">
        <v>0</v>
      </c>
      <c r="L68" s="75">
        <v>0</v>
      </c>
      <c r="M68" s="75">
        <v>0</v>
      </c>
      <c r="N68" s="67">
        <f t="shared" si="8"/>
        <v>0</v>
      </c>
    </row>
    <row r="69" spans="1:14" s="41" customFormat="1" ht="15" customHeight="1" x14ac:dyDescent="0.15">
      <c r="A69" s="66" t="s">
        <v>99</v>
      </c>
      <c r="B69" s="75">
        <v>0</v>
      </c>
      <c r="C69" s="75">
        <v>0</v>
      </c>
      <c r="D69" s="75">
        <v>0</v>
      </c>
      <c r="E69" s="75">
        <v>0</v>
      </c>
      <c r="F69" s="75">
        <v>0</v>
      </c>
      <c r="G69" s="75">
        <v>0</v>
      </c>
      <c r="H69" s="75">
        <v>0</v>
      </c>
      <c r="I69" s="75">
        <v>0</v>
      </c>
      <c r="J69" s="75">
        <v>0</v>
      </c>
      <c r="K69" s="75">
        <v>0</v>
      </c>
      <c r="L69" s="75">
        <v>0</v>
      </c>
      <c r="M69" s="75">
        <v>0</v>
      </c>
      <c r="N69" s="67">
        <f t="shared" si="8"/>
        <v>0</v>
      </c>
    </row>
    <row r="70" spans="1:14" s="41" customFormat="1" ht="15" customHeight="1" x14ac:dyDescent="0.15">
      <c r="A70" s="66" t="s">
        <v>100</v>
      </c>
      <c r="B70" s="75">
        <v>0</v>
      </c>
      <c r="C70" s="75">
        <v>0</v>
      </c>
      <c r="D70" s="75">
        <v>0</v>
      </c>
      <c r="E70" s="75">
        <v>0</v>
      </c>
      <c r="F70" s="75">
        <v>0</v>
      </c>
      <c r="G70" s="75">
        <v>0</v>
      </c>
      <c r="H70" s="75">
        <v>0</v>
      </c>
      <c r="I70" s="75">
        <v>0</v>
      </c>
      <c r="J70" s="75">
        <v>0</v>
      </c>
      <c r="K70" s="75">
        <v>0</v>
      </c>
      <c r="L70" s="75">
        <v>0</v>
      </c>
      <c r="M70" s="75">
        <v>0</v>
      </c>
      <c r="N70" s="67">
        <f t="shared" si="8"/>
        <v>0</v>
      </c>
    </row>
    <row r="71" spans="1:14" s="41" customFormat="1" ht="15" customHeight="1" x14ac:dyDescent="0.15">
      <c r="A71" s="66" t="s">
        <v>106</v>
      </c>
      <c r="B71" s="79">
        <v>48.99</v>
      </c>
      <c r="C71" s="79">
        <v>48.99</v>
      </c>
      <c r="D71" s="79">
        <v>48.99</v>
      </c>
      <c r="E71" s="79">
        <v>48.99</v>
      </c>
      <c r="F71" s="79">
        <v>48.99</v>
      </c>
      <c r="G71" s="79">
        <v>48.99</v>
      </c>
      <c r="H71" s="79">
        <v>97.98</v>
      </c>
      <c r="I71" s="79">
        <v>97.98</v>
      </c>
      <c r="J71" s="79">
        <v>97.98</v>
      </c>
      <c r="K71" s="79">
        <v>97.98</v>
      </c>
      <c r="L71" s="79">
        <v>97.98</v>
      </c>
      <c r="M71" s="79">
        <v>97.98</v>
      </c>
      <c r="N71" s="67">
        <f t="shared" si="8"/>
        <v>881.82</v>
      </c>
    </row>
    <row r="72" spans="1:14" s="41" customFormat="1" ht="15" customHeight="1" x14ac:dyDescent="0.15">
      <c r="A72" s="66" t="s">
        <v>107</v>
      </c>
      <c r="B72" s="79">
        <v>94.5</v>
      </c>
      <c r="C72" s="79">
        <v>94.5</v>
      </c>
      <c r="D72" s="79">
        <v>94.5</v>
      </c>
      <c r="E72" s="79">
        <v>94.5</v>
      </c>
      <c r="F72" s="79">
        <v>94.5</v>
      </c>
      <c r="G72" s="79">
        <v>94.5</v>
      </c>
      <c r="H72" s="75">
        <v>98</v>
      </c>
      <c r="I72" s="75">
        <v>112</v>
      </c>
      <c r="J72" s="75">
        <v>115</v>
      </c>
      <c r="K72" s="75">
        <v>115</v>
      </c>
      <c r="L72" s="75">
        <v>105</v>
      </c>
      <c r="M72" s="75">
        <v>93</v>
      </c>
      <c r="N72" s="67">
        <f t="shared" si="8"/>
        <v>1205</v>
      </c>
    </row>
    <row r="73" spans="1:14" s="41" customFormat="1" ht="15" customHeight="1" x14ac:dyDescent="0.15">
      <c r="A73" s="66" t="s">
        <v>101</v>
      </c>
      <c r="B73" s="75">
        <v>-5</v>
      </c>
      <c r="C73" s="75">
        <v>-5</v>
      </c>
      <c r="D73" s="75">
        <v>-5</v>
      </c>
      <c r="E73" s="75">
        <v>-6</v>
      </c>
      <c r="F73" s="75">
        <v>-6</v>
      </c>
      <c r="G73" s="75">
        <v>-6</v>
      </c>
      <c r="H73" s="75">
        <v>-7</v>
      </c>
      <c r="I73" s="75">
        <v>-9</v>
      </c>
      <c r="J73" s="75">
        <v>-10</v>
      </c>
      <c r="K73" s="75">
        <v>-10</v>
      </c>
      <c r="L73" s="75">
        <v>-11</v>
      </c>
      <c r="M73" s="75">
        <v>-11</v>
      </c>
      <c r="N73" s="67">
        <f t="shared" si="8"/>
        <v>-91</v>
      </c>
    </row>
    <row r="74" spans="1:14" s="41" customFormat="1" ht="15" customHeight="1" x14ac:dyDescent="0.15">
      <c r="A74" s="65" t="s">
        <v>102</v>
      </c>
      <c r="B74" s="76">
        <f>SUM(B67:B73)</f>
        <v>218.49</v>
      </c>
      <c r="C74" s="76">
        <f t="shared" ref="C74:M74" si="10">SUM(C67:C73)</f>
        <v>218.49</v>
      </c>
      <c r="D74" s="76">
        <f t="shared" si="10"/>
        <v>218.49</v>
      </c>
      <c r="E74" s="76">
        <f t="shared" si="10"/>
        <v>217.49</v>
      </c>
      <c r="F74" s="76">
        <f t="shared" si="10"/>
        <v>217.49</v>
      </c>
      <c r="G74" s="76">
        <f t="shared" si="10"/>
        <v>217.49</v>
      </c>
      <c r="H74" s="76">
        <f t="shared" si="10"/>
        <v>268.98</v>
      </c>
      <c r="I74" s="76">
        <f t="shared" si="10"/>
        <v>280.98</v>
      </c>
      <c r="J74" s="76">
        <f t="shared" si="10"/>
        <v>282.98</v>
      </c>
      <c r="K74" s="76">
        <f t="shared" si="10"/>
        <v>282.98</v>
      </c>
      <c r="L74" s="76">
        <f t="shared" si="10"/>
        <v>271.98</v>
      </c>
      <c r="M74" s="76">
        <f t="shared" si="10"/>
        <v>259.98</v>
      </c>
      <c r="N74" s="67">
        <f t="shared" si="8"/>
        <v>2955.82</v>
      </c>
    </row>
  </sheetData>
  <mergeCells count="6">
    <mergeCell ref="A1:N1"/>
    <mergeCell ref="B2:E2"/>
    <mergeCell ref="A3:B3"/>
    <mergeCell ref="C3:F3"/>
    <mergeCell ref="G3:H3"/>
    <mergeCell ref="I3:L3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F30" sqref="F30"/>
    </sheetView>
  </sheetViews>
  <sheetFormatPr defaultRowHeight="13.5" x14ac:dyDescent="0.15"/>
  <cols>
    <col min="1" max="1" width="12.875" customWidth="1"/>
    <col min="3" max="14" width="9.5" bestFit="1" customWidth="1"/>
    <col min="15" max="15" width="9.375" bestFit="1" customWidth="1"/>
  </cols>
  <sheetData>
    <row r="1" spans="1:15" ht="35.25" x14ac:dyDescent="0.15">
      <c r="A1" s="205" t="s">
        <v>163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</row>
    <row r="2" spans="1:15" ht="30" customHeight="1" x14ac:dyDescent="0.15">
      <c r="A2" s="44" t="s">
        <v>127</v>
      </c>
      <c r="B2" s="46" t="s">
        <v>128</v>
      </c>
      <c r="C2" s="46">
        <v>1</v>
      </c>
      <c r="D2" s="46">
        <v>2</v>
      </c>
      <c r="E2" s="46">
        <v>3</v>
      </c>
      <c r="F2" s="46">
        <v>4</v>
      </c>
      <c r="G2" s="46">
        <v>5</v>
      </c>
      <c r="H2" s="46">
        <v>6</v>
      </c>
      <c r="I2" s="46">
        <v>7</v>
      </c>
      <c r="J2" s="46">
        <v>8</v>
      </c>
      <c r="K2" s="46">
        <v>9</v>
      </c>
      <c r="L2" s="46">
        <v>10</v>
      </c>
      <c r="M2" s="46">
        <v>11</v>
      </c>
      <c r="N2" s="46">
        <v>12</v>
      </c>
      <c r="O2" s="46" t="s">
        <v>129</v>
      </c>
    </row>
    <row r="3" spans="1:15" ht="21.75" customHeight="1" x14ac:dyDescent="0.15">
      <c r="A3" s="206" t="s">
        <v>130</v>
      </c>
      <c r="B3" s="206"/>
      <c r="C3" s="94">
        <f>SUM(C4:C6)</f>
        <v>3535.4034466666667</v>
      </c>
      <c r="D3" s="94">
        <f t="shared" ref="D3:N3" si="0">SUM(D4:D6)</f>
        <v>3535.4034466666667</v>
      </c>
      <c r="E3" s="94">
        <f t="shared" si="0"/>
        <v>3535.4034466666667</v>
      </c>
      <c r="F3" s="94">
        <f t="shared" si="0"/>
        <v>3535.4034466666667</v>
      </c>
      <c r="G3" s="94">
        <f t="shared" si="0"/>
        <v>3692.5022466666669</v>
      </c>
      <c r="H3" s="94">
        <f t="shared" si="0"/>
        <v>3692.5022466666669</v>
      </c>
      <c r="I3" s="94">
        <f t="shared" si="0"/>
        <v>3692.5022466666669</v>
      </c>
      <c r="J3" s="94">
        <f t="shared" si="0"/>
        <v>3692.5022466666669</v>
      </c>
      <c r="K3" s="94">
        <f t="shared" si="0"/>
        <v>3692.5022466666669</v>
      </c>
      <c r="L3" s="94">
        <f t="shared" si="0"/>
        <v>3692.5022466666669</v>
      </c>
      <c r="M3" s="94">
        <f t="shared" si="0"/>
        <v>3692.5022466666669</v>
      </c>
      <c r="N3" s="94">
        <f t="shared" si="0"/>
        <v>3692.5022466666669</v>
      </c>
      <c r="O3" s="95">
        <f>SUM(C3:N3)</f>
        <v>43681.631760000004</v>
      </c>
    </row>
    <row r="4" spans="1:15" ht="21" customHeight="1" x14ac:dyDescent="0.2">
      <c r="A4" s="206" t="s">
        <v>131</v>
      </c>
      <c r="B4" s="207"/>
      <c r="C4" s="96">
        <v>1850.1203666666668</v>
      </c>
      <c r="D4" s="96">
        <v>1850.1203666666668</v>
      </c>
      <c r="E4" s="96">
        <v>1850.1203666666668</v>
      </c>
      <c r="F4" s="96">
        <v>1850.1203666666668</v>
      </c>
      <c r="G4" s="96">
        <v>1850.1203666666668</v>
      </c>
      <c r="H4" s="96">
        <v>1850.1203666666668</v>
      </c>
      <c r="I4" s="96">
        <v>1850.1203666666668</v>
      </c>
      <c r="J4" s="96">
        <v>1850.1203666666668</v>
      </c>
      <c r="K4" s="96">
        <v>1850.1203666666668</v>
      </c>
      <c r="L4" s="96">
        <v>1850.1203666666668</v>
      </c>
      <c r="M4" s="96">
        <v>1850.1203666666668</v>
      </c>
      <c r="N4" s="96">
        <v>1850.1203666666668</v>
      </c>
      <c r="O4" s="95">
        <f t="shared" ref="O4:O6" si="1">SUM(C4:N4)</f>
        <v>22201.444399999997</v>
      </c>
    </row>
    <row r="5" spans="1:15" ht="18.75" customHeight="1" x14ac:dyDescent="0.2">
      <c r="A5" s="207" t="s">
        <v>132</v>
      </c>
      <c r="B5" s="207"/>
      <c r="C5" s="96">
        <v>1258.0307599999999</v>
      </c>
      <c r="D5" s="96">
        <v>1258.0307599999999</v>
      </c>
      <c r="E5" s="96">
        <v>1258.0307599999999</v>
      </c>
      <c r="F5" s="96">
        <v>1258.0307599999999</v>
      </c>
      <c r="G5" s="96">
        <v>1361.33116</v>
      </c>
      <c r="H5" s="96">
        <v>1361.33116</v>
      </c>
      <c r="I5" s="96">
        <v>1361.33116</v>
      </c>
      <c r="J5" s="96">
        <v>1361.33116</v>
      </c>
      <c r="K5" s="96">
        <v>1361.33116</v>
      </c>
      <c r="L5" s="96">
        <v>1361.33116</v>
      </c>
      <c r="M5" s="96">
        <v>1361.33116</v>
      </c>
      <c r="N5" s="96">
        <v>1361.33116</v>
      </c>
      <c r="O5" s="95">
        <f t="shared" si="1"/>
        <v>15922.772319999998</v>
      </c>
    </row>
    <row r="6" spans="1:15" ht="23.25" customHeight="1" x14ac:dyDescent="0.2">
      <c r="A6" s="207" t="s">
        <v>133</v>
      </c>
      <c r="B6" s="207"/>
      <c r="C6" s="96">
        <v>427.25232</v>
      </c>
      <c r="D6" s="96">
        <v>427.25232</v>
      </c>
      <c r="E6" s="96">
        <v>427.25232</v>
      </c>
      <c r="F6" s="96">
        <v>427.25232</v>
      </c>
      <c r="G6" s="96">
        <v>481.05071999999996</v>
      </c>
      <c r="H6" s="96">
        <v>481.05071999999996</v>
      </c>
      <c r="I6" s="96">
        <v>481.05071999999996</v>
      </c>
      <c r="J6" s="96">
        <v>481.05071999999996</v>
      </c>
      <c r="K6" s="96">
        <v>481.05071999999996</v>
      </c>
      <c r="L6" s="96">
        <v>481.05071999999996</v>
      </c>
      <c r="M6" s="96">
        <v>481.05071999999996</v>
      </c>
      <c r="N6" s="96">
        <v>481.05071999999996</v>
      </c>
      <c r="O6" s="95">
        <f t="shared" si="1"/>
        <v>5557.4150400000008</v>
      </c>
    </row>
  </sheetData>
  <mergeCells count="5">
    <mergeCell ref="A1:O1"/>
    <mergeCell ref="A3:B3"/>
    <mergeCell ref="A4:B4"/>
    <mergeCell ref="A5:B5"/>
    <mergeCell ref="A6:B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B3" sqref="B3"/>
    </sheetView>
  </sheetViews>
  <sheetFormatPr defaultRowHeight="13.5" x14ac:dyDescent="0.15"/>
  <cols>
    <col min="1" max="1" width="13.125" customWidth="1"/>
  </cols>
  <sheetData>
    <row r="1" spans="1:14" ht="35.25" x14ac:dyDescent="0.15">
      <c r="A1" s="205" t="s">
        <v>213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</row>
    <row r="2" spans="1:14" ht="33" customHeight="1" x14ac:dyDescent="0.15">
      <c r="A2" s="91" t="s">
        <v>161</v>
      </c>
      <c r="B2" s="91">
        <v>1</v>
      </c>
      <c r="C2" s="91">
        <f>+B2+1</f>
        <v>2</v>
      </c>
      <c r="D2" s="91">
        <f t="shared" ref="D2:M2" si="0">+C2+1</f>
        <v>3</v>
      </c>
      <c r="E2" s="91">
        <f t="shared" si="0"/>
        <v>4</v>
      </c>
      <c r="F2" s="91">
        <f t="shared" si="0"/>
        <v>5</v>
      </c>
      <c r="G2" s="91">
        <f t="shared" si="0"/>
        <v>6</v>
      </c>
      <c r="H2" s="91">
        <f t="shared" si="0"/>
        <v>7</v>
      </c>
      <c r="I2" s="91">
        <f t="shared" si="0"/>
        <v>8</v>
      </c>
      <c r="J2" s="91">
        <f t="shared" si="0"/>
        <v>9</v>
      </c>
      <c r="K2" s="91">
        <f t="shared" si="0"/>
        <v>10</v>
      </c>
      <c r="L2" s="91">
        <f t="shared" si="0"/>
        <v>11</v>
      </c>
      <c r="M2" s="91">
        <f t="shared" si="0"/>
        <v>12</v>
      </c>
      <c r="N2" s="91" t="s">
        <v>162</v>
      </c>
    </row>
    <row r="3" spans="1:14" ht="19.5" customHeight="1" x14ac:dyDescent="0.15">
      <c r="A3" s="90" t="s">
        <v>134</v>
      </c>
      <c r="B3" s="90">
        <f>B29</f>
        <v>4190.8575533333333</v>
      </c>
      <c r="C3" s="90">
        <f t="shared" ref="C3:M3" si="1">C29</f>
        <v>4228.3575533333333</v>
      </c>
      <c r="D3" s="90">
        <f t="shared" si="1"/>
        <v>4228.3575533333333</v>
      </c>
      <c r="E3" s="90">
        <f t="shared" si="1"/>
        <v>4277.9158866666658</v>
      </c>
      <c r="F3" s="90">
        <f t="shared" si="1"/>
        <v>4373.7047533333325</v>
      </c>
      <c r="G3" s="90">
        <f t="shared" si="1"/>
        <v>4488.7047533333325</v>
      </c>
      <c r="H3" s="90">
        <f t="shared" si="1"/>
        <v>4544.9922533333329</v>
      </c>
      <c r="I3" s="90">
        <f t="shared" si="1"/>
        <v>4544.9922533333329</v>
      </c>
      <c r="J3" s="90">
        <f t="shared" si="1"/>
        <v>4544.9922533333329</v>
      </c>
      <c r="K3" s="90">
        <f t="shared" si="1"/>
        <v>4545.3880866666659</v>
      </c>
      <c r="L3" s="90">
        <f t="shared" si="1"/>
        <v>4545.3880866666659</v>
      </c>
      <c r="M3" s="90">
        <f t="shared" si="1"/>
        <v>4545.3880866666668</v>
      </c>
      <c r="N3" s="86">
        <f>SUM(B3:M3)</f>
        <v>53059.039073333326</v>
      </c>
    </row>
    <row r="4" spans="1:14" ht="14.25" x14ac:dyDescent="0.15">
      <c r="A4" s="87" t="s">
        <v>135</v>
      </c>
      <c r="B4" s="92">
        <v>662.94088666666664</v>
      </c>
      <c r="C4" s="92">
        <v>662.94088666666664</v>
      </c>
      <c r="D4" s="92">
        <v>662.94088666666664</v>
      </c>
      <c r="E4" s="92">
        <v>662.94088666666664</v>
      </c>
      <c r="F4" s="92">
        <v>725.95475333333331</v>
      </c>
      <c r="G4" s="92">
        <v>725.95475333333331</v>
      </c>
      <c r="H4" s="92">
        <v>725.95475333333331</v>
      </c>
      <c r="I4" s="92">
        <v>725.95475333333331</v>
      </c>
      <c r="J4" s="92">
        <v>725.95475333333331</v>
      </c>
      <c r="K4" s="92">
        <v>725.95475333333331</v>
      </c>
      <c r="L4" s="92">
        <v>725.95475333333331</v>
      </c>
      <c r="M4" s="92">
        <v>725.95475333333331</v>
      </c>
      <c r="N4" s="89">
        <v>8459.4015733333326</v>
      </c>
    </row>
    <row r="5" spans="1:14" ht="14.25" x14ac:dyDescent="0.15">
      <c r="A5" s="87" t="s">
        <v>136</v>
      </c>
      <c r="B5" s="92">
        <v>8.3333333333333339</v>
      </c>
      <c r="C5" s="92">
        <v>8.3333333333333339</v>
      </c>
      <c r="D5" s="92">
        <v>8.3333333333333339</v>
      </c>
      <c r="E5" s="92">
        <v>8.3333333333333339</v>
      </c>
      <c r="F5" s="92">
        <v>8.3333333333333339</v>
      </c>
      <c r="G5" s="92">
        <v>8.3333333333333339</v>
      </c>
      <c r="H5" s="92">
        <v>8.3333333333333339</v>
      </c>
      <c r="I5" s="92">
        <v>8.3333333333333339</v>
      </c>
      <c r="J5" s="92">
        <v>8.3333333333333339</v>
      </c>
      <c r="K5" s="92">
        <v>8.3333333333333339</v>
      </c>
      <c r="L5" s="92">
        <v>8.3333333333333339</v>
      </c>
      <c r="M5" s="92">
        <v>8.3333333333333428</v>
      </c>
      <c r="N5" s="90">
        <f t="shared" ref="N5:N28" si="2">SUM(B5:M5)</f>
        <v>100</v>
      </c>
    </row>
    <row r="6" spans="1:14" ht="14.25" x14ac:dyDescent="0.15">
      <c r="A6" s="88" t="s">
        <v>137</v>
      </c>
      <c r="B6" s="92">
        <v>0</v>
      </c>
      <c r="C6" s="92">
        <v>0</v>
      </c>
      <c r="D6" s="92">
        <v>0</v>
      </c>
      <c r="E6" s="92">
        <v>0</v>
      </c>
      <c r="F6" s="92">
        <v>0</v>
      </c>
      <c r="G6" s="92">
        <v>0</v>
      </c>
      <c r="H6" s="92">
        <v>0</v>
      </c>
      <c r="I6" s="92">
        <v>0</v>
      </c>
      <c r="J6" s="92">
        <v>0</v>
      </c>
      <c r="K6" s="92">
        <v>0</v>
      </c>
      <c r="L6" s="92">
        <v>0</v>
      </c>
      <c r="M6" s="92">
        <v>0</v>
      </c>
      <c r="N6" s="90">
        <f t="shared" si="2"/>
        <v>0</v>
      </c>
    </row>
    <row r="7" spans="1:14" ht="14.25" x14ac:dyDescent="0.15">
      <c r="A7" s="88" t="s">
        <v>138</v>
      </c>
      <c r="B7" s="92">
        <v>416.66666666666669</v>
      </c>
      <c r="C7" s="92">
        <v>416.66666666666669</v>
      </c>
      <c r="D7" s="92">
        <v>416.66666666666669</v>
      </c>
      <c r="E7" s="92">
        <v>416.66666666666669</v>
      </c>
      <c r="F7" s="92">
        <v>416.66666666666669</v>
      </c>
      <c r="G7" s="92">
        <v>416.66666666666669</v>
      </c>
      <c r="H7" s="92">
        <v>416.66666666666669</v>
      </c>
      <c r="I7" s="92">
        <v>416.66666666666669</v>
      </c>
      <c r="J7" s="92">
        <v>416.66666666666669</v>
      </c>
      <c r="K7" s="92">
        <v>416.66666666666669</v>
      </c>
      <c r="L7" s="92">
        <v>416.66666666666669</v>
      </c>
      <c r="M7" s="92">
        <v>416.66666666666697</v>
      </c>
      <c r="N7" s="90">
        <f t="shared" si="2"/>
        <v>5000</v>
      </c>
    </row>
    <row r="8" spans="1:14" ht="14.25" x14ac:dyDescent="0.15">
      <c r="A8" s="88" t="s">
        <v>139</v>
      </c>
      <c r="B8" s="92">
        <v>833.33333333333337</v>
      </c>
      <c r="C8" s="92">
        <v>833.33333333333337</v>
      </c>
      <c r="D8" s="92">
        <v>833.33333333333337</v>
      </c>
      <c r="E8" s="92">
        <v>833.33333333333337</v>
      </c>
      <c r="F8" s="92">
        <v>833.33333333333337</v>
      </c>
      <c r="G8" s="92">
        <v>833.33333333333337</v>
      </c>
      <c r="H8" s="92">
        <v>833.33333333333337</v>
      </c>
      <c r="I8" s="92">
        <v>833.33333333333337</v>
      </c>
      <c r="J8" s="92">
        <v>833.33333333333337</v>
      </c>
      <c r="K8" s="92">
        <v>833.33333333333337</v>
      </c>
      <c r="L8" s="92">
        <v>833.33333333333337</v>
      </c>
      <c r="M8" s="92">
        <v>833.33333333333394</v>
      </c>
      <c r="N8" s="90">
        <f t="shared" si="2"/>
        <v>10000</v>
      </c>
    </row>
    <row r="9" spans="1:14" ht="14.25" x14ac:dyDescent="0.15">
      <c r="A9" s="88" t="s">
        <v>140</v>
      </c>
      <c r="B9" s="92">
        <v>3.75</v>
      </c>
      <c r="C9" s="92">
        <v>3.75</v>
      </c>
      <c r="D9" s="92">
        <v>3.75</v>
      </c>
      <c r="E9" s="92">
        <v>3.75</v>
      </c>
      <c r="F9" s="92">
        <v>3.75</v>
      </c>
      <c r="G9" s="92">
        <v>3.75</v>
      </c>
      <c r="H9" s="92">
        <v>3.75</v>
      </c>
      <c r="I9" s="92">
        <v>3.75</v>
      </c>
      <c r="J9" s="92">
        <v>3.75</v>
      </c>
      <c r="K9" s="92">
        <v>3.75</v>
      </c>
      <c r="L9" s="92">
        <v>3.75</v>
      </c>
      <c r="M9" s="92">
        <v>3.75</v>
      </c>
      <c r="N9" s="90">
        <f t="shared" si="2"/>
        <v>45</v>
      </c>
    </row>
    <row r="10" spans="1:14" ht="14.25" x14ac:dyDescent="0.15">
      <c r="A10" s="88" t="s">
        <v>141</v>
      </c>
      <c r="B10" s="92">
        <v>2000</v>
      </c>
      <c r="C10" s="92">
        <v>2000</v>
      </c>
      <c r="D10" s="92">
        <v>2000</v>
      </c>
      <c r="E10" s="92">
        <v>2000</v>
      </c>
      <c r="F10" s="92">
        <v>2000</v>
      </c>
      <c r="G10" s="92">
        <v>2000</v>
      </c>
      <c r="H10" s="92">
        <v>2000</v>
      </c>
      <c r="I10" s="92">
        <v>2000</v>
      </c>
      <c r="J10" s="92">
        <v>2000</v>
      </c>
      <c r="K10" s="92">
        <v>2000</v>
      </c>
      <c r="L10" s="92">
        <v>2000</v>
      </c>
      <c r="M10" s="92">
        <v>2000</v>
      </c>
      <c r="N10" s="90">
        <f t="shared" si="2"/>
        <v>24000</v>
      </c>
    </row>
    <row r="11" spans="1:14" ht="14.25" x14ac:dyDescent="0.15">
      <c r="A11" s="88" t="s">
        <v>142</v>
      </c>
      <c r="B11" s="92">
        <v>2.5</v>
      </c>
      <c r="C11" s="92">
        <v>2.5</v>
      </c>
      <c r="D11" s="92">
        <v>2.5</v>
      </c>
      <c r="E11" s="92">
        <v>2.5</v>
      </c>
      <c r="F11" s="92">
        <v>2.5</v>
      </c>
      <c r="G11" s="92">
        <v>2.5</v>
      </c>
      <c r="H11" s="92">
        <v>2.5</v>
      </c>
      <c r="I11" s="92">
        <v>2.5</v>
      </c>
      <c r="J11" s="92">
        <v>2.5</v>
      </c>
      <c r="K11" s="92">
        <v>2.5</v>
      </c>
      <c r="L11" s="92">
        <v>2.5</v>
      </c>
      <c r="M11" s="92">
        <v>2.5</v>
      </c>
      <c r="N11" s="90">
        <f t="shared" si="2"/>
        <v>30</v>
      </c>
    </row>
    <row r="12" spans="1:14" ht="14.25" x14ac:dyDescent="0.15">
      <c r="A12" s="87" t="s">
        <v>143</v>
      </c>
      <c r="B12" s="92">
        <v>1.6666666666666667</v>
      </c>
      <c r="C12" s="92">
        <v>1.6666666666666667</v>
      </c>
      <c r="D12" s="92">
        <v>1.6666666666666667</v>
      </c>
      <c r="E12" s="92">
        <v>1.6666666666666667</v>
      </c>
      <c r="F12" s="92">
        <v>1.6666666666666667</v>
      </c>
      <c r="G12" s="92">
        <v>1.6666666666666667</v>
      </c>
      <c r="H12" s="92">
        <v>1.6666666666666667</v>
      </c>
      <c r="I12" s="92">
        <v>1.6666666666666667</v>
      </c>
      <c r="J12" s="92">
        <v>1.6666666666666667</v>
      </c>
      <c r="K12" s="92">
        <v>1.6666666666666667</v>
      </c>
      <c r="L12" s="92">
        <v>1.6666666666666667</v>
      </c>
      <c r="M12" s="92">
        <v>1.6666666666666679</v>
      </c>
      <c r="N12" s="90">
        <f t="shared" si="2"/>
        <v>20</v>
      </c>
    </row>
    <row r="13" spans="1:14" ht="14.25" x14ac:dyDescent="0.15">
      <c r="A13" s="87" t="s">
        <v>144</v>
      </c>
      <c r="B13" s="92">
        <v>0</v>
      </c>
      <c r="C13" s="92">
        <v>0</v>
      </c>
      <c r="D13" s="92">
        <v>0</v>
      </c>
      <c r="E13" s="92">
        <v>0</v>
      </c>
      <c r="F13" s="92">
        <v>0</v>
      </c>
      <c r="G13" s="92">
        <v>0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90">
        <f t="shared" si="2"/>
        <v>0</v>
      </c>
    </row>
    <row r="14" spans="1:14" ht="14.25" x14ac:dyDescent="0.15">
      <c r="A14" s="87" t="s">
        <v>145</v>
      </c>
      <c r="B14" s="92">
        <v>0</v>
      </c>
      <c r="C14" s="92">
        <v>0</v>
      </c>
      <c r="D14" s="92">
        <v>0</v>
      </c>
      <c r="E14" s="92">
        <v>0</v>
      </c>
      <c r="F14" s="92">
        <v>0</v>
      </c>
      <c r="G14" s="92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  <c r="M14" s="92">
        <v>0</v>
      </c>
      <c r="N14" s="90">
        <f t="shared" si="2"/>
        <v>0</v>
      </c>
    </row>
    <row r="15" spans="1:14" ht="14.25" x14ac:dyDescent="0.15">
      <c r="A15" s="87" t="s">
        <v>146</v>
      </c>
      <c r="B15" s="92">
        <v>0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  <c r="M15" s="92">
        <v>0</v>
      </c>
      <c r="N15" s="90">
        <f t="shared" si="2"/>
        <v>0</v>
      </c>
    </row>
    <row r="16" spans="1:14" ht="14.25" x14ac:dyDescent="0.15">
      <c r="A16" s="87" t="s">
        <v>147</v>
      </c>
      <c r="B16" s="92">
        <v>0</v>
      </c>
      <c r="C16" s="92">
        <v>0</v>
      </c>
      <c r="D16" s="92">
        <v>0</v>
      </c>
      <c r="E16" s="92">
        <v>0</v>
      </c>
      <c r="F16" s="92">
        <v>0</v>
      </c>
      <c r="G16" s="92">
        <v>0</v>
      </c>
      <c r="H16" s="92">
        <v>0</v>
      </c>
      <c r="I16" s="92">
        <v>0</v>
      </c>
      <c r="J16" s="92">
        <v>0</v>
      </c>
      <c r="K16" s="92">
        <v>0</v>
      </c>
      <c r="L16" s="92">
        <v>0</v>
      </c>
      <c r="M16" s="92">
        <v>0</v>
      </c>
      <c r="N16" s="90">
        <f t="shared" si="2"/>
        <v>0</v>
      </c>
    </row>
    <row r="17" spans="1:14" ht="14.25" x14ac:dyDescent="0.15">
      <c r="A17" s="87" t="s">
        <v>148</v>
      </c>
      <c r="B17" s="92">
        <v>0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2">
        <v>0</v>
      </c>
      <c r="I17" s="92">
        <v>0</v>
      </c>
      <c r="J17" s="92">
        <v>0</v>
      </c>
      <c r="K17" s="92">
        <v>0</v>
      </c>
      <c r="L17" s="92">
        <v>0</v>
      </c>
      <c r="M17" s="92">
        <v>0</v>
      </c>
      <c r="N17" s="90">
        <f t="shared" si="2"/>
        <v>0</v>
      </c>
    </row>
    <row r="18" spans="1:14" ht="14.25" x14ac:dyDescent="0.15">
      <c r="A18" s="87" t="s">
        <v>149</v>
      </c>
      <c r="B18" s="93">
        <v>213.75</v>
      </c>
      <c r="C18" s="93">
        <v>251.25</v>
      </c>
      <c r="D18" s="93">
        <v>251.25</v>
      </c>
      <c r="E18" s="93">
        <v>300.80833333333334</v>
      </c>
      <c r="F18" s="93">
        <v>333.58333333333331</v>
      </c>
      <c r="G18" s="93">
        <v>448.58333333333337</v>
      </c>
      <c r="H18" s="93">
        <v>504.87083333333328</v>
      </c>
      <c r="I18" s="93">
        <v>504.87083333333328</v>
      </c>
      <c r="J18" s="93">
        <v>504.87083333333328</v>
      </c>
      <c r="K18" s="93">
        <v>505.26666666666665</v>
      </c>
      <c r="L18" s="93">
        <v>505.26666666666665</v>
      </c>
      <c r="M18" s="93">
        <v>505.26666666666665</v>
      </c>
      <c r="N18" s="90">
        <f t="shared" si="2"/>
        <v>4829.6374999999998</v>
      </c>
    </row>
    <row r="19" spans="1:14" ht="14.25" x14ac:dyDescent="0.15">
      <c r="A19" s="87" t="s">
        <v>150</v>
      </c>
      <c r="B19" s="92">
        <v>7.5</v>
      </c>
      <c r="C19" s="92">
        <v>7.5</v>
      </c>
      <c r="D19" s="92">
        <v>7.5</v>
      </c>
      <c r="E19" s="92">
        <v>7.5</v>
      </c>
      <c r="F19" s="92">
        <v>7.5</v>
      </c>
      <c r="G19" s="92">
        <v>7.5</v>
      </c>
      <c r="H19" s="92">
        <v>7.5</v>
      </c>
      <c r="I19" s="92">
        <v>7.5</v>
      </c>
      <c r="J19" s="92">
        <v>7.5</v>
      </c>
      <c r="K19" s="92">
        <v>7.5</v>
      </c>
      <c r="L19" s="92">
        <v>7.5</v>
      </c>
      <c r="M19" s="92">
        <v>7.5</v>
      </c>
      <c r="N19" s="90">
        <f t="shared" si="2"/>
        <v>90</v>
      </c>
    </row>
    <row r="20" spans="1:14" ht="14.25" x14ac:dyDescent="0.15">
      <c r="A20" s="87" t="s">
        <v>151</v>
      </c>
      <c r="B20" s="92">
        <v>0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0">
        <f t="shared" si="2"/>
        <v>0</v>
      </c>
    </row>
    <row r="21" spans="1:14" ht="14.25" x14ac:dyDescent="0.15">
      <c r="A21" s="87" t="s">
        <v>152</v>
      </c>
      <c r="B21" s="92">
        <v>4.166666666666667</v>
      </c>
      <c r="C21" s="92">
        <v>4.166666666666667</v>
      </c>
      <c r="D21" s="92">
        <v>4.166666666666667</v>
      </c>
      <c r="E21" s="92">
        <v>4.166666666666667</v>
      </c>
      <c r="F21" s="92">
        <v>4.166666666666667</v>
      </c>
      <c r="G21" s="92">
        <v>4.166666666666667</v>
      </c>
      <c r="H21" s="92">
        <v>4.166666666666667</v>
      </c>
      <c r="I21" s="92">
        <v>4.166666666666667</v>
      </c>
      <c r="J21" s="92">
        <v>4.166666666666667</v>
      </c>
      <c r="K21" s="92">
        <v>4.166666666666667</v>
      </c>
      <c r="L21" s="92">
        <v>4.166666666666667</v>
      </c>
      <c r="M21" s="92">
        <v>4.1666666666666714</v>
      </c>
      <c r="N21" s="90">
        <f t="shared" si="2"/>
        <v>50</v>
      </c>
    </row>
    <row r="22" spans="1:14" ht="14.25" x14ac:dyDescent="0.15">
      <c r="A22" s="87" t="s">
        <v>153</v>
      </c>
      <c r="B22" s="92">
        <v>0</v>
      </c>
      <c r="C22" s="92">
        <v>0</v>
      </c>
      <c r="D22" s="92">
        <v>0</v>
      </c>
      <c r="E22" s="92">
        <v>0</v>
      </c>
      <c r="F22" s="92">
        <v>0</v>
      </c>
      <c r="G22" s="92">
        <v>0</v>
      </c>
      <c r="H22" s="92">
        <v>0</v>
      </c>
      <c r="I22" s="92">
        <v>0</v>
      </c>
      <c r="J22" s="92">
        <v>0</v>
      </c>
      <c r="K22" s="92">
        <v>0</v>
      </c>
      <c r="L22" s="92">
        <v>0</v>
      </c>
      <c r="M22" s="92">
        <v>0</v>
      </c>
      <c r="N22" s="90">
        <f t="shared" si="2"/>
        <v>0</v>
      </c>
    </row>
    <row r="23" spans="1:14" ht="14.25" x14ac:dyDescent="0.15">
      <c r="A23" s="87" t="s">
        <v>154</v>
      </c>
      <c r="B23" s="92">
        <v>0</v>
      </c>
      <c r="C23" s="92">
        <v>0</v>
      </c>
      <c r="D23" s="92">
        <v>0</v>
      </c>
      <c r="E23" s="92">
        <v>0</v>
      </c>
      <c r="F23" s="92">
        <v>0</v>
      </c>
      <c r="G23" s="92">
        <v>0</v>
      </c>
      <c r="H23" s="92">
        <v>0</v>
      </c>
      <c r="I23" s="92">
        <v>0</v>
      </c>
      <c r="J23" s="92">
        <v>0</v>
      </c>
      <c r="K23" s="92">
        <v>0</v>
      </c>
      <c r="L23" s="92">
        <v>0</v>
      </c>
      <c r="M23" s="92">
        <v>0</v>
      </c>
      <c r="N23" s="90">
        <f t="shared" si="2"/>
        <v>0</v>
      </c>
    </row>
    <row r="24" spans="1:14" ht="14.25" x14ac:dyDescent="0.15">
      <c r="A24" s="87" t="s">
        <v>155</v>
      </c>
      <c r="B24" s="92">
        <v>0</v>
      </c>
      <c r="C24" s="92">
        <v>0</v>
      </c>
      <c r="D24" s="92">
        <v>0</v>
      </c>
      <c r="E24" s="92">
        <v>0</v>
      </c>
      <c r="F24" s="92">
        <v>0</v>
      </c>
      <c r="G24" s="92">
        <v>0</v>
      </c>
      <c r="H24" s="92">
        <v>0</v>
      </c>
      <c r="I24" s="92">
        <v>0</v>
      </c>
      <c r="J24" s="92">
        <v>0</v>
      </c>
      <c r="K24" s="92">
        <v>0</v>
      </c>
      <c r="L24" s="92">
        <v>0</v>
      </c>
      <c r="M24" s="92">
        <v>0</v>
      </c>
      <c r="N24" s="90">
        <f t="shared" si="2"/>
        <v>0</v>
      </c>
    </row>
    <row r="25" spans="1:14" ht="14.25" x14ac:dyDescent="0.15">
      <c r="A25" s="87" t="s">
        <v>156</v>
      </c>
      <c r="B25" s="92">
        <v>20.833333333333332</v>
      </c>
      <c r="C25" s="92">
        <v>20.833333333333332</v>
      </c>
      <c r="D25" s="92">
        <v>20.833333333333332</v>
      </c>
      <c r="E25" s="92">
        <v>20.833333333333332</v>
      </c>
      <c r="F25" s="92">
        <v>20.833333333333332</v>
      </c>
      <c r="G25" s="92">
        <v>20.833333333333332</v>
      </c>
      <c r="H25" s="92">
        <v>20.833333333333332</v>
      </c>
      <c r="I25" s="92">
        <v>20.833333333333332</v>
      </c>
      <c r="J25" s="92">
        <v>20.833333333333332</v>
      </c>
      <c r="K25" s="92">
        <v>20.833333333333332</v>
      </c>
      <c r="L25" s="92">
        <v>20.833333333333332</v>
      </c>
      <c r="M25" s="92">
        <v>20.833333333333314</v>
      </c>
      <c r="N25" s="90">
        <f t="shared" si="2"/>
        <v>250</v>
      </c>
    </row>
    <row r="26" spans="1:14" ht="14.25" x14ac:dyDescent="0.15">
      <c r="A26" s="87" t="s">
        <v>157</v>
      </c>
      <c r="B26" s="92">
        <v>8.3333333333333339</v>
      </c>
      <c r="C26" s="92">
        <v>8.3333333333333339</v>
      </c>
      <c r="D26" s="92">
        <v>8.3333333333333339</v>
      </c>
      <c r="E26" s="92">
        <v>8.3333333333333339</v>
      </c>
      <c r="F26" s="92">
        <v>8.3333333333333339</v>
      </c>
      <c r="G26" s="92">
        <v>8.3333333333333339</v>
      </c>
      <c r="H26" s="92">
        <v>8.3333333333333339</v>
      </c>
      <c r="I26" s="92">
        <v>8.3333333333333339</v>
      </c>
      <c r="J26" s="92">
        <v>8.3333333333333339</v>
      </c>
      <c r="K26" s="92">
        <v>8.3333333333333339</v>
      </c>
      <c r="L26" s="92">
        <v>8.3333333333333339</v>
      </c>
      <c r="M26" s="92">
        <v>8.3333333333333428</v>
      </c>
      <c r="N26" s="90">
        <f t="shared" si="2"/>
        <v>100</v>
      </c>
    </row>
    <row r="27" spans="1:14" ht="14.25" x14ac:dyDescent="0.15">
      <c r="A27" s="88" t="s">
        <v>159</v>
      </c>
      <c r="B27" s="92">
        <v>0</v>
      </c>
      <c r="C27" s="92">
        <v>0</v>
      </c>
      <c r="D27" s="92">
        <v>0</v>
      </c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v>0</v>
      </c>
      <c r="L27" s="92">
        <v>0</v>
      </c>
      <c r="M27" s="92">
        <v>0</v>
      </c>
      <c r="N27" s="90">
        <f t="shared" si="2"/>
        <v>0</v>
      </c>
    </row>
    <row r="28" spans="1:14" ht="14.25" x14ac:dyDescent="0.15">
      <c r="A28" s="88" t="s">
        <v>160</v>
      </c>
      <c r="B28" s="92">
        <v>7.083333333333333</v>
      </c>
      <c r="C28" s="92">
        <v>7.083333333333333</v>
      </c>
      <c r="D28" s="92">
        <v>7.083333333333333</v>
      </c>
      <c r="E28" s="92">
        <v>7.083333333333333</v>
      </c>
      <c r="F28" s="92">
        <v>7.083333333333333</v>
      </c>
      <c r="G28" s="92">
        <v>7.083333333333333</v>
      </c>
      <c r="H28" s="92">
        <v>7.083333333333333</v>
      </c>
      <c r="I28" s="92">
        <v>7.083333333333333</v>
      </c>
      <c r="J28" s="92">
        <v>7.083333333333333</v>
      </c>
      <c r="K28" s="92">
        <v>7.083333333333333</v>
      </c>
      <c r="L28" s="92">
        <v>7.083333333333333</v>
      </c>
      <c r="M28" s="92">
        <v>7.0833333333333286</v>
      </c>
      <c r="N28" s="90">
        <f t="shared" si="2"/>
        <v>85</v>
      </c>
    </row>
    <row r="29" spans="1:14" ht="15.75" x14ac:dyDescent="0.15">
      <c r="A29" s="85" t="s">
        <v>158</v>
      </c>
      <c r="B29" s="84">
        <f t="shared" ref="B29:M29" si="3">SUM(B4:B28)</f>
        <v>4190.8575533333333</v>
      </c>
      <c r="C29" s="84">
        <f t="shared" si="3"/>
        <v>4228.3575533333333</v>
      </c>
      <c r="D29" s="84">
        <f t="shared" si="3"/>
        <v>4228.3575533333333</v>
      </c>
      <c r="E29" s="84">
        <f t="shared" si="3"/>
        <v>4277.9158866666658</v>
      </c>
      <c r="F29" s="84">
        <f t="shared" si="3"/>
        <v>4373.7047533333325</v>
      </c>
      <c r="G29" s="84">
        <f t="shared" si="3"/>
        <v>4488.7047533333325</v>
      </c>
      <c r="H29" s="84">
        <f t="shared" si="3"/>
        <v>4544.9922533333329</v>
      </c>
      <c r="I29" s="84">
        <f t="shared" si="3"/>
        <v>4544.9922533333329</v>
      </c>
      <c r="J29" s="84">
        <f t="shared" si="3"/>
        <v>4544.9922533333329</v>
      </c>
      <c r="K29" s="84">
        <f t="shared" si="3"/>
        <v>4545.3880866666659</v>
      </c>
      <c r="L29" s="84">
        <f t="shared" si="3"/>
        <v>4545.3880866666659</v>
      </c>
      <c r="M29" s="84">
        <f t="shared" si="3"/>
        <v>4545.3880866666668</v>
      </c>
      <c r="N29" s="84">
        <f>SUM(B29:M29)</f>
        <v>53059.039073333326</v>
      </c>
    </row>
  </sheetData>
  <mergeCells count="1">
    <mergeCell ref="A1:N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"/>
  <sheetViews>
    <sheetView showGridLines="0" topLeftCell="A4" zoomScale="90" zoomScaleNormal="90" workbookViewId="0">
      <selection activeCell="E18" sqref="E18"/>
    </sheetView>
  </sheetViews>
  <sheetFormatPr defaultRowHeight="13.5" x14ac:dyDescent="0.15"/>
  <cols>
    <col min="2" max="2" width="10.125" customWidth="1"/>
    <col min="3" max="3" width="5.5" customWidth="1"/>
    <col min="4" max="16" width="9.375" bestFit="1" customWidth="1"/>
    <col min="17" max="17" width="12.75" bestFit="1" customWidth="1"/>
  </cols>
  <sheetData>
    <row r="1" spans="2:17" ht="52.5" customHeight="1" x14ac:dyDescent="0.15">
      <c r="B1" s="217" t="s">
        <v>164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</row>
    <row r="2" spans="2:17" ht="27.75" customHeight="1" thickBot="1" x14ac:dyDescent="0.2">
      <c r="B2" s="220" t="s">
        <v>275</v>
      </c>
      <c r="C2" s="220"/>
      <c r="D2" s="220"/>
      <c r="E2" s="220" t="s">
        <v>268</v>
      </c>
      <c r="F2" s="220"/>
      <c r="G2" s="220"/>
      <c r="H2" s="193"/>
      <c r="I2" s="220" t="s">
        <v>276</v>
      </c>
      <c r="J2" s="220"/>
      <c r="K2" s="220">
        <v>2013</v>
      </c>
      <c r="L2" s="220"/>
      <c r="M2" s="220" t="s">
        <v>277</v>
      </c>
      <c r="N2" s="220"/>
      <c r="O2" s="221">
        <v>41214</v>
      </c>
      <c r="P2" s="220"/>
      <c r="Q2" s="192"/>
    </row>
    <row r="3" spans="2:17" ht="38.25" customHeight="1" x14ac:dyDescent="0.15">
      <c r="B3" s="218" t="s">
        <v>108</v>
      </c>
      <c r="C3" s="219"/>
      <c r="D3" s="188" t="s">
        <v>165</v>
      </c>
      <c r="E3" s="97">
        <v>1</v>
      </c>
      <c r="F3" s="97">
        <v>2</v>
      </c>
      <c r="G3" s="97">
        <v>3</v>
      </c>
      <c r="H3" s="97">
        <v>4</v>
      </c>
      <c r="I3" s="97">
        <v>5</v>
      </c>
      <c r="J3" s="97">
        <v>6</v>
      </c>
      <c r="K3" s="97">
        <v>7</v>
      </c>
      <c r="L3" s="97">
        <v>8</v>
      </c>
      <c r="M3" s="97">
        <v>9</v>
      </c>
      <c r="N3" s="97">
        <v>10</v>
      </c>
      <c r="O3" s="97">
        <v>11</v>
      </c>
      <c r="P3" s="97">
        <v>12</v>
      </c>
      <c r="Q3" s="189" t="s">
        <v>166</v>
      </c>
    </row>
    <row r="4" spans="2:17" ht="20.100000000000001" customHeight="1" x14ac:dyDescent="0.15">
      <c r="B4" s="215" t="s">
        <v>109</v>
      </c>
      <c r="C4" s="216"/>
      <c r="D4" s="185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190"/>
    </row>
    <row r="5" spans="2:17" ht="20.100000000000001" customHeight="1" x14ac:dyDescent="0.15">
      <c r="B5" s="212" t="s">
        <v>35</v>
      </c>
      <c r="C5" s="209"/>
      <c r="D5" s="186">
        <v>100000</v>
      </c>
      <c r="E5" s="98">
        <f>销售收入预算表!E17</f>
        <v>24250</v>
      </c>
      <c r="F5" s="98">
        <f>销售收入预算表!F17</f>
        <v>30312.5</v>
      </c>
      <c r="G5" s="98">
        <f>销售收入预算表!G17</f>
        <v>31525</v>
      </c>
      <c r="H5" s="98">
        <f>销售收入预算表!H17</f>
        <v>32737.5</v>
      </c>
      <c r="I5" s="98">
        <f>销售收入预算表!I17</f>
        <v>31525</v>
      </c>
      <c r="J5" s="98">
        <f>销售收入预算表!J17</f>
        <v>32980</v>
      </c>
      <c r="K5" s="98">
        <f>销售收入预算表!K17</f>
        <v>37587.5</v>
      </c>
      <c r="L5" s="98">
        <f>销售收入预算表!L17</f>
        <v>50925</v>
      </c>
      <c r="M5" s="98">
        <f>销售收入预算表!M17</f>
        <v>45832.5</v>
      </c>
      <c r="N5" s="98">
        <f>销售收入预算表!N17</f>
        <v>43286.25</v>
      </c>
      <c r="O5" s="98">
        <f>销售收入预算表!O17</f>
        <v>40740</v>
      </c>
      <c r="P5" s="98">
        <f>销售收入预算表!P17</f>
        <v>34119.75</v>
      </c>
      <c r="Q5" s="191">
        <f>SUM(E5:P5)</f>
        <v>435821</v>
      </c>
    </row>
    <row r="6" spans="2:17" ht="20.100000000000001" customHeight="1" x14ac:dyDescent="0.15">
      <c r="B6" s="208" t="s">
        <v>278</v>
      </c>
      <c r="C6" s="209"/>
      <c r="D6" s="186">
        <v>75000</v>
      </c>
      <c r="E6" s="98">
        <f>销售收入预算表!E18</f>
        <v>30000</v>
      </c>
      <c r="F6" s="98">
        <f>销售收入预算表!F18</f>
        <v>23520</v>
      </c>
      <c r="G6" s="98">
        <f>销售收入预算表!G18</f>
        <v>19600</v>
      </c>
      <c r="H6" s="98">
        <f>销售收入预算表!H18</f>
        <v>17024.560000000001</v>
      </c>
      <c r="I6" s="98">
        <f>销售收入预算表!I18</f>
        <v>13461.28</v>
      </c>
      <c r="J6" s="98">
        <f>销售收入预算表!J18</f>
        <v>9597.1008000000002</v>
      </c>
      <c r="K6" s="98">
        <f>销售收入预算表!K18</f>
        <v>13595.892800000001</v>
      </c>
      <c r="L6" s="98">
        <f>销售收入预算表!L18</f>
        <v>17594.684800000003</v>
      </c>
      <c r="M6" s="98">
        <f>销售收入预算表!M18</f>
        <v>19594.0808</v>
      </c>
      <c r="N6" s="98">
        <f>销售收入预算表!N18</f>
        <v>21593.4768</v>
      </c>
      <c r="O6" s="98">
        <f>销售收入预算表!O18</f>
        <v>20593.7788</v>
      </c>
      <c r="P6" s="98">
        <f>销售收入预算表!P18</f>
        <v>20181.903224000002</v>
      </c>
      <c r="Q6" s="191">
        <f t="shared" ref="Q6:Q12" si="0">SUM(E6:P6)</f>
        <v>226356.75802400001</v>
      </c>
    </row>
    <row r="7" spans="2:17" ht="20.100000000000001" customHeight="1" x14ac:dyDescent="0.15">
      <c r="B7" s="210" t="s">
        <v>110</v>
      </c>
      <c r="C7" s="211"/>
      <c r="D7" s="186">
        <f>SUM(D5:D6)</f>
        <v>175000</v>
      </c>
      <c r="E7" s="98">
        <f>SUM(E5:E6)</f>
        <v>54250</v>
      </c>
      <c r="F7" s="98">
        <f t="shared" ref="F7:P7" si="1">SUM(F5:F6)</f>
        <v>53832.5</v>
      </c>
      <c r="G7" s="98">
        <f t="shared" si="1"/>
        <v>51125</v>
      </c>
      <c r="H7" s="98">
        <f t="shared" si="1"/>
        <v>49762.06</v>
      </c>
      <c r="I7" s="98">
        <f t="shared" si="1"/>
        <v>44986.28</v>
      </c>
      <c r="J7" s="98">
        <f t="shared" si="1"/>
        <v>42577.1008</v>
      </c>
      <c r="K7" s="98">
        <f t="shared" si="1"/>
        <v>51183.392800000001</v>
      </c>
      <c r="L7" s="98">
        <f t="shared" si="1"/>
        <v>68519.684800000003</v>
      </c>
      <c r="M7" s="98">
        <f t="shared" si="1"/>
        <v>65426.580799999996</v>
      </c>
      <c r="N7" s="98">
        <f t="shared" si="1"/>
        <v>64879.726800000004</v>
      </c>
      <c r="O7" s="98">
        <f t="shared" si="1"/>
        <v>61333.7788</v>
      </c>
      <c r="P7" s="98">
        <f t="shared" si="1"/>
        <v>54301.653224000002</v>
      </c>
      <c r="Q7" s="191">
        <f t="shared" si="0"/>
        <v>662177.75802399998</v>
      </c>
    </row>
    <row r="8" spans="2:17" ht="20.100000000000001" customHeight="1" x14ac:dyDescent="0.15">
      <c r="B8" s="215" t="s">
        <v>111</v>
      </c>
      <c r="C8" s="216"/>
      <c r="D8" s="187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190"/>
    </row>
    <row r="9" spans="2:17" ht="20.100000000000001" customHeight="1" x14ac:dyDescent="0.15">
      <c r="B9" s="212" t="s">
        <v>112</v>
      </c>
      <c r="C9" s="209"/>
      <c r="D9" s="186">
        <v>107221</v>
      </c>
      <c r="E9" s="98">
        <f>材料预算表!D5</f>
        <v>14250</v>
      </c>
      <c r="F9" s="98">
        <f>材料预算表!E5</f>
        <v>23028</v>
      </c>
      <c r="G9" s="98">
        <f>材料预算表!F5</f>
        <v>23366.753999999997</v>
      </c>
      <c r="H9" s="98">
        <f>材料预算表!G5</f>
        <v>24640.262999999999</v>
      </c>
      <c r="I9" s="98">
        <f>材料预算表!H5</f>
        <v>24035.132610000001</v>
      </c>
      <c r="J9" s="98">
        <f>材料预算表!I5</f>
        <v>23520.047759999998</v>
      </c>
      <c r="K9" s="98">
        <f>材料预算表!J5</f>
        <v>29031.396570000001</v>
      </c>
      <c r="L9" s="98">
        <f>材料预算表!K5</f>
        <v>33721.751487599999</v>
      </c>
      <c r="M9" s="98">
        <f>材料预算表!L5</f>
        <v>37666.316071692003</v>
      </c>
      <c r="N9" s="98">
        <f>材料预算表!M5</f>
        <v>38129.584340232002</v>
      </c>
      <c r="O9" s="98">
        <f>材料预算表!N5</f>
        <v>37758.969725400006</v>
      </c>
      <c r="P9" s="98">
        <f>材料预算表!O5</f>
        <v>37666.316071692003</v>
      </c>
      <c r="Q9" s="191">
        <f t="shared" si="0"/>
        <v>346814.53163661604</v>
      </c>
    </row>
    <row r="10" spans="2:17" ht="20.100000000000001" customHeight="1" x14ac:dyDescent="0.15">
      <c r="B10" s="208" t="s">
        <v>113</v>
      </c>
      <c r="C10" s="209"/>
      <c r="D10" s="186">
        <v>9873</v>
      </c>
      <c r="E10" s="98">
        <f>人工预算表!C3</f>
        <v>3535.4034466666667</v>
      </c>
      <c r="F10" s="98">
        <f>人工预算表!D3</f>
        <v>3535.4034466666667</v>
      </c>
      <c r="G10" s="98">
        <f>人工预算表!E3</f>
        <v>3535.4034466666667</v>
      </c>
      <c r="H10" s="98">
        <f>人工预算表!F3</f>
        <v>3535.4034466666667</v>
      </c>
      <c r="I10" s="98">
        <f>人工预算表!G3</f>
        <v>3692.5022466666669</v>
      </c>
      <c r="J10" s="98">
        <f>人工预算表!H3</f>
        <v>3692.5022466666669</v>
      </c>
      <c r="K10" s="98">
        <f>人工预算表!I3</f>
        <v>3692.5022466666669</v>
      </c>
      <c r="L10" s="98">
        <f>人工预算表!J3</f>
        <v>3692.5022466666669</v>
      </c>
      <c r="M10" s="98">
        <f>人工预算表!K3</f>
        <v>3692.5022466666669</v>
      </c>
      <c r="N10" s="98">
        <f>人工预算表!L3</f>
        <v>3692.5022466666669</v>
      </c>
      <c r="O10" s="98">
        <f>人工预算表!M3</f>
        <v>3692.5022466666669</v>
      </c>
      <c r="P10" s="98">
        <f>人工预算表!N3</f>
        <v>3692.5022466666669</v>
      </c>
      <c r="Q10" s="191">
        <f t="shared" si="0"/>
        <v>43681.631760000004</v>
      </c>
    </row>
    <row r="11" spans="2:17" ht="20.100000000000001" customHeight="1" x14ac:dyDescent="0.15">
      <c r="B11" s="208" t="s">
        <v>114</v>
      </c>
      <c r="C11" s="209"/>
      <c r="D11" s="186">
        <v>21927</v>
      </c>
      <c r="E11" s="98">
        <f>制造费用!B3</f>
        <v>4190.8575533333333</v>
      </c>
      <c r="F11" s="98">
        <f>制造费用!C3</f>
        <v>4228.3575533333333</v>
      </c>
      <c r="G11" s="98">
        <f>制造费用!D3</f>
        <v>4228.3575533333333</v>
      </c>
      <c r="H11" s="98">
        <f>制造费用!E3</f>
        <v>4277.9158866666658</v>
      </c>
      <c r="I11" s="98">
        <f>制造费用!F3</f>
        <v>4373.7047533333325</v>
      </c>
      <c r="J11" s="98">
        <f>制造费用!G3</f>
        <v>4488.7047533333325</v>
      </c>
      <c r="K11" s="98">
        <f>制造费用!H3</f>
        <v>4544.9922533333329</v>
      </c>
      <c r="L11" s="98">
        <f>制造费用!I3</f>
        <v>4544.9922533333329</v>
      </c>
      <c r="M11" s="98">
        <f>制造费用!J3</f>
        <v>4544.9922533333329</v>
      </c>
      <c r="N11" s="98">
        <f>制造费用!K3</f>
        <v>4545.3880866666659</v>
      </c>
      <c r="O11" s="98">
        <f>制造费用!L3</f>
        <v>4545.3880866666659</v>
      </c>
      <c r="P11" s="98">
        <f>制造费用!M3</f>
        <v>4545.3880866666668</v>
      </c>
      <c r="Q11" s="191">
        <f t="shared" si="0"/>
        <v>53059.039073333326</v>
      </c>
    </row>
    <row r="12" spans="2:17" ht="20.100000000000001" customHeight="1" x14ac:dyDescent="0.15">
      <c r="B12" s="210" t="s">
        <v>115</v>
      </c>
      <c r="C12" s="211"/>
      <c r="D12" s="186">
        <f>SUM(D9:D11)</f>
        <v>139021</v>
      </c>
      <c r="E12" s="98">
        <f>SUM(E9:E11)</f>
        <v>21976.260999999999</v>
      </c>
      <c r="F12" s="98">
        <f t="shared" ref="F12:P12" si="2">SUM(F9:F11)</f>
        <v>30791.760999999999</v>
      </c>
      <c r="G12" s="98">
        <f t="shared" si="2"/>
        <v>31130.514999999999</v>
      </c>
      <c r="H12" s="98">
        <f t="shared" si="2"/>
        <v>32453.582333333332</v>
      </c>
      <c r="I12" s="98">
        <f t="shared" si="2"/>
        <v>32101.339609999999</v>
      </c>
      <c r="J12" s="98">
        <f t="shared" si="2"/>
        <v>31701.254759999996</v>
      </c>
      <c r="K12" s="98">
        <f t="shared" si="2"/>
        <v>37268.891069999998</v>
      </c>
      <c r="L12" s="98">
        <f t="shared" si="2"/>
        <v>41959.245987599992</v>
      </c>
      <c r="M12" s="98">
        <f t="shared" si="2"/>
        <v>45903.810571691996</v>
      </c>
      <c r="N12" s="98">
        <f t="shared" si="2"/>
        <v>46367.474673565339</v>
      </c>
      <c r="O12" s="98">
        <f t="shared" si="2"/>
        <v>45996.860058733342</v>
      </c>
      <c r="P12" s="98">
        <f t="shared" si="2"/>
        <v>45904.206405025332</v>
      </c>
      <c r="Q12" s="191">
        <f t="shared" si="0"/>
        <v>443555.20246994938</v>
      </c>
    </row>
    <row r="13" spans="2:17" ht="20.100000000000001" customHeight="1" x14ac:dyDescent="0.15">
      <c r="B13" s="212" t="s">
        <v>116</v>
      </c>
      <c r="C13" s="209"/>
      <c r="D13" s="99">
        <f>D9/D$7</f>
        <v>0.61269142857142855</v>
      </c>
      <c r="E13" s="100">
        <f>E9/E$7</f>
        <v>0.26267281105990781</v>
      </c>
      <c r="F13" s="100">
        <f t="shared" ref="F13:Q14" si="3">F9/F$7</f>
        <v>0.42777132772953141</v>
      </c>
      <c r="G13" s="100">
        <f t="shared" si="3"/>
        <v>0.45705142298288504</v>
      </c>
      <c r="H13" s="100">
        <f t="shared" si="3"/>
        <v>0.49516163518953998</v>
      </c>
      <c r="I13" s="100">
        <f t="shared" si="3"/>
        <v>0.53427695310659162</v>
      </c>
      <c r="J13" s="100">
        <f t="shared" si="3"/>
        <v>0.5524107400004088</v>
      </c>
      <c r="K13" s="100">
        <f t="shared" si="3"/>
        <v>0.56720344201176132</v>
      </c>
      <c r="L13" s="100">
        <f t="shared" si="3"/>
        <v>0.49214691494903079</v>
      </c>
      <c r="M13" s="100">
        <f t="shared" si="3"/>
        <v>0.57570356896431307</v>
      </c>
      <c r="N13" s="100">
        <f t="shared" si="3"/>
        <v>0.58769643802248561</v>
      </c>
      <c r="O13" s="100">
        <f t="shared" si="3"/>
        <v>0.61563090460358205</v>
      </c>
      <c r="P13" s="100">
        <f t="shared" si="3"/>
        <v>0.69364952695481497</v>
      </c>
      <c r="Q13" s="101">
        <f t="shared" si="3"/>
        <v>0.52374838543587277</v>
      </c>
    </row>
    <row r="14" spans="2:17" ht="20.100000000000001" customHeight="1" x14ac:dyDescent="0.15">
      <c r="B14" s="208" t="s">
        <v>117</v>
      </c>
      <c r="C14" s="209"/>
      <c r="D14" s="99">
        <f>D10/D$7</f>
        <v>5.641714285714286E-2</v>
      </c>
      <c r="E14" s="100">
        <f>E10/E$7</f>
        <v>6.5168727127496162E-2</v>
      </c>
      <c r="F14" s="100">
        <f t="shared" si="3"/>
        <v>6.5674145667889594E-2</v>
      </c>
      <c r="G14" s="100">
        <f t="shared" si="3"/>
        <v>6.9152145656071723E-2</v>
      </c>
      <c r="H14" s="100">
        <f t="shared" si="3"/>
        <v>7.1046163415796434E-2</v>
      </c>
      <c r="I14" s="100">
        <f t="shared" si="3"/>
        <v>8.2080630953852304E-2</v>
      </c>
      <c r="J14" s="100">
        <f t="shared" si="3"/>
        <v>8.6725074683024608E-2</v>
      </c>
      <c r="K14" s="100">
        <f t="shared" si="3"/>
        <v>7.2142584628869438E-2</v>
      </c>
      <c r="L14" s="100">
        <f t="shared" si="3"/>
        <v>5.388965605204691E-2</v>
      </c>
      <c r="M14" s="100">
        <f t="shared" si="3"/>
        <v>5.6437340932642271E-2</v>
      </c>
      <c r="N14" s="100">
        <f t="shared" si="3"/>
        <v>5.6913036302530591E-2</v>
      </c>
      <c r="O14" s="100">
        <f t="shared" si="3"/>
        <v>6.0203403718322127E-2</v>
      </c>
      <c r="P14" s="100">
        <f t="shared" si="3"/>
        <v>6.7999812665642215E-2</v>
      </c>
      <c r="Q14" s="101">
        <f t="shared" si="3"/>
        <v>6.5966624868751336E-2</v>
      </c>
    </row>
    <row r="15" spans="2:17" ht="20.100000000000001" customHeight="1" x14ac:dyDescent="0.15">
      <c r="B15" s="208" t="s">
        <v>118</v>
      </c>
      <c r="C15" s="209"/>
      <c r="D15" s="99">
        <f>IF(D7=0,0,1-D12/D7)</f>
        <v>0.20559428571428573</v>
      </c>
      <c r="E15" s="100">
        <f>IF(E7=0,0,1-E12/E7)</f>
        <v>0.59490763133640556</v>
      </c>
      <c r="F15" s="100">
        <f t="shared" ref="F15:Q15" si="4">IF(F7=0,0,1-F12/F7)</f>
        <v>0.42800796916360939</v>
      </c>
      <c r="G15" s="100">
        <f t="shared" si="4"/>
        <v>0.39109017114914424</v>
      </c>
      <c r="H15" s="100">
        <f t="shared" si="4"/>
        <v>0.34782478190546506</v>
      </c>
      <c r="I15" s="100">
        <f t="shared" si="4"/>
        <v>0.28641933473939163</v>
      </c>
      <c r="J15" s="100">
        <f t="shared" si="4"/>
        <v>0.25543885881492434</v>
      </c>
      <c r="K15" s="100">
        <f t="shared" si="4"/>
        <v>0.27185579088848533</v>
      </c>
      <c r="L15" s="100">
        <f t="shared" si="4"/>
        <v>0.38763223867603092</v>
      </c>
      <c r="M15" s="100">
        <f t="shared" si="4"/>
        <v>0.29839202950229671</v>
      </c>
      <c r="N15" s="100">
        <f t="shared" si="4"/>
        <v>0.28533184462229677</v>
      </c>
      <c r="O15" s="100">
        <f t="shared" si="4"/>
        <v>0.25005664156578367</v>
      </c>
      <c r="P15" s="100">
        <f t="shared" si="4"/>
        <v>0.15464440436710691</v>
      </c>
      <c r="Q15" s="101">
        <f t="shared" si="4"/>
        <v>0.33015689957095606</v>
      </c>
    </row>
    <row r="16" spans="2:17" ht="20.100000000000001" customHeight="1" x14ac:dyDescent="0.15">
      <c r="B16" s="210" t="s">
        <v>119</v>
      </c>
      <c r="C16" s="211"/>
      <c r="D16" s="186">
        <v>35987</v>
      </c>
      <c r="E16" s="98">
        <f>E7-E12</f>
        <v>32273.739000000001</v>
      </c>
      <c r="F16" s="98">
        <f t="shared" ref="F16:P16" si="5">F7-F12</f>
        <v>23040.739000000001</v>
      </c>
      <c r="G16" s="98">
        <f t="shared" si="5"/>
        <v>19994.485000000001</v>
      </c>
      <c r="H16" s="98">
        <f t="shared" si="5"/>
        <v>17308.477666666666</v>
      </c>
      <c r="I16" s="98">
        <f t="shared" si="5"/>
        <v>12884.94039</v>
      </c>
      <c r="J16" s="98">
        <f t="shared" si="5"/>
        <v>10875.846040000004</v>
      </c>
      <c r="K16" s="98">
        <f t="shared" si="5"/>
        <v>13914.501730000004</v>
      </c>
      <c r="L16" s="98">
        <f t="shared" si="5"/>
        <v>26560.438812400011</v>
      </c>
      <c r="M16" s="98">
        <f t="shared" si="5"/>
        <v>19522.770228308</v>
      </c>
      <c r="N16" s="98">
        <f t="shared" si="5"/>
        <v>18512.252126434665</v>
      </c>
      <c r="O16" s="98">
        <f t="shared" si="5"/>
        <v>15336.918741266658</v>
      </c>
      <c r="P16" s="98">
        <f t="shared" si="5"/>
        <v>8397.4468189746694</v>
      </c>
      <c r="Q16" s="191">
        <f t="shared" ref="Q16:Q23" si="6">SUM(E16:P16)</f>
        <v>218622.55555405066</v>
      </c>
    </row>
    <row r="17" spans="2:17" ht="20.100000000000001" customHeight="1" x14ac:dyDescent="0.15">
      <c r="B17" s="212" t="s">
        <v>120</v>
      </c>
      <c r="C17" s="209"/>
      <c r="D17" s="99">
        <f>D16/D7</f>
        <v>0.20563999999999999</v>
      </c>
      <c r="E17" s="100">
        <f>E16/E7</f>
        <v>0.59490763133640556</v>
      </c>
      <c r="F17" s="100">
        <f t="shared" ref="F17:Q17" si="7">F16/F7</f>
        <v>0.42800796916360939</v>
      </c>
      <c r="G17" s="100">
        <f t="shared" si="7"/>
        <v>0.39109017114914424</v>
      </c>
      <c r="H17" s="100">
        <f t="shared" si="7"/>
        <v>0.34782478190546506</v>
      </c>
      <c r="I17" s="100">
        <f t="shared" si="7"/>
        <v>0.28641933473939163</v>
      </c>
      <c r="J17" s="100">
        <f t="shared" si="7"/>
        <v>0.2554388588149244</v>
      </c>
      <c r="K17" s="100">
        <f t="shared" si="7"/>
        <v>0.27185579088848527</v>
      </c>
      <c r="L17" s="100">
        <f t="shared" si="7"/>
        <v>0.38763223867603097</v>
      </c>
      <c r="M17" s="100">
        <f t="shared" si="7"/>
        <v>0.29839202950229671</v>
      </c>
      <c r="N17" s="100">
        <f t="shared" si="7"/>
        <v>0.28533184462229677</v>
      </c>
      <c r="O17" s="100">
        <f t="shared" si="7"/>
        <v>0.25005664156578361</v>
      </c>
      <c r="P17" s="100">
        <f t="shared" si="7"/>
        <v>0.15464440436710689</v>
      </c>
      <c r="Q17" s="101">
        <f t="shared" si="7"/>
        <v>0.33015689957095612</v>
      </c>
    </row>
    <row r="18" spans="2:17" ht="20.100000000000001" customHeight="1" x14ac:dyDescent="0.15">
      <c r="B18" s="208" t="s">
        <v>121</v>
      </c>
      <c r="C18" s="209"/>
      <c r="D18" s="186">
        <v>25402</v>
      </c>
      <c r="E18" s="98">
        <f>三项费用预算表!B5</f>
        <v>6594</v>
      </c>
      <c r="F18" s="98">
        <f>三项费用预算表!C5</f>
        <v>6595</v>
      </c>
      <c r="G18" s="98">
        <f>三项费用预算表!D5</f>
        <v>6595</v>
      </c>
      <c r="H18" s="98">
        <f>三项费用预算表!E5</f>
        <v>6595</v>
      </c>
      <c r="I18" s="98">
        <f>三项费用预算表!F5</f>
        <v>6595</v>
      </c>
      <c r="J18" s="98">
        <f>三项费用预算表!G5</f>
        <v>6595</v>
      </c>
      <c r="K18" s="98">
        <f>三项费用预算表!H5</f>
        <v>6595</v>
      </c>
      <c r="L18" s="98">
        <f>三项费用预算表!I5</f>
        <v>6595</v>
      </c>
      <c r="M18" s="98">
        <f>三项费用预算表!J5</f>
        <v>6595</v>
      </c>
      <c r="N18" s="98">
        <f>三项费用预算表!K5</f>
        <v>6595</v>
      </c>
      <c r="O18" s="98">
        <f>三项费用预算表!L5</f>
        <v>6595</v>
      </c>
      <c r="P18" s="98">
        <f>三项费用预算表!M5</f>
        <v>6595</v>
      </c>
      <c r="Q18" s="191">
        <f t="shared" si="6"/>
        <v>79139</v>
      </c>
    </row>
    <row r="19" spans="2:17" ht="20.100000000000001" customHeight="1" x14ac:dyDescent="0.15">
      <c r="B19" s="208" t="s">
        <v>122</v>
      </c>
      <c r="C19" s="209"/>
      <c r="D19" s="186">
        <v>2432</v>
      </c>
      <c r="E19" s="98">
        <f>三项费用预算表!B6</f>
        <v>2853.5</v>
      </c>
      <c r="F19" s="98">
        <f>三项费用预算表!C6</f>
        <v>2816</v>
      </c>
      <c r="G19" s="98">
        <f>三项费用预算表!D6</f>
        <v>2816</v>
      </c>
      <c r="H19" s="98">
        <f>三项费用预算表!E6</f>
        <v>2816</v>
      </c>
      <c r="I19" s="98">
        <f>三项费用预算表!F6</f>
        <v>2816</v>
      </c>
      <c r="J19" s="98">
        <f>三项费用预算表!G6</f>
        <v>2816</v>
      </c>
      <c r="K19" s="98">
        <f>三项费用预算表!H6</f>
        <v>2816</v>
      </c>
      <c r="L19" s="98">
        <f>三项费用预算表!I6</f>
        <v>2816</v>
      </c>
      <c r="M19" s="98">
        <f>三项费用预算表!J6</f>
        <v>2816</v>
      </c>
      <c r="N19" s="98">
        <f>三项费用预算表!K6</f>
        <v>2816</v>
      </c>
      <c r="O19" s="98">
        <f>三项费用预算表!L6</f>
        <v>2816</v>
      </c>
      <c r="P19" s="98">
        <f>三项费用预算表!M6</f>
        <v>2816</v>
      </c>
      <c r="Q19" s="191">
        <f t="shared" si="6"/>
        <v>33829.5</v>
      </c>
    </row>
    <row r="20" spans="2:17" ht="20.100000000000001" customHeight="1" x14ac:dyDescent="0.15">
      <c r="B20" s="208" t="s">
        <v>123</v>
      </c>
      <c r="C20" s="209"/>
      <c r="D20" s="186">
        <v>2723</v>
      </c>
      <c r="E20" s="98">
        <f>三项费用预算表!B7</f>
        <v>218.49</v>
      </c>
      <c r="F20" s="98">
        <f>三项费用预算表!C7</f>
        <v>218.49</v>
      </c>
      <c r="G20" s="98">
        <f>三项费用预算表!D7</f>
        <v>218.49</v>
      </c>
      <c r="H20" s="98">
        <f>三项费用预算表!E7</f>
        <v>217.49</v>
      </c>
      <c r="I20" s="98">
        <f>三项费用预算表!F7</f>
        <v>217.49</v>
      </c>
      <c r="J20" s="98">
        <f>三项费用预算表!G7</f>
        <v>217.49</v>
      </c>
      <c r="K20" s="98">
        <f>三项费用预算表!H7</f>
        <v>268.98</v>
      </c>
      <c r="L20" s="98">
        <f>三项费用预算表!I7</f>
        <v>280.98</v>
      </c>
      <c r="M20" s="98">
        <f>三项费用预算表!J7</f>
        <v>282.98</v>
      </c>
      <c r="N20" s="98">
        <f>三项费用预算表!K7</f>
        <v>282.98</v>
      </c>
      <c r="O20" s="98">
        <f>三项费用预算表!L7</f>
        <v>271.98</v>
      </c>
      <c r="P20" s="98">
        <f>三项费用预算表!M7</f>
        <v>259.98</v>
      </c>
      <c r="Q20" s="191">
        <f t="shared" si="6"/>
        <v>2955.82</v>
      </c>
    </row>
    <row r="21" spans="2:17" ht="20.100000000000001" customHeight="1" x14ac:dyDescent="0.15">
      <c r="B21" s="210" t="s">
        <v>124</v>
      </c>
      <c r="C21" s="211"/>
      <c r="D21" s="186">
        <f>D16-D18-D19-D20</f>
        <v>5430</v>
      </c>
      <c r="E21" s="98">
        <f>E16-E18-E19-E20</f>
        <v>22607.749</v>
      </c>
      <c r="F21" s="98">
        <f>F16-F18-F19-F20</f>
        <v>13411.249000000002</v>
      </c>
      <c r="G21" s="98">
        <f t="shared" ref="G21:P21" si="8">G16-G18-G19-G20</f>
        <v>10364.995000000001</v>
      </c>
      <c r="H21" s="98">
        <f t="shared" si="8"/>
        <v>7679.987666666666</v>
      </c>
      <c r="I21" s="98">
        <f t="shared" si="8"/>
        <v>3256.45039</v>
      </c>
      <c r="J21" s="98">
        <f t="shared" si="8"/>
        <v>1247.356040000004</v>
      </c>
      <c r="K21" s="98">
        <f t="shared" si="8"/>
        <v>4234.521730000004</v>
      </c>
      <c r="L21" s="98">
        <f t="shared" si="8"/>
        <v>16868.458812400011</v>
      </c>
      <c r="M21" s="98">
        <f t="shared" si="8"/>
        <v>9828.7902283080002</v>
      </c>
      <c r="N21" s="98">
        <f t="shared" si="8"/>
        <v>8818.2721264346656</v>
      </c>
      <c r="O21" s="98">
        <f t="shared" si="8"/>
        <v>5653.9387412666583</v>
      </c>
      <c r="P21" s="98">
        <f t="shared" si="8"/>
        <v>-1273.5331810253306</v>
      </c>
      <c r="Q21" s="191">
        <f t="shared" si="6"/>
        <v>102698.23555405068</v>
      </c>
    </row>
    <row r="22" spans="2:17" ht="20.100000000000001" customHeight="1" x14ac:dyDescent="0.15">
      <c r="B22" s="212" t="s">
        <v>125</v>
      </c>
      <c r="C22" s="209"/>
      <c r="D22" s="186">
        <v>0</v>
      </c>
      <c r="E22" s="98">
        <f>IF(E21&lt;=0,0,E21*0.3)</f>
        <v>6782.3247000000001</v>
      </c>
      <c r="F22" s="98">
        <f t="shared" ref="F22:P22" si="9">IF(F21&lt;=0,0,F21*0.3)</f>
        <v>4023.3747000000003</v>
      </c>
      <c r="G22" s="98">
        <f t="shared" si="9"/>
        <v>3109.4985000000001</v>
      </c>
      <c r="H22" s="98">
        <f t="shared" si="9"/>
        <v>2303.9962999999998</v>
      </c>
      <c r="I22" s="98">
        <f t="shared" si="9"/>
        <v>976.93511699999999</v>
      </c>
      <c r="J22" s="98">
        <f t="shared" si="9"/>
        <v>374.20681200000121</v>
      </c>
      <c r="K22" s="98">
        <f t="shared" si="9"/>
        <v>1270.3565190000011</v>
      </c>
      <c r="L22" s="98">
        <f t="shared" si="9"/>
        <v>5060.537643720003</v>
      </c>
      <c r="M22" s="98">
        <f t="shared" si="9"/>
        <v>2948.6370684924</v>
      </c>
      <c r="N22" s="98">
        <f t="shared" si="9"/>
        <v>2645.4816379303998</v>
      </c>
      <c r="O22" s="98">
        <f t="shared" si="9"/>
        <v>1696.1816223799974</v>
      </c>
      <c r="P22" s="98">
        <f t="shared" si="9"/>
        <v>0</v>
      </c>
      <c r="Q22" s="191">
        <f t="shared" si="6"/>
        <v>31191.530620522804</v>
      </c>
    </row>
    <row r="23" spans="2:17" ht="20.100000000000001" customHeight="1" x14ac:dyDescent="0.15">
      <c r="B23" s="210" t="s">
        <v>126</v>
      </c>
      <c r="C23" s="211"/>
      <c r="D23" s="186">
        <f>D21-D22</f>
        <v>5430</v>
      </c>
      <c r="E23" s="98">
        <f>IF(E21&lt;0,0,E21-E22)</f>
        <v>15825.424299999999</v>
      </c>
      <c r="F23" s="98">
        <f t="shared" ref="F23:P23" si="10">IF(F21&lt;0,0,F21-F22)</f>
        <v>9387.8743000000013</v>
      </c>
      <c r="G23" s="98">
        <f t="shared" si="10"/>
        <v>7255.4965000000011</v>
      </c>
      <c r="H23" s="98">
        <f t="shared" si="10"/>
        <v>5375.9913666666662</v>
      </c>
      <c r="I23" s="98">
        <f t="shared" si="10"/>
        <v>2279.515273</v>
      </c>
      <c r="J23" s="98">
        <f t="shared" si="10"/>
        <v>873.14922800000272</v>
      </c>
      <c r="K23" s="98">
        <f t="shared" si="10"/>
        <v>2964.1652110000032</v>
      </c>
      <c r="L23" s="98">
        <f t="shared" si="10"/>
        <v>11807.921168680008</v>
      </c>
      <c r="M23" s="98">
        <f t="shared" si="10"/>
        <v>6880.1531598155998</v>
      </c>
      <c r="N23" s="98">
        <f t="shared" si="10"/>
        <v>6172.7904885042662</v>
      </c>
      <c r="O23" s="98">
        <f t="shared" si="10"/>
        <v>3957.7571188866609</v>
      </c>
      <c r="P23" s="98">
        <f t="shared" si="10"/>
        <v>0</v>
      </c>
      <c r="Q23" s="191">
        <f t="shared" si="6"/>
        <v>72780.238114553213</v>
      </c>
    </row>
    <row r="24" spans="2:17" ht="20.100000000000001" customHeight="1" thickBot="1" x14ac:dyDescent="0.2">
      <c r="B24" s="213" t="s">
        <v>120</v>
      </c>
      <c r="C24" s="214"/>
      <c r="D24" s="102">
        <f>D23/D7</f>
        <v>3.102857142857143E-2</v>
      </c>
      <c r="E24" s="103">
        <f>E23/E7</f>
        <v>0.29171289032258063</v>
      </c>
      <c r="F24" s="103">
        <f t="shared" ref="F24:Q24" si="11">F23/F7</f>
        <v>0.17439045743742165</v>
      </c>
      <c r="G24" s="103">
        <f t="shared" si="11"/>
        <v>0.14191680195599024</v>
      </c>
      <c r="H24" s="103">
        <f t="shared" si="11"/>
        <v>0.10803393924340485</v>
      </c>
      <c r="I24" s="103">
        <f t="shared" si="11"/>
        <v>5.0671344085352246E-2</v>
      </c>
      <c r="J24" s="103">
        <f t="shared" si="11"/>
        <v>2.0507484342381591E-2</v>
      </c>
      <c r="K24" s="103">
        <f t="shared" si="11"/>
        <v>5.7912636283853444E-2</v>
      </c>
      <c r="L24" s="103">
        <f t="shared" si="11"/>
        <v>0.17232888918193051</v>
      </c>
      <c r="M24" s="103">
        <f t="shared" si="11"/>
        <v>0.10515837868476233</v>
      </c>
      <c r="N24" s="103">
        <f t="shared" si="11"/>
        <v>9.5142054274252361E-2</v>
      </c>
      <c r="O24" s="103">
        <f t="shared" si="11"/>
        <v>6.4528180006522939E-2</v>
      </c>
      <c r="P24" s="103">
        <f t="shared" si="11"/>
        <v>0</v>
      </c>
      <c r="Q24" s="104">
        <f t="shared" si="11"/>
        <v>0.10991042394981101</v>
      </c>
    </row>
  </sheetData>
  <mergeCells count="29">
    <mergeCell ref="B7:C7"/>
    <mergeCell ref="B1:Q1"/>
    <mergeCell ref="B3:C3"/>
    <mergeCell ref="B4:C4"/>
    <mergeCell ref="B5:C5"/>
    <mergeCell ref="B6:C6"/>
    <mergeCell ref="B2:D2"/>
    <mergeCell ref="E2:G2"/>
    <mergeCell ref="I2:J2"/>
    <mergeCell ref="K2:L2"/>
    <mergeCell ref="M2:N2"/>
    <mergeCell ref="O2:P2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B24:C2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zoomScale="90" zoomScaleNormal="90" workbookViewId="0">
      <selection activeCell="R18" sqref="R18"/>
    </sheetView>
  </sheetViews>
  <sheetFormatPr defaultRowHeight="14.25" x14ac:dyDescent="0.15"/>
  <cols>
    <col min="1" max="1" width="3.875" style="105" customWidth="1"/>
    <col min="2" max="2" width="25.625" style="105" customWidth="1"/>
    <col min="3" max="3" width="9.375" style="109" customWidth="1"/>
    <col min="4" max="5" width="9.625" style="109" customWidth="1"/>
    <col min="6" max="6" width="10" style="109" customWidth="1"/>
    <col min="7" max="7" width="9.375" style="105" customWidth="1"/>
    <col min="8" max="9" width="10" style="105" customWidth="1"/>
    <col min="10" max="10" width="10.375" style="105" customWidth="1"/>
    <col min="11" max="11" width="10.125" style="105" customWidth="1"/>
    <col min="12" max="12" width="9.75" style="105" customWidth="1"/>
    <col min="13" max="13" width="9.375" style="105" customWidth="1"/>
    <col min="14" max="14" width="10.75" style="105" customWidth="1"/>
    <col min="15" max="15" width="10.375" style="105" customWidth="1"/>
    <col min="16" max="16" width="13.125" style="105" bestFit="1" customWidth="1"/>
    <col min="17" max="17" width="9.125" style="105" bestFit="1" customWidth="1"/>
    <col min="18" max="16384" width="9" style="105"/>
  </cols>
  <sheetData>
    <row r="1" spans="2:17" ht="38.25" customHeight="1" x14ac:dyDescent="0.15">
      <c r="B1" s="222" t="s">
        <v>211</v>
      </c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</row>
    <row r="2" spans="2:17" x14ac:dyDescent="0.15">
      <c r="B2" s="124" t="s">
        <v>167</v>
      </c>
      <c r="C2" s="119" t="s">
        <v>210</v>
      </c>
      <c r="D2" s="119" t="s">
        <v>168</v>
      </c>
      <c r="E2" s="119" t="s">
        <v>169</v>
      </c>
      <c r="F2" s="119" t="s">
        <v>170</v>
      </c>
      <c r="G2" s="119" t="s">
        <v>171</v>
      </c>
      <c r="H2" s="119" t="s">
        <v>172</v>
      </c>
      <c r="I2" s="119" t="s">
        <v>173</v>
      </c>
      <c r="J2" s="119" t="s">
        <v>174</v>
      </c>
      <c r="K2" s="119" t="s">
        <v>175</v>
      </c>
      <c r="L2" s="119" t="s">
        <v>176</v>
      </c>
      <c r="M2" s="119" t="s">
        <v>177</v>
      </c>
      <c r="N2" s="119" t="s">
        <v>178</v>
      </c>
      <c r="O2" s="119" t="s">
        <v>179</v>
      </c>
      <c r="P2" s="110" t="s">
        <v>166</v>
      </c>
      <c r="Q2" s="110" t="s">
        <v>180</v>
      </c>
    </row>
    <row r="3" spans="2:17" s="107" customFormat="1" x14ac:dyDescent="0.15">
      <c r="B3" s="106" t="s">
        <v>181</v>
      </c>
      <c r="C3" s="115"/>
      <c r="D3" s="115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</row>
    <row r="4" spans="2:17" x14ac:dyDescent="0.15">
      <c r="B4" s="108" t="s">
        <v>182</v>
      </c>
      <c r="C4" s="112">
        <v>480000</v>
      </c>
      <c r="D4" s="112">
        <v>500000</v>
      </c>
      <c r="E4" s="113">
        <v>530000</v>
      </c>
      <c r="F4" s="113">
        <v>500000</v>
      </c>
      <c r="G4" s="113">
        <v>525000</v>
      </c>
      <c r="H4" s="113">
        <v>565000</v>
      </c>
      <c r="I4" s="113">
        <v>589000</v>
      </c>
      <c r="J4" s="113">
        <v>612000</v>
      </c>
      <c r="K4" s="113">
        <v>618000</v>
      </c>
      <c r="L4" s="113">
        <v>552300</v>
      </c>
      <c r="M4" s="113">
        <v>598500</v>
      </c>
      <c r="N4" s="113">
        <v>620000</v>
      </c>
      <c r="O4" s="113">
        <v>618000</v>
      </c>
      <c r="P4" s="113">
        <f>SUM(D4:O4)</f>
        <v>6827800</v>
      </c>
      <c r="Q4" s="125">
        <f>IF(C4=0,0,(P4-C4)/C4)</f>
        <v>13.224583333333333</v>
      </c>
    </row>
    <row r="5" spans="2:17" x14ac:dyDescent="0.15">
      <c r="B5" s="108" t="s">
        <v>183</v>
      </c>
      <c r="C5" s="113">
        <v>1200</v>
      </c>
      <c r="D5" s="112">
        <v>1500</v>
      </c>
      <c r="E5" s="113">
        <v>1600</v>
      </c>
      <c r="F5" s="113">
        <v>1800</v>
      </c>
      <c r="G5" s="113">
        <v>1520</v>
      </c>
      <c r="H5" s="113">
        <v>1800</v>
      </c>
      <c r="I5" s="113">
        <v>1700</v>
      </c>
      <c r="J5" s="113">
        <v>1600</v>
      </c>
      <c r="K5" s="113">
        <v>1500</v>
      </c>
      <c r="L5" s="113">
        <v>1500</v>
      </c>
      <c r="M5" s="113">
        <v>1400</v>
      </c>
      <c r="N5" s="113">
        <v>1500</v>
      </c>
      <c r="O5" s="113">
        <v>1400</v>
      </c>
      <c r="P5" s="113">
        <f t="shared" ref="P5:P35" si="0">SUM(D5:O5)</f>
        <v>18820</v>
      </c>
      <c r="Q5" s="125">
        <f t="shared" ref="Q5:Q22" si="1">IF(C5=0,0,(P5-C5)/C5)</f>
        <v>14.683333333333334</v>
      </c>
    </row>
    <row r="6" spans="2:17" x14ac:dyDescent="0.15">
      <c r="B6" s="108" t="s">
        <v>184</v>
      </c>
      <c r="C6" s="113">
        <v>0</v>
      </c>
      <c r="D6" s="112">
        <v>0</v>
      </c>
      <c r="E6" s="113">
        <v>0</v>
      </c>
      <c r="F6" s="113">
        <v>0</v>
      </c>
      <c r="G6" s="113">
        <v>0</v>
      </c>
      <c r="H6" s="113">
        <v>0</v>
      </c>
      <c r="I6" s="113">
        <v>0</v>
      </c>
      <c r="J6" s="113">
        <v>0</v>
      </c>
      <c r="K6" s="113">
        <v>0</v>
      </c>
      <c r="L6" s="113">
        <v>0</v>
      </c>
      <c r="M6" s="113">
        <v>0</v>
      </c>
      <c r="N6" s="113">
        <v>0</v>
      </c>
      <c r="O6" s="113"/>
      <c r="P6" s="113">
        <f t="shared" si="0"/>
        <v>0</v>
      </c>
      <c r="Q6" s="125">
        <f t="shared" si="1"/>
        <v>0</v>
      </c>
    </row>
    <row r="7" spans="2:17" x14ac:dyDescent="0.15">
      <c r="B7" s="120" t="s">
        <v>185</v>
      </c>
      <c r="C7" s="118">
        <f>SUM(C4:C6)</f>
        <v>481200</v>
      </c>
      <c r="D7" s="118">
        <f t="shared" ref="D7:M7" si="2">SUM(D4:D6)</f>
        <v>501500</v>
      </c>
      <c r="E7" s="118">
        <f t="shared" si="2"/>
        <v>531600</v>
      </c>
      <c r="F7" s="118">
        <f t="shared" si="2"/>
        <v>501800</v>
      </c>
      <c r="G7" s="118">
        <f t="shared" si="2"/>
        <v>526520</v>
      </c>
      <c r="H7" s="118">
        <f t="shared" si="2"/>
        <v>566800</v>
      </c>
      <c r="I7" s="118">
        <f t="shared" si="2"/>
        <v>590700</v>
      </c>
      <c r="J7" s="118">
        <f t="shared" si="2"/>
        <v>613600</v>
      </c>
      <c r="K7" s="118">
        <f t="shared" si="2"/>
        <v>619500</v>
      </c>
      <c r="L7" s="118">
        <f t="shared" si="2"/>
        <v>553800</v>
      </c>
      <c r="M7" s="118">
        <f t="shared" si="2"/>
        <v>599900</v>
      </c>
      <c r="N7" s="118">
        <f t="shared" ref="N7:O7" si="3">SUM(N4:N6)</f>
        <v>621500</v>
      </c>
      <c r="O7" s="118">
        <f t="shared" si="3"/>
        <v>619400</v>
      </c>
      <c r="P7" s="113">
        <f t="shared" si="0"/>
        <v>6846620</v>
      </c>
      <c r="Q7" s="125">
        <f t="shared" si="1"/>
        <v>13.228221113881961</v>
      </c>
    </row>
    <row r="8" spans="2:17" x14ac:dyDescent="0.15">
      <c r="B8" s="121" t="s">
        <v>186</v>
      </c>
      <c r="C8" s="116">
        <v>115000</v>
      </c>
      <c r="D8" s="116">
        <v>122000</v>
      </c>
      <c r="E8" s="116">
        <v>138000</v>
      </c>
      <c r="F8" s="116">
        <v>153000</v>
      </c>
      <c r="G8" s="113">
        <v>150000</v>
      </c>
      <c r="H8" s="113">
        <v>132000</v>
      </c>
      <c r="I8" s="113">
        <v>146000</v>
      </c>
      <c r="J8" s="113">
        <v>145000</v>
      </c>
      <c r="K8" s="113">
        <v>144000</v>
      </c>
      <c r="L8" s="113">
        <v>147000</v>
      </c>
      <c r="M8" s="113">
        <v>148000</v>
      </c>
      <c r="N8" s="113">
        <v>149000</v>
      </c>
      <c r="O8" s="113">
        <v>147000</v>
      </c>
      <c r="P8" s="113">
        <f t="shared" si="0"/>
        <v>1721000</v>
      </c>
      <c r="Q8" s="125">
        <f t="shared" si="1"/>
        <v>13.965217391304348</v>
      </c>
    </row>
    <row r="9" spans="2:17" x14ac:dyDescent="0.15">
      <c r="B9" s="121" t="s">
        <v>187</v>
      </c>
      <c r="C9" s="116">
        <v>27000</v>
      </c>
      <c r="D9" s="116">
        <v>31000</v>
      </c>
      <c r="E9" s="116">
        <v>35000</v>
      </c>
      <c r="F9" s="116">
        <v>37800</v>
      </c>
      <c r="G9" s="113">
        <v>79000</v>
      </c>
      <c r="H9" s="113">
        <v>92000</v>
      </c>
      <c r="I9" s="113">
        <v>91000</v>
      </c>
      <c r="J9" s="113">
        <v>78000</v>
      </c>
      <c r="K9" s="113">
        <v>79000</v>
      </c>
      <c r="L9" s="113">
        <v>82000</v>
      </c>
      <c r="M9" s="113">
        <v>86000</v>
      </c>
      <c r="N9" s="113">
        <v>89000</v>
      </c>
      <c r="O9" s="113">
        <v>95000</v>
      </c>
      <c r="P9" s="113">
        <f t="shared" si="0"/>
        <v>874800</v>
      </c>
      <c r="Q9" s="125">
        <f t="shared" si="1"/>
        <v>31.4</v>
      </c>
    </row>
    <row r="10" spans="2:17" x14ac:dyDescent="0.15">
      <c r="B10" s="121" t="s">
        <v>188</v>
      </c>
      <c r="C10" s="116">
        <v>32800</v>
      </c>
      <c r="D10" s="116">
        <v>43000</v>
      </c>
      <c r="E10" s="116">
        <v>46000</v>
      </c>
      <c r="F10" s="116">
        <v>48000</v>
      </c>
      <c r="G10" s="113">
        <v>49000</v>
      </c>
      <c r="H10" s="113">
        <v>50000</v>
      </c>
      <c r="I10" s="113">
        <v>48000</v>
      </c>
      <c r="J10" s="113">
        <v>47000</v>
      </c>
      <c r="K10" s="113">
        <v>49000</v>
      </c>
      <c r="L10" s="113">
        <v>48000</v>
      </c>
      <c r="M10" s="113">
        <v>51000</v>
      </c>
      <c r="N10" s="113">
        <v>52000</v>
      </c>
      <c r="O10" s="113">
        <v>51000</v>
      </c>
      <c r="P10" s="113">
        <f t="shared" si="0"/>
        <v>582000</v>
      </c>
      <c r="Q10" s="125">
        <f t="shared" si="1"/>
        <v>16.743902439024389</v>
      </c>
    </row>
    <row r="11" spans="2:17" x14ac:dyDescent="0.15">
      <c r="B11" s="121" t="s">
        <v>189</v>
      </c>
      <c r="C11" s="116">
        <v>2600</v>
      </c>
      <c r="D11" s="116">
        <v>2700</v>
      </c>
      <c r="E11" s="116">
        <v>2800</v>
      </c>
      <c r="F11" s="116">
        <v>2900</v>
      </c>
      <c r="G11" s="113">
        <v>2500</v>
      </c>
      <c r="H11" s="113">
        <v>2600</v>
      </c>
      <c r="I11" s="113">
        <v>2700</v>
      </c>
      <c r="J11" s="113">
        <v>2800</v>
      </c>
      <c r="K11" s="113">
        <v>2652</v>
      </c>
      <c r="L11" s="113">
        <v>2400</v>
      </c>
      <c r="M11" s="113">
        <v>2500</v>
      </c>
      <c r="N11" s="113">
        <v>2780</v>
      </c>
      <c r="O11" s="113">
        <v>2900</v>
      </c>
      <c r="P11" s="113">
        <f t="shared" si="0"/>
        <v>32232</v>
      </c>
      <c r="Q11" s="125">
        <f t="shared" si="1"/>
        <v>11.396923076923077</v>
      </c>
    </row>
    <row r="12" spans="2:17" x14ac:dyDescent="0.15">
      <c r="B12" s="120" t="s">
        <v>190</v>
      </c>
      <c r="C12" s="118">
        <f>SUM(C8:C11)</f>
        <v>177400</v>
      </c>
      <c r="D12" s="118">
        <f t="shared" ref="D12:O12" si="4">SUM(D8:D11)</f>
        <v>198700</v>
      </c>
      <c r="E12" s="118">
        <f t="shared" si="4"/>
        <v>221800</v>
      </c>
      <c r="F12" s="118">
        <f t="shared" si="4"/>
        <v>241700</v>
      </c>
      <c r="G12" s="118">
        <f t="shared" si="4"/>
        <v>280500</v>
      </c>
      <c r="H12" s="118">
        <f t="shared" si="4"/>
        <v>276600</v>
      </c>
      <c r="I12" s="118">
        <f t="shared" si="4"/>
        <v>287700</v>
      </c>
      <c r="J12" s="118">
        <f t="shared" si="4"/>
        <v>272800</v>
      </c>
      <c r="K12" s="118">
        <f t="shared" si="4"/>
        <v>274652</v>
      </c>
      <c r="L12" s="118">
        <f t="shared" si="4"/>
        <v>279400</v>
      </c>
      <c r="M12" s="118">
        <f t="shared" si="4"/>
        <v>287500</v>
      </c>
      <c r="N12" s="118">
        <f t="shared" si="4"/>
        <v>292780</v>
      </c>
      <c r="O12" s="118">
        <f t="shared" si="4"/>
        <v>295900</v>
      </c>
      <c r="P12" s="113">
        <f t="shared" si="0"/>
        <v>3210032</v>
      </c>
      <c r="Q12" s="125">
        <f t="shared" si="1"/>
        <v>17.09488162344983</v>
      </c>
    </row>
    <row r="13" spans="2:17" x14ac:dyDescent="0.15">
      <c r="B13" s="122" t="s">
        <v>191</v>
      </c>
      <c r="C13" s="117">
        <f>C7-C12</f>
        <v>303800</v>
      </c>
      <c r="D13" s="117">
        <f t="shared" ref="D13:L13" si="5">D7-D12</f>
        <v>302800</v>
      </c>
      <c r="E13" s="117">
        <f t="shared" si="5"/>
        <v>309800</v>
      </c>
      <c r="F13" s="117">
        <f t="shared" si="5"/>
        <v>260100</v>
      </c>
      <c r="G13" s="117">
        <f t="shared" si="5"/>
        <v>246020</v>
      </c>
      <c r="H13" s="117">
        <f t="shared" si="5"/>
        <v>290200</v>
      </c>
      <c r="I13" s="117">
        <f t="shared" si="5"/>
        <v>303000</v>
      </c>
      <c r="J13" s="117">
        <f t="shared" si="5"/>
        <v>340800</v>
      </c>
      <c r="K13" s="117">
        <f t="shared" si="5"/>
        <v>344848</v>
      </c>
      <c r="L13" s="117">
        <f t="shared" si="5"/>
        <v>274400</v>
      </c>
      <c r="M13" s="117">
        <f t="shared" ref="M13:O13" si="6">M7-M12</f>
        <v>312400</v>
      </c>
      <c r="N13" s="117">
        <f t="shared" si="6"/>
        <v>328720</v>
      </c>
      <c r="O13" s="117">
        <f t="shared" si="6"/>
        <v>323500</v>
      </c>
      <c r="P13" s="113">
        <f t="shared" si="0"/>
        <v>3636588</v>
      </c>
      <c r="Q13" s="125">
        <f t="shared" si="1"/>
        <v>10.970335747202107</v>
      </c>
    </row>
    <row r="14" spans="2:17" x14ac:dyDescent="0.15">
      <c r="B14" s="123" t="s">
        <v>192</v>
      </c>
      <c r="C14" s="116"/>
      <c r="D14" s="116"/>
      <c r="E14" s="116"/>
      <c r="F14" s="116"/>
      <c r="G14" s="113"/>
      <c r="H14" s="113"/>
      <c r="I14" s="113"/>
      <c r="J14" s="113"/>
      <c r="K14" s="113"/>
      <c r="L14" s="113"/>
      <c r="M14" s="113"/>
      <c r="N14" s="113"/>
      <c r="O14" s="113"/>
      <c r="P14" s="113">
        <f t="shared" si="0"/>
        <v>0</v>
      </c>
      <c r="Q14" s="125">
        <f t="shared" si="1"/>
        <v>0</v>
      </c>
    </row>
    <row r="15" spans="2:17" x14ac:dyDescent="0.15">
      <c r="B15" s="121" t="s">
        <v>193</v>
      </c>
      <c r="C15" s="116">
        <v>170000</v>
      </c>
      <c r="D15" s="116">
        <v>165000</v>
      </c>
      <c r="E15" s="116">
        <v>168000</v>
      </c>
      <c r="F15" s="116">
        <v>166000</v>
      </c>
      <c r="G15" s="113">
        <v>168000</v>
      </c>
      <c r="H15" s="113">
        <v>152000</v>
      </c>
      <c r="I15" s="113">
        <v>170000</v>
      </c>
      <c r="J15" s="113">
        <v>173000</v>
      </c>
      <c r="K15" s="113">
        <v>156000</v>
      </c>
      <c r="L15" s="113">
        <v>149000</v>
      </c>
      <c r="M15" s="113">
        <v>153000</v>
      </c>
      <c r="N15" s="113">
        <v>155000</v>
      </c>
      <c r="O15" s="113">
        <v>158000</v>
      </c>
      <c r="P15" s="113">
        <f t="shared" si="0"/>
        <v>1933000</v>
      </c>
      <c r="Q15" s="125">
        <f t="shared" si="1"/>
        <v>10.370588235294118</v>
      </c>
    </row>
    <row r="16" spans="2:17" x14ac:dyDescent="0.15">
      <c r="B16" s="121" t="s">
        <v>194</v>
      </c>
      <c r="C16" s="116">
        <v>18000</v>
      </c>
      <c r="D16" s="116">
        <v>15000</v>
      </c>
      <c r="E16" s="116">
        <v>16000</v>
      </c>
      <c r="F16" s="116">
        <v>12000</v>
      </c>
      <c r="G16" s="113">
        <v>15000</v>
      </c>
      <c r="H16" s="113">
        <v>14000</v>
      </c>
      <c r="I16" s="113">
        <v>16000</v>
      </c>
      <c r="J16" s="113">
        <v>15000</v>
      </c>
      <c r="K16" s="113">
        <v>17000</v>
      </c>
      <c r="L16" s="113">
        <v>16000</v>
      </c>
      <c r="M16" s="113">
        <v>15000</v>
      </c>
      <c r="N16" s="113">
        <v>15000</v>
      </c>
      <c r="O16" s="113">
        <v>18000</v>
      </c>
      <c r="P16" s="113">
        <f t="shared" si="0"/>
        <v>184000</v>
      </c>
      <c r="Q16" s="125">
        <f t="shared" si="1"/>
        <v>9.2222222222222214</v>
      </c>
    </row>
    <row r="17" spans="2:17" x14ac:dyDescent="0.15">
      <c r="B17" s="121" t="s">
        <v>195</v>
      </c>
      <c r="C17" s="116">
        <v>4600</v>
      </c>
      <c r="D17" s="116">
        <v>4000</v>
      </c>
      <c r="E17" s="116">
        <v>4200</v>
      </c>
      <c r="F17" s="116">
        <v>4300</v>
      </c>
      <c r="G17" s="113">
        <v>4400</v>
      </c>
      <c r="H17" s="113">
        <v>4200</v>
      </c>
      <c r="I17" s="113">
        <v>4500</v>
      </c>
      <c r="J17" s="113">
        <v>4600</v>
      </c>
      <c r="K17" s="113">
        <v>4800</v>
      </c>
      <c r="L17" s="113">
        <v>4900</v>
      </c>
      <c r="M17" s="113">
        <v>5000</v>
      </c>
      <c r="N17" s="113">
        <v>5100</v>
      </c>
      <c r="O17" s="113">
        <v>5200</v>
      </c>
      <c r="P17" s="113">
        <f t="shared" si="0"/>
        <v>55200</v>
      </c>
      <c r="Q17" s="125">
        <f t="shared" si="1"/>
        <v>11</v>
      </c>
    </row>
    <row r="18" spans="2:17" x14ac:dyDescent="0.15">
      <c r="B18" s="121" t="s">
        <v>196</v>
      </c>
      <c r="C18" s="116">
        <v>1800</v>
      </c>
      <c r="D18" s="116">
        <v>1600</v>
      </c>
      <c r="E18" s="116">
        <v>1500</v>
      </c>
      <c r="F18" s="116">
        <v>1700</v>
      </c>
      <c r="G18" s="113">
        <v>1800</v>
      </c>
      <c r="H18" s="113">
        <v>1800</v>
      </c>
      <c r="I18" s="113">
        <v>1852</v>
      </c>
      <c r="J18" s="113">
        <v>1780</v>
      </c>
      <c r="K18" s="113">
        <v>1850</v>
      </c>
      <c r="L18" s="113">
        <v>1871</v>
      </c>
      <c r="M18" s="113">
        <v>1700</v>
      </c>
      <c r="N18" s="113">
        <v>1900</v>
      </c>
      <c r="O18" s="113">
        <v>1800</v>
      </c>
      <c r="P18" s="113">
        <f t="shared" si="0"/>
        <v>21153</v>
      </c>
      <c r="Q18" s="125">
        <f t="shared" si="1"/>
        <v>10.751666666666667</v>
      </c>
    </row>
    <row r="19" spans="2:17" x14ac:dyDescent="0.15">
      <c r="B19" s="120" t="s">
        <v>185</v>
      </c>
      <c r="C19" s="118">
        <f>SUM(C15:C18)</f>
        <v>194400</v>
      </c>
      <c r="D19" s="118">
        <f t="shared" ref="D19:O19" si="7">SUM(D15:D18)</f>
        <v>185600</v>
      </c>
      <c r="E19" s="118">
        <f t="shared" si="7"/>
        <v>189700</v>
      </c>
      <c r="F19" s="118">
        <f t="shared" si="7"/>
        <v>184000</v>
      </c>
      <c r="G19" s="118">
        <f t="shared" si="7"/>
        <v>189200</v>
      </c>
      <c r="H19" s="118">
        <f t="shared" si="7"/>
        <v>172000</v>
      </c>
      <c r="I19" s="118">
        <f t="shared" si="7"/>
        <v>192352</v>
      </c>
      <c r="J19" s="118">
        <f t="shared" si="7"/>
        <v>194380</v>
      </c>
      <c r="K19" s="118">
        <f t="shared" si="7"/>
        <v>179650</v>
      </c>
      <c r="L19" s="118">
        <f t="shared" si="7"/>
        <v>171771</v>
      </c>
      <c r="M19" s="118">
        <f t="shared" si="7"/>
        <v>174700</v>
      </c>
      <c r="N19" s="118">
        <f t="shared" si="7"/>
        <v>177000</v>
      </c>
      <c r="O19" s="118">
        <f t="shared" si="7"/>
        <v>183000</v>
      </c>
      <c r="P19" s="113">
        <f t="shared" si="0"/>
        <v>2193353</v>
      </c>
      <c r="Q19" s="125">
        <f t="shared" si="1"/>
        <v>10.282680041152263</v>
      </c>
    </row>
    <row r="20" spans="2:17" x14ac:dyDescent="0.15">
      <c r="B20" s="121" t="s">
        <v>197</v>
      </c>
      <c r="C20" s="116">
        <v>17500</v>
      </c>
      <c r="D20" s="116">
        <v>17200</v>
      </c>
      <c r="E20" s="116">
        <v>17800</v>
      </c>
      <c r="F20" s="116">
        <v>19000</v>
      </c>
      <c r="G20" s="113">
        <v>16000</v>
      </c>
      <c r="H20" s="113">
        <v>17000</v>
      </c>
      <c r="I20" s="113">
        <v>15000</v>
      </c>
      <c r="J20" s="113">
        <v>14000</v>
      </c>
      <c r="K20" s="113">
        <v>16000</v>
      </c>
      <c r="L20" s="113">
        <v>17000</v>
      </c>
      <c r="M20" s="113">
        <v>18000</v>
      </c>
      <c r="N20" s="113">
        <v>16000</v>
      </c>
      <c r="O20" s="113">
        <v>17400</v>
      </c>
      <c r="P20" s="113">
        <f t="shared" si="0"/>
        <v>200400</v>
      </c>
      <c r="Q20" s="125">
        <f>IF(C20=0,0,(P20-C20)/C20)</f>
        <v>10.451428571428572</v>
      </c>
    </row>
    <row r="21" spans="2:17" x14ac:dyDescent="0.15">
      <c r="B21" s="121" t="s">
        <v>198</v>
      </c>
      <c r="C21" s="116">
        <v>2600</v>
      </c>
      <c r="D21" s="116">
        <v>4300</v>
      </c>
      <c r="E21" s="116">
        <v>5200</v>
      </c>
      <c r="F21" s="116">
        <v>4000</v>
      </c>
      <c r="G21" s="113">
        <v>4200</v>
      </c>
      <c r="H21" s="113">
        <v>4100</v>
      </c>
      <c r="I21" s="113">
        <v>4300</v>
      </c>
      <c r="J21" s="113">
        <v>4100</v>
      </c>
      <c r="K21" s="113">
        <v>4200</v>
      </c>
      <c r="L21" s="113">
        <v>4600</v>
      </c>
      <c r="M21" s="113">
        <v>5600</v>
      </c>
      <c r="N21" s="113">
        <v>4700</v>
      </c>
      <c r="O21" s="113">
        <v>4800</v>
      </c>
      <c r="P21" s="113">
        <f t="shared" si="0"/>
        <v>54100</v>
      </c>
      <c r="Q21" s="125">
        <f t="shared" si="1"/>
        <v>19.807692307692307</v>
      </c>
    </row>
    <row r="22" spans="2:17" x14ac:dyDescent="0.15">
      <c r="B22" s="121" t="s">
        <v>199</v>
      </c>
      <c r="C22" s="116">
        <v>560</v>
      </c>
      <c r="D22" s="116">
        <v>780</v>
      </c>
      <c r="E22" s="116">
        <v>850</v>
      </c>
      <c r="F22" s="116">
        <v>930</v>
      </c>
      <c r="G22" s="113">
        <v>989</v>
      </c>
      <c r="H22" s="113">
        <v>875</v>
      </c>
      <c r="I22" s="113">
        <v>852</v>
      </c>
      <c r="J22" s="113">
        <v>741</v>
      </c>
      <c r="K22" s="113">
        <v>862</v>
      </c>
      <c r="L22" s="113">
        <v>422</v>
      </c>
      <c r="M22" s="113">
        <v>632</v>
      </c>
      <c r="N22" s="113">
        <v>533</v>
      </c>
      <c r="O22" s="113">
        <v>202</v>
      </c>
      <c r="P22" s="113">
        <f t="shared" si="0"/>
        <v>8668</v>
      </c>
      <c r="Q22" s="125">
        <f t="shared" si="1"/>
        <v>14.478571428571428</v>
      </c>
    </row>
    <row r="23" spans="2:17" x14ac:dyDescent="0.15">
      <c r="B23" s="120" t="s">
        <v>190</v>
      </c>
      <c r="C23" s="118">
        <f>SUM(C20:C22)</f>
        <v>20660</v>
      </c>
      <c r="D23" s="118">
        <f t="shared" ref="D23:O23" si="8">SUM(D20:D22)</f>
        <v>22280</v>
      </c>
      <c r="E23" s="118">
        <f t="shared" si="8"/>
        <v>23850</v>
      </c>
      <c r="F23" s="118">
        <f t="shared" si="8"/>
        <v>23930</v>
      </c>
      <c r="G23" s="118">
        <f t="shared" si="8"/>
        <v>21189</v>
      </c>
      <c r="H23" s="118">
        <f t="shared" si="8"/>
        <v>21975</v>
      </c>
      <c r="I23" s="118">
        <f t="shared" si="8"/>
        <v>20152</v>
      </c>
      <c r="J23" s="118">
        <f t="shared" si="8"/>
        <v>18841</v>
      </c>
      <c r="K23" s="118">
        <f t="shared" si="8"/>
        <v>21062</v>
      </c>
      <c r="L23" s="118">
        <f t="shared" si="8"/>
        <v>22022</v>
      </c>
      <c r="M23" s="118">
        <f t="shared" si="8"/>
        <v>24232</v>
      </c>
      <c r="N23" s="118">
        <f t="shared" si="8"/>
        <v>21233</v>
      </c>
      <c r="O23" s="118">
        <f t="shared" si="8"/>
        <v>22402</v>
      </c>
      <c r="P23" s="113">
        <f t="shared" si="0"/>
        <v>263168</v>
      </c>
      <c r="Q23" s="125">
        <f t="shared" ref="Q23:Q35" si="9">IF(C23=0,0,(P23-C23)/C23)</f>
        <v>11.738044530493708</v>
      </c>
    </row>
    <row r="24" spans="2:17" x14ac:dyDescent="0.15">
      <c r="B24" s="122" t="s">
        <v>200</v>
      </c>
      <c r="C24" s="117">
        <f>C19-C23</f>
        <v>173740</v>
      </c>
      <c r="D24" s="117">
        <f t="shared" ref="D24:O24" si="10">D19-D23</f>
        <v>163320</v>
      </c>
      <c r="E24" s="117">
        <f t="shared" si="10"/>
        <v>165850</v>
      </c>
      <c r="F24" s="117">
        <f t="shared" si="10"/>
        <v>160070</v>
      </c>
      <c r="G24" s="117">
        <f t="shared" si="10"/>
        <v>168011</v>
      </c>
      <c r="H24" s="117">
        <f t="shared" si="10"/>
        <v>150025</v>
      </c>
      <c r="I24" s="117">
        <f t="shared" si="10"/>
        <v>172200</v>
      </c>
      <c r="J24" s="117">
        <f t="shared" si="10"/>
        <v>175539</v>
      </c>
      <c r="K24" s="117">
        <f t="shared" si="10"/>
        <v>158588</v>
      </c>
      <c r="L24" s="117">
        <f t="shared" si="10"/>
        <v>149749</v>
      </c>
      <c r="M24" s="117">
        <f t="shared" si="10"/>
        <v>150468</v>
      </c>
      <c r="N24" s="117">
        <f t="shared" si="10"/>
        <v>155767</v>
      </c>
      <c r="O24" s="117">
        <f t="shared" si="10"/>
        <v>160598</v>
      </c>
      <c r="P24" s="113">
        <f t="shared" si="0"/>
        <v>1930185</v>
      </c>
      <c r="Q24" s="125">
        <f t="shared" si="9"/>
        <v>10.109617819730632</v>
      </c>
    </row>
    <row r="25" spans="2:17" x14ac:dyDescent="0.15">
      <c r="B25" s="123" t="s">
        <v>201</v>
      </c>
      <c r="C25" s="116"/>
      <c r="D25" s="116"/>
      <c r="E25" s="116"/>
      <c r="F25" s="116"/>
      <c r="G25" s="113"/>
      <c r="H25" s="113"/>
      <c r="I25" s="113"/>
      <c r="J25" s="113"/>
      <c r="K25" s="113"/>
      <c r="L25" s="113"/>
      <c r="M25" s="113"/>
      <c r="N25" s="113"/>
      <c r="O25" s="113"/>
      <c r="P25" s="113">
        <f t="shared" si="0"/>
        <v>0</v>
      </c>
      <c r="Q25" s="125"/>
    </row>
    <row r="26" spans="2:17" x14ac:dyDescent="0.15">
      <c r="B26" s="121" t="s">
        <v>202</v>
      </c>
      <c r="C26" s="116">
        <v>0</v>
      </c>
      <c r="D26" s="116">
        <v>0</v>
      </c>
      <c r="E26" s="116">
        <v>0</v>
      </c>
      <c r="F26" s="116">
        <v>0</v>
      </c>
      <c r="G26" s="116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116">
        <v>0</v>
      </c>
      <c r="N26" s="116">
        <v>0</v>
      </c>
      <c r="O26" s="116">
        <v>0</v>
      </c>
      <c r="P26" s="113">
        <f t="shared" si="0"/>
        <v>0</v>
      </c>
      <c r="Q26" s="125"/>
    </row>
    <row r="27" spans="2:17" x14ac:dyDescent="0.15">
      <c r="B27" s="121" t="s">
        <v>203</v>
      </c>
      <c r="C27" s="116">
        <v>300000</v>
      </c>
      <c r="D27" s="116">
        <v>230000</v>
      </c>
      <c r="E27" s="116">
        <v>100000</v>
      </c>
      <c r="F27" s="116">
        <v>120000</v>
      </c>
      <c r="G27" s="113">
        <v>15000</v>
      </c>
      <c r="H27" s="113">
        <v>18000</v>
      </c>
      <c r="I27" s="113">
        <v>15800</v>
      </c>
      <c r="J27" s="113">
        <v>19000</v>
      </c>
      <c r="K27" s="113">
        <v>20000</v>
      </c>
      <c r="L27" s="113">
        <v>19000</v>
      </c>
      <c r="M27" s="113">
        <v>25000</v>
      </c>
      <c r="N27" s="113">
        <v>28000</v>
      </c>
      <c r="O27" s="113">
        <v>35000</v>
      </c>
      <c r="P27" s="113">
        <f t="shared" si="0"/>
        <v>644800</v>
      </c>
      <c r="Q27" s="125">
        <f t="shared" si="9"/>
        <v>1.1493333333333333</v>
      </c>
    </row>
    <row r="28" spans="2:17" x14ac:dyDescent="0.15">
      <c r="B28" s="121" t="s">
        <v>204</v>
      </c>
      <c r="C28" s="116">
        <v>0</v>
      </c>
      <c r="D28" s="116">
        <v>0</v>
      </c>
      <c r="E28" s="116">
        <v>0</v>
      </c>
      <c r="F28" s="116">
        <v>0</v>
      </c>
      <c r="G28" s="116">
        <v>0</v>
      </c>
      <c r="H28" s="116">
        <v>0</v>
      </c>
      <c r="I28" s="116">
        <v>0</v>
      </c>
      <c r="J28" s="116">
        <v>0</v>
      </c>
      <c r="K28" s="116">
        <v>0</v>
      </c>
      <c r="L28" s="116">
        <v>0</v>
      </c>
      <c r="M28" s="116">
        <v>0</v>
      </c>
      <c r="N28" s="116">
        <v>0</v>
      </c>
      <c r="O28" s="116">
        <v>0</v>
      </c>
      <c r="P28" s="113">
        <f t="shared" si="0"/>
        <v>0</v>
      </c>
      <c r="Q28" s="125">
        <f t="shared" si="9"/>
        <v>0</v>
      </c>
    </row>
    <row r="29" spans="2:17" x14ac:dyDescent="0.15">
      <c r="B29" s="120" t="s">
        <v>185</v>
      </c>
      <c r="C29" s="118">
        <f>SUM(C26:C28)</f>
        <v>300000</v>
      </c>
      <c r="D29" s="118">
        <f t="shared" ref="D29:O29" si="11">SUM(D26:D28)</f>
        <v>230000</v>
      </c>
      <c r="E29" s="118">
        <f t="shared" si="11"/>
        <v>100000</v>
      </c>
      <c r="F29" s="118">
        <f t="shared" si="11"/>
        <v>120000</v>
      </c>
      <c r="G29" s="118">
        <f t="shared" si="11"/>
        <v>15000</v>
      </c>
      <c r="H29" s="118">
        <f t="shared" si="11"/>
        <v>18000</v>
      </c>
      <c r="I29" s="118">
        <f t="shared" si="11"/>
        <v>15800</v>
      </c>
      <c r="J29" s="118">
        <f t="shared" si="11"/>
        <v>19000</v>
      </c>
      <c r="K29" s="118">
        <f t="shared" si="11"/>
        <v>20000</v>
      </c>
      <c r="L29" s="118">
        <f t="shared" si="11"/>
        <v>19000</v>
      </c>
      <c r="M29" s="118">
        <f t="shared" si="11"/>
        <v>25000</v>
      </c>
      <c r="N29" s="118">
        <f t="shared" si="11"/>
        <v>28000</v>
      </c>
      <c r="O29" s="118">
        <f t="shared" si="11"/>
        <v>35000</v>
      </c>
      <c r="P29" s="113">
        <f t="shared" si="0"/>
        <v>644800</v>
      </c>
      <c r="Q29" s="125">
        <f>IF(C29=0,0,(P29-C29)/C29)</f>
        <v>1.1493333333333333</v>
      </c>
    </row>
    <row r="30" spans="2:17" x14ac:dyDescent="0.15">
      <c r="B30" s="121" t="s">
        <v>205</v>
      </c>
      <c r="C30" s="116">
        <v>58000</v>
      </c>
      <c r="D30" s="116">
        <v>120000</v>
      </c>
      <c r="E30" s="116">
        <v>146000</v>
      </c>
      <c r="F30" s="116">
        <v>20000</v>
      </c>
      <c r="G30" s="113">
        <v>28000</v>
      </c>
      <c r="H30" s="113">
        <v>29000</v>
      </c>
      <c r="I30" s="113">
        <v>27000</v>
      </c>
      <c r="J30" s="113">
        <v>32000</v>
      </c>
      <c r="K30" s="113">
        <v>35000</v>
      </c>
      <c r="L30" s="113">
        <v>36000</v>
      </c>
      <c r="M30" s="113">
        <v>38000</v>
      </c>
      <c r="N30" s="113">
        <v>38000</v>
      </c>
      <c r="O30" s="113">
        <v>39000</v>
      </c>
      <c r="P30" s="113">
        <f t="shared" si="0"/>
        <v>588000</v>
      </c>
      <c r="Q30" s="125">
        <f t="shared" si="9"/>
        <v>9.137931034482758</v>
      </c>
    </row>
    <row r="31" spans="2:17" x14ac:dyDescent="0.15">
      <c r="B31" s="121" t="s">
        <v>206</v>
      </c>
      <c r="C31" s="116">
        <v>5000</v>
      </c>
      <c r="D31" s="116">
        <v>12000</v>
      </c>
      <c r="E31" s="116">
        <v>13200</v>
      </c>
      <c r="F31" s="116">
        <v>20500</v>
      </c>
      <c r="G31" s="113">
        <v>24000</v>
      </c>
      <c r="H31" s="113">
        <v>8000</v>
      </c>
      <c r="I31" s="113">
        <v>7500</v>
      </c>
      <c r="J31" s="113">
        <v>6000</v>
      </c>
      <c r="K31" s="113">
        <v>45000</v>
      </c>
      <c r="L31" s="113">
        <v>8220</v>
      </c>
      <c r="M31" s="113">
        <v>52502</v>
      </c>
      <c r="N31" s="113">
        <v>25620</v>
      </c>
      <c r="O31" s="113">
        <v>82532</v>
      </c>
      <c r="P31" s="113">
        <f t="shared" si="0"/>
        <v>305074</v>
      </c>
      <c r="Q31" s="125">
        <f t="shared" si="9"/>
        <v>60.014800000000001</v>
      </c>
    </row>
    <row r="32" spans="2:17" x14ac:dyDescent="0.15">
      <c r="B32" s="121" t="s">
        <v>207</v>
      </c>
      <c r="C32" s="116">
        <v>0</v>
      </c>
      <c r="D32" s="116">
        <v>0</v>
      </c>
      <c r="E32" s="116">
        <v>0</v>
      </c>
      <c r="F32" s="116">
        <v>0</v>
      </c>
      <c r="G32" s="116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116">
        <v>0</v>
      </c>
      <c r="N32" s="116">
        <v>0</v>
      </c>
      <c r="O32" s="116">
        <v>0</v>
      </c>
      <c r="P32" s="113">
        <f t="shared" si="0"/>
        <v>0</v>
      </c>
      <c r="Q32" s="125"/>
    </row>
    <row r="33" spans="2:17" x14ac:dyDescent="0.15">
      <c r="B33" s="120" t="s">
        <v>190</v>
      </c>
      <c r="C33" s="118">
        <f>SUM(C30:C32)</f>
        <v>63000</v>
      </c>
      <c r="D33" s="118">
        <f t="shared" ref="D33:O33" si="12">SUM(D30:D32)</f>
        <v>132000</v>
      </c>
      <c r="E33" s="118">
        <f t="shared" si="12"/>
        <v>159200</v>
      </c>
      <c r="F33" s="118">
        <f t="shared" si="12"/>
        <v>40500</v>
      </c>
      <c r="G33" s="118">
        <f t="shared" si="12"/>
        <v>52000</v>
      </c>
      <c r="H33" s="118">
        <f t="shared" si="12"/>
        <v>37000</v>
      </c>
      <c r="I33" s="118">
        <f t="shared" si="12"/>
        <v>34500</v>
      </c>
      <c r="J33" s="118">
        <f t="shared" si="12"/>
        <v>38000</v>
      </c>
      <c r="K33" s="118">
        <f t="shared" si="12"/>
        <v>80000</v>
      </c>
      <c r="L33" s="118">
        <f t="shared" si="12"/>
        <v>44220</v>
      </c>
      <c r="M33" s="118">
        <f t="shared" si="12"/>
        <v>90502</v>
      </c>
      <c r="N33" s="118">
        <f t="shared" si="12"/>
        <v>63620</v>
      </c>
      <c r="O33" s="118">
        <f t="shared" si="12"/>
        <v>121532</v>
      </c>
      <c r="P33" s="113">
        <f t="shared" si="0"/>
        <v>893074</v>
      </c>
      <c r="Q33" s="125">
        <f t="shared" si="9"/>
        <v>13.175777777777778</v>
      </c>
    </row>
    <row r="34" spans="2:17" x14ac:dyDescent="0.15">
      <c r="B34" s="122" t="s">
        <v>208</v>
      </c>
      <c r="C34" s="117">
        <f>C29-C33</f>
        <v>237000</v>
      </c>
      <c r="D34" s="117">
        <f t="shared" ref="D34:O34" si="13">D29-D33</f>
        <v>98000</v>
      </c>
      <c r="E34" s="117">
        <f t="shared" si="13"/>
        <v>-59200</v>
      </c>
      <c r="F34" s="117">
        <f t="shared" si="13"/>
        <v>79500</v>
      </c>
      <c r="G34" s="117">
        <f t="shared" si="13"/>
        <v>-37000</v>
      </c>
      <c r="H34" s="117">
        <f t="shared" si="13"/>
        <v>-19000</v>
      </c>
      <c r="I34" s="117">
        <f t="shared" si="13"/>
        <v>-18700</v>
      </c>
      <c r="J34" s="117">
        <f t="shared" si="13"/>
        <v>-19000</v>
      </c>
      <c r="K34" s="117">
        <f t="shared" si="13"/>
        <v>-60000</v>
      </c>
      <c r="L34" s="117">
        <f t="shared" si="13"/>
        <v>-25220</v>
      </c>
      <c r="M34" s="117">
        <f t="shared" si="13"/>
        <v>-65502</v>
      </c>
      <c r="N34" s="117">
        <f t="shared" si="13"/>
        <v>-35620</v>
      </c>
      <c r="O34" s="117">
        <f t="shared" si="13"/>
        <v>-86532</v>
      </c>
      <c r="P34" s="113">
        <f t="shared" si="0"/>
        <v>-248274</v>
      </c>
      <c r="Q34" s="125">
        <f t="shared" si="9"/>
        <v>-2.0475696202531646</v>
      </c>
    </row>
    <row r="35" spans="2:17" s="107" customFormat="1" x14ac:dyDescent="0.15">
      <c r="B35" s="123" t="s">
        <v>209</v>
      </c>
      <c r="C35" s="114">
        <f>C13+C24+C34</f>
        <v>714540</v>
      </c>
      <c r="D35" s="114">
        <f t="shared" ref="D35:M35" si="14">D13+D24+D34</f>
        <v>564120</v>
      </c>
      <c r="E35" s="114">
        <f t="shared" si="14"/>
        <v>416450</v>
      </c>
      <c r="F35" s="114">
        <f t="shared" si="14"/>
        <v>499670</v>
      </c>
      <c r="G35" s="114">
        <f t="shared" si="14"/>
        <v>377031</v>
      </c>
      <c r="H35" s="114">
        <f t="shared" si="14"/>
        <v>421225</v>
      </c>
      <c r="I35" s="114">
        <f t="shared" si="14"/>
        <v>456500</v>
      </c>
      <c r="J35" s="114">
        <f t="shared" si="14"/>
        <v>497339</v>
      </c>
      <c r="K35" s="114">
        <f t="shared" si="14"/>
        <v>443436</v>
      </c>
      <c r="L35" s="114">
        <f t="shared" si="14"/>
        <v>398929</v>
      </c>
      <c r="M35" s="114">
        <f t="shared" si="14"/>
        <v>397366</v>
      </c>
      <c r="N35" s="114">
        <f t="shared" ref="N35:O35" si="15">N13+N24+N34</f>
        <v>448867</v>
      </c>
      <c r="O35" s="114">
        <f t="shared" si="15"/>
        <v>397566</v>
      </c>
      <c r="P35" s="113">
        <f t="shared" si="0"/>
        <v>5318499</v>
      </c>
      <c r="Q35" s="125">
        <f t="shared" si="9"/>
        <v>6.4432488034259805</v>
      </c>
    </row>
  </sheetData>
  <mergeCells count="1">
    <mergeCell ref="B1:Q1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zoomScale="90" zoomScaleNormal="90" workbookViewId="0">
      <selection activeCell="C8" sqref="C8"/>
    </sheetView>
  </sheetViews>
  <sheetFormatPr defaultRowHeight="13.5" x14ac:dyDescent="0.15"/>
  <cols>
    <col min="1" max="1" width="21.25" customWidth="1"/>
    <col min="2" max="2" width="9.625" customWidth="1"/>
    <col min="15" max="15" width="11.625" customWidth="1"/>
  </cols>
  <sheetData>
    <row r="1" spans="1:15" ht="35.25" x14ac:dyDescent="0.15">
      <c r="A1" s="223" t="s">
        <v>239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</row>
    <row r="2" spans="1:15" ht="33" customHeight="1" x14ac:dyDescent="0.15">
      <c r="A2" s="127" t="s">
        <v>214</v>
      </c>
      <c r="B2" s="126" t="s">
        <v>165</v>
      </c>
      <c r="C2" s="128" t="s">
        <v>215</v>
      </c>
      <c r="D2" s="128" t="s">
        <v>212</v>
      </c>
      <c r="E2" s="128" t="s">
        <v>170</v>
      </c>
      <c r="F2" s="128" t="s">
        <v>171</v>
      </c>
      <c r="G2" s="128" t="s">
        <v>172</v>
      </c>
      <c r="H2" s="128" t="s">
        <v>173</v>
      </c>
      <c r="I2" s="128" t="s">
        <v>174</v>
      </c>
      <c r="J2" s="128" t="s">
        <v>175</v>
      </c>
      <c r="K2" s="128" t="s">
        <v>176</v>
      </c>
      <c r="L2" s="128" t="s">
        <v>177</v>
      </c>
      <c r="M2" s="128" t="s">
        <v>178</v>
      </c>
      <c r="N2" s="128" t="s">
        <v>179</v>
      </c>
      <c r="O2" s="126" t="s">
        <v>166</v>
      </c>
    </row>
    <row r="3" spans="1:15" ht="15.95" customHeight="1" x14ac:dyDescent="0.15">
      <c r="A3" s="129" t="s">
        <v>216</v>
      </c>
      <c r="B3" s="130">
        <v>160000</v>
      </c>
      <c r="C3" s="131">
        <v>6696</v>
      </c>
      <c r="D3" s="131">
        <v>6696</v>
      </c>
      <c r="E3" s="131">
        <v>7030.8</v>
      </c>
      <c r="F3" s="131">
        <v>7700.4000000000005</v>
      </c>
      <c r="G3" s="131">
        <v>7828.32</v>
      </c>
      <c r="H3" s="131">
        <v>7994.880000000001</v>
      </c>
      <c r="I3" s="131">
        <v>9990.4000000000015</v>
      </c>
      <c r="J3" s="131">
        <v>11982.720000000001</v>
      </c>
      <c r="K3" s="131">
        <v>13808.48</v>
      </c>
      <c r="L3" s="131">
        <v>13808.48</v>
      </c>
      <c r="M3" s="131">
        <v>14276.64</v>
      </c>
      <c r="N3" s="131">
        <v>14276.64</v>
      </c>
      <c r="O3" s="132">
        <f>SUM(B3:N3)</f>
        <v>282089.76</v>
      </c>
    </row>
    <row r="4" spans="1:15" ht="15.95" customHeight="1" x14ac:dyDescent="0.15">
      <c r="A4" s="129" t="s">
        <v>217</v>
      </c>
      <c r="B4" s="130">
        <v>3280</v>
      </c>
      <c r="C4" s="131">
        <v>3373.137647999989</v>
      </c>
      <c r="D4" s="131">
        <v>422.85786666667263</v>
      </c>
      <c r="E4" s="131">
        <v>-1390.1881533333772</v>
      </c>
      <c r="F4" s="131">
        <v>-10139.297308000001</v>
      </c>
      <c r="G4" s="131">
        <v>-24613.73326436834</v>
      </c>
      <c r="H4" s="131">
        <v>-31631.490186540013</v>
      </c>
      <c r="I4" s="131">
        <v>-35429.475530825039</v>
      </c>
      <c r="J4" s="131">
        <v>-36529.256672568357</v>
      </c>
      <c r="K4" s="131">
        <v>-31271.263045840042</v>
      </c>
      <c r="L4" s="131">
        <v>-27826.832762239985</v>
      </c>
      <c r="M4" s="131">
        <v>-27612.830025306655</v>
      </c>
      <c r="N4" s="131">
        <v>-24789.415291040015</v>
      </c>
      <c r="O4" s="132">
        <f t="shared" ref="O4:O28" si="0">SUM(B4:N4)</f>
        <v>-244157.78672539518</v>
      </c>
    </row>
    <row r="5" spans="1:15" ht="15.95" customHeight="1" x14ac:dyDescent="0.15">
      <c r="A5" s="133" t="s">
        <v>218</v>
      </c>
      <c r="B5" s="130">
        <v>48000</v>
      </c>
      <c r="C5" s="131">
        <v>50220</v>
      </c>
      <c r="D5" s="131">
        <v>50220</v>
      </c>
      <c r="E5" s="131">
        <v>52731</v>
      </c>
      <c r="F5" s="131">
        <v>57753</v>
      </c>
      <c r="G5" s="131">
        <v>58712.4</v>
      </c>
      <c r="H5" s="131">
        <v>59961.599999999999</v>
      </c>
      <c r="I5" s="131">
        <v>74928</v>
      </c>
      <c r="J5" s="131">
        <v>89870.399999999994</v>
      </c>
      <c r="K5" s="131">
        <v>103563.59999999999</v>
      </c>
      <c r="L5" s="131">
        <v>103563.59999999999</v>
      </c>
      <c r="M5" s="131">
        <v>107074.8</v>
      </c>
      <c r="N5" s="131">
        <v>107074.8</v>
      </c>
      <c r="O5" s="132">
        <f t="shared" si="0"/>
        <v>963673.20000000007</v>
      </c>
    </row>
    <row r="6" spans="1:15" ht="15.95" customHeight="1" x14ac:dyDescent="0.15">
      <c r="A6" s="129" t="s">
        <v>219</v>
      </c>
      <c r="B6" s="130">
        <v>50000</v>
      </c>
      <c r="C6" s="131">
        <v>49918.243325333337</v>
      </c>
      <c r="D6" s="131">
        <v>53734.601925333329</v>
      </c>
      <c r="E6" s="131">
        <v>56541.129964999993</v>
      </c>
      <c r="F6" s="131">
        <v>57774.935830333336</v>
      </c>
      <c r="G6" s="131">
        <v>64890.830024499999</v>
      </c>
      <c r="H6" s="131">
        <v>77819.763152000014</v>
      </c>
      <c r="I6" s="131">
        <v>91001.199189500025</v>
      </c>
      <c r="J6" s="131">
        <v>97823.296911500016</v>
      </c>
      <c r="K6" s="131">
        <v>98784.635768000007</v>
      </c>
      <c r="L6" s="131">
        <v>98784.675351333339</v>
      </c>
      <c r="M6" s="131">
        <v>98784.675351333339</v>
      </c>
      <c r="N6" s="131">
        <v>98784.675351333339</v>
      </c>
      <c r="O6" s="132">
        <f t="shared" si="0"/>
        <v>994642.66214550007</v>
      </c>
    </row>
    <row r="7" spans="1:15" ht="15.95" customHeight="1" x14ac:dyDescent="0.15">
      <c r="A7" s="129" t="s">
        <v>220</v>
      </c>
      <c r="B7" s="130">
        <v>500</v>
      </c>
      <c r="C7" s="131">
        <v>669.6</v>
      </c>
      <c r="D7" s="131">
        <v>669.6</v>
      </c>
      <c r="E7" s="131">
        <v>703.08</v>
      </c>
      <c r="F7" s="131">
        <v>770.04</v>
      </c>
      <c r="G7" s="131">
        <v>782.83199999999999</v>
      </c>
      <c r="H7" s="131">
        <v>799.48800000000006</v>
      </c>
      <c r="I7" s="131">
        <v>999.04000000000008</v>
      </c>
      <c r="J7" s="131">
        <v>1198.2719999999999</v>
      </c>
      <c r="K7" s="131">
        <v>1380.848</v>
      </c>
      <c r="L7" s="131">
        <v>1380.848</v>
      </c>
      <c r="M7" s="131">
        <v>1427.664</v>
      </c>
      <c r="N7" s="131">
        <v>1427.664</v>
      </c>
      <c r="O7" s="132">
        <f t="shared" si="0"/>
        <v>12708.976000000001</v>
      </c>
    </row>
    <row r="8" spans="1:15" ht="15.95" customHeight="1" x14ac:dyDescent="0.15">
      <c r="A8" s="129" t="s">
        <v>221</v>
      </c>
      <c r="B8" s="130">
        <f>SUM(B3:B7)</f>
        <v>261780</v>
      </c>
      <c r="C8" s="131">
        <f t="shared" ref="C8:N8" si="1">SUM(C3:C7)</f>
        <v>110876.98097333332</v>
      </c>
      <c r="D8" s="131">
        <f t="shared" si="1"/>
        <v>111743.05979200001</v>
      </c>
      <c r="E8" s="131">
        <f t="shared" si="1"/>
        <v>115615.82181166661</v>
      </c>
      <c r="F8" s="131">
        <f t="shared" si="1"/>
        <v>113859.07852233334</v>
      </c>
      <c r="G8" s="131">
        <f t="shared" si="1"/>
        <v>107600.64876013165</v>
      </c>
      <c r="H8" s="131">
        <f t="shared" si="1"/>
        <v>114944.24096546001</v>
      </c>
      <c r="I8" s="131">
        <f t="shared" si="1"/>
        <v>141489.16365867501</v>
      </c>
      <c r="J8" s="131">
        <f t="shared" si="1"/>
        <v>164345.43223893165</v>
      </c>
      <c r="K8" s="131">
        <f t="shared" si="1"/>
        <v>186266.30072215997</v>
      </c>
      <c r="L8" s="131">
        <f t="shared" si="1"/>
        <v>189710.77058909333</v>
      </c>
      <c r="M8" s="131">
        <f t="shared" si="1"/>
        <v>193950.94932602666</v>
      </c>
      <c r="N8" s="131">
        <f t="shared" si="1"/>
        <v>196774.3640602933</v>
      </c>
      <c r="O8" s="132">
        <f t="shared" si="0"/>
        <v>2008956.8114201049</v>
      </c>
    </row>
    <row r="9" spans="1:15" ht="15.95" customHeight="1" x14ac:dyDescent="0.2">
      <c r="A9" s="134"/>
      <c r="B9" s="130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2"/>
    </row>
    <row r="10" spans="1:15" ht="15.95" customHeight="1" x14ac:dyDescent="0.15">
      <c r="A10" s="129" t="s">
        <v>222</v>
      </c>
      <c r="B10" s="130">
        <v>96000</v>
      </c>
      <c r="C10" s="131">
        <v>96000</v>
      </c>
      <c r="D10" s="131">
        <v>96000</v>
      </c>
      <c r="E10" s="131">
        <v>96100</v>
      </c>
      <c r="F10" s="131">
        <v>104380</v>
      </c>
      <c r="G10" s="131">
        <v>115380</v>
      </c>
      <c r="H10" s="131">
        <v>129600</v>
      </c>
      <c r="I10" s="131">
        <v>129600</v>
      </c>
      <c r="J10" s="131">
        <v>129600</v>
      </c>
      <c r="K10" s="131">
        <v>129700</v>
      </c>
      <c r="L10" s="131">
        <v>129700</v>
      </c>
      <c r="M10" s="131">
        <v>129700</v>
      </c>
      <c r="N10" s="131">
        <v>129700</v>
      </c>
      <c r="O10" s="132">
        <f t="shared" si="0"/>
        <v>1511460</v>
      </c>
    </row>
    <row r="11" spans="1:15" ht="15.95" customHeight="1" x14ac:dyDescent="0.15">
      <c r="A11" s="135" t="s">
        <v>223</v>
      </c>
      <c r="B11" s="130">
        <v>-12000</v>
      </c>
      <c r="C11" s="131">
        <v>-12386.354166666666</v>
      </c>
      <c r="D11" s="131">
        <v>-12772.708333333332</v>
      </c>
      <c r="E11" s="131">
        <v>-13159.062499999998</v>
      </c>
      <c r="F11" s="131">
        <v>-13594.974999999999</v>
      </c>
      <c r="G11" s="131">
        <v>-14063.662499999999</v>
      </c>
      <c r="H11" s="131">
        <v>-14686.933333333332</v>
      </c>
      <c r="I11" s="131">
        <v>-15366.491666666665</v>
      </c>
      <c r="J11" s="131">
        <v>-16046.049999999997</v>
      </c>
      <c r="K11" s="131">
        <v>-16725.60833333333</v>
      </c>
      <c r="L11" s="131">
        <v>-17405.562499999996</v>
      </c>
      <c r="M11" s="131">
        <v>-18085.516666666663</v>
      </c>
      <c r="N11" s="131">
        <v>-18765.470833333329</v>
      </c>
      <c r="O11" s="132">
        <f t="shared" si="0"/>
        <v>-195058.39583333331</v>
      </c>
    </row>
    <row r="12" spans="1:15" ht="15.95" customHeight="1" x14ac:dyDescent="0.15">
      <c r="A12" s="129" t="s">
        <v>224</v>
      </c>
      <c r="B12" s="130">
        <f>B10+B11</f>
        <v>84000</v>
      </c>
      <c r="C12" s="131">
        <f t="shared" ref="C12:N12" si="2">C10+C11</f>
        <v>83613.645833333328</v>
      </c>
      <c r="D12" s="131">
        <f t="shared" si="2"/>
        <v>83227.291666666672</v>
      </c>
      <c r="E12" s="131">
        <f t="shared" si="2"/>
        <v>82940.9375</v>
      </c>
      <c r="F12" s="131">
        <f t="shared" si="2"/>
        <v>90785.024999999994</v>
      </c>
      <c r="G12" s="131">
        <f t="shared" si="2"/>
        <v>101316.33749999999</v>
      </c>
      <c r="H12" s="131">
        <f t="shared" si="2"/>
        <v>114913.06666666667</v>
      </c>
      <c r="I12" s="131">
        <f t="shared" si="2"/>
        <v>114233.50833333333</v>
      </c>
      <c r="J12" s="131">
        <f t="shared" si="2"/>
        <v>113553.95</v>
      </c>
      <c r="K12" s="131">
        <f t="shared" si="2"/>
        <v>112974.39166666666</v>
      </c>
      <c r="L12" s="131">
        <f t="shared" si="2"/>
        <v>112294.4375</v>
      </c>
      <c r="M12" s="131">
        <f t="shared" si="2"/>
        <v>111614.48333333334</v>
      </c>
      <c r="N12" s="131">
        <f t="shared" si="2"/>
        <v>110934.52916666667</v>
      </c>
      <c r="O12" s="132">
        <f t="shared" si="0"/>
        <v>1316401.6041666665</v>
      </c>
    </row>
    <row r="13" spans="1:15" ht="15.95" customHeight="1" x14ac:dyDescent="0.15">
      <c r="A13" s="136" t="s">
        <v>225</v>
      </c>
      <c r="B13" s="137">
        <f>B8+B12</f>
        <v>345780</v>
      </c>
      <c r="C13" s="138">
        <f t="shared" ref="C13:N13" si="3">C8+C12</f>
        <v>194490.62680666667</v>
      </c>
      <c r="D13" s="138">
        <f t="shared" si="3"/>
        <v>194970.35145866667</v>
      </c>
      <c r="E13" s="138">
        <f t="shared" si="3"/>
        <v>198556.7593116666</v>
      </c>
      <c r="F13" s="138">
        <f t="shared" si="3"/>
        <v>204644.10352233332</v>
      </c>
      <c r="G13" s="138">
        <f t="shared" si="3"/>
        <v>208916.98626013164</v>
      </c>
      <c r="H13" s="138">
        <f t="shared" si="3"/>
        <v>229857.30763212667</v>
      </c>
      <c r="I13" s="138">
        <f t="shared" si="3"/>
        <v>255722.67199200834</v>
      </c>
      <c r="J13" s="138">
        <f t="shared" si="3"/>
        <v>277899.38223893166</v>
      </c>
      <c r="K13" s="138">
        <f t="shared" si="3"/>
        <v>299240.69238882663</v>
      </c>
      <c r="L13" s="138">
        <f t="shared" si="3"/>
        <v>302005.20808909333</v>
      </c>
      <c r="M13" s="138">
        <f t="shared" si="3"/>
        <v>305565.43265936</v>
      </c>
      <c r="N13" s="138">
        <f t="shared" si="3"/>
        <v>307708.89322695998</v>
      </c>
      <c r="O13" s="139">
        <f t="shared" si="0"/>
        <v>3325358.4155867714</v>
      </c>
    </row>
    <row r="14" spans="1:15" ht="15.95" customHeight="1" x14ac:dyDescent="0.2">
      <c r="A14" s="134"/>
      <c r="B14" s="130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2"/>
    </row>
    <row r="15" spans="1:15" ht="15.95" customHeight="1" x14ac:dyDescent="0.15">
      <c r="A15" s="129" t="s">
        <v>226</v>
      </c>
      <c r="B15" s="130">
        <v>89000</v>
      </c>
      <c r="C15" s="131">
        <v>41321.624999999993</v>
      </c>
      <c r="D15" s="131">
        <v>41321.624999999993</v>
      </c>
      <c r="E15" s="131">
        <v>44255.460374999981</v>
      </c>
      <c r="F15" s="131">
        <v>48470.266124999995</v>
      </c>
      <c r="G15" s="131">
        <v>49028.727886874985</v>
      </c>
      <c r="H15" s="131">
        <v>50071.892309999996</v>
      </c>
      <c r="I15" s="131">
        <v>62259.992128124984</v>
      </c>
      <c r="J15" s="131">
        <v>74118.218686875</v>
      </c>
      <c r="K15" s="131">
        <v>84933.28082249999</v>
      </c>
      <c r="L15" s="131">
        <v>84933.28082249999</v>
      </c>
      <c r="M15" s="131">
        <v>84933.28082249999</v>
      </c>
      <c r="N15" s="131">
        <v>84933.28082249999</v>
      </c>
      <c r="O15" s="132">
        <f t="shared" si="0"/>
        <v>839580.93080187496</v>
      </c>
    </row>
    <row r="16" spans="1:15" ht="15.95" customHeight="1" x14ac:dyDescent="0.15">
      <c r="A16" s="129" t="s">
        <v>227</v>
      </c>
      <c r="B16" s="130">
        <v>13000</v>
      </c>
      <c r="C16" s="131">
        <v>2166.7737079999993</v>
      </c>
      <c r="D16" s="131">
        <v>2155.5237079999993</v>
      </c>
      <c r="E16" s="131">
        <v>2206.9643040000014</v>
      </c>
      <c r="F16" s="131">
        <v>2709.2961560000003</v>
      </c>
      <c r="G16" s="131">
        <v>2822.3083696900007</v>
      </c>
      <c r="H16" s="131">
        <v>2905.9002969600019</v>
      </c>
      <c r="I16" s="131">
        <v>4507.9376845500001</v>
      </c>
      <c r="J16" s="131">
        <v>6213.8758324899973</v>
      </c>
      <c r="K16" s="131">
        <v>7792.847053159996</v>
      </c>
      <c r="L16" s="131">
        <v>7792.7283031599945</v>
      </c>
      <c r="M16" s="131">
        <v>8896.0096391599982</v>
      </c>
      <c r="N16" s="131">
        <v>8900.0096391599982</v>
      </c>
      <c r="O16" s="132">
        <f t="shared" si="0"/>
        <v>72070.17469432998</v>
      </c>
    </row>
    <row r="17" spans="1:15" ht="15.95" customHeight="1" x14ac:dyDescent="0.15">
      <c r="A17" s="140" t="s">
        <v>228</v>
      </c>
      <c r="B17" s="130">
        <v>97000</v>
      </c>
      <c r="C17" s="131">
        <v>3535.4034466666667</v>
      </c>
      <c r="D17" s="131">
        <v>3535.4034466666667</v>
      </c>
      <c r="E17" s="131">
        <v>3535.4034466666667</v>
      </c>
      <c r="F17" s="131">
        <v>3535.4034466666667</v>
      </c>
      <c r="G17" s="131">
        <v>3692.5022466666669</v>
      </c>
      <c r="H17" s="131">
        <v>3692.5022466666669</v>
      </c>
      <c r="I17" s="131">
        <v>3692.5022466666669</v>
      </c>
      <c r="J17" s="131">
        <v>3692.5022466666669</v>
      </c>
      <c r="K17" s="131">
        <v>3692.5022466666669</v>
      </c>
      <c r="L17" s="131">
        <v>3692.5022466666669</v>
      </c>
      <c r="M17" s="131">
        <v>3692.5022466666669</v>
      </c>
      <c r="N17" s="131">
        <v>3692.5022466666669</v>
      </c>
      <c r="O17" s="132">
        <f t="shared" si="0"/>
        <v>140681.63176000002</v>
      </c>
    </row>
    <row r="18" spans="1:15" ht="15.95" customHeight="1" x14ac:dyDescent="0.15">
      <c r="A18" s="133" t="s">
        <v>229</v>
      </c>
      <c r="B18" s="130">
        <v>500</v>
      </c>
      <c r="C18" s="131">
        <v>669.6</v>
      </c>
      <c r="D18" s="131">
        <v>669.6</v>
      </c>
      <c r="E18" s="131">
        <v>703.08</v>
      </c>
      <c r="F18" s="131">
        <v>770.04</v>
      </c>
      <c r="G18" s="131">
        <v>782.83199999999999</v>
      </c>
      <c r="H18" s="131">
        <v>799.48800000000006</v>
      </c>
      <c r="I18" s="131">
        <v>999.04000000000008</v>
      </c>
      <c r="J18" s="131">
        <v>1198.2719999999999</v>
      </c>
      <c r="K18" s="131">
        <v>1380.848</v>
      </c>
      <c r="L18" s="131">
        <v>1380.848</v>
      </c>
      <c r="M18" s="131">
        <v>1427.664</v>
      </c>
      <c r="N18" s="131">
        <v>1427.664</v>
      </c>
      <c r="O18" s="132">
        <f t="shared" si="0"/>
        <v>12708.976000000001</v>
      </c>
    </row>
    <row r="19" spans="1:15" ht="15.95" customHeight="1" x14ac:dyDescent="0.15">
      <c r="A19" s="129" t="s">
        <v>230</v>
      </c>
      <c r="B19" s="130">
        <f>SUM(B15:B18)</f>
        <v>199500</v>
      </c>
      <c r="C19" s="131">
        <f t="shared" ref="C19:N19" si="4">SUM(C15:C18)</f>
        <v>47693.402154666655</v>
      </c>
      <c r="D19" s="131">
        <f t="shared" si="4"/>
        <v>47682.152154666655</v>
      </c>
      <c r="E19" s="131">
        <f t="shared" si="4"/>
        <v>50700.908125666647</v>
      </c>
      <c r="F19" s="131">
        <f t="shared" si="4"/>
        <v>55485.005727666656</v>
      </c>
      <c r="G19" s="131">
        <f t="shared" si="4"/>
        <v>56326.370503231657</v>
      </c>
      <c r="H19" s="131">
        <f t="shared" si="4"/>
        <v>57469.782853626661</v>
      </c>
      <c r="I19" s="131">
        <f t="shared" si="4"/>
        <v>71459.472059341642</v>
      </c>
      <c r="J19" s="131">
        <f t="shared" si="4"/>
        <v>85222.868766031665</v>
      </c>
      <c r="K19" s="131">
        <f t="shared" si="4"/>
        <v>97799.478122326662</v>
      </c>
      <c r="L19" s="131">
        <f t="shared" si="4"/>
        <v>97799.359372326653</v>
      </c>
      <c r="M19" s="131">
        <f t="shared" si="4"/>
        <v>98949.456708326659</v>
      </c>
      <c r="N19" s="131">
        <f t="shared" si="4"/>
        <v>98953.456708326659</v>
      </c>
      <c r="O19" s="132">
        <f t="shared" si="0"/>
        <v>1065041.713256205</v>
      </c>
    </row>
    <row r="20" spans="1:15" ht="15.95" customHeight="1" x14ac:dyDescent="0.2">
      <c r="A20" s="134"/>
      <c r="B20" s="130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2"/>
    </row>
    <row r="21" spans="1:15" ht="15.95" customHeight="1" x14ac:dyDescent="0.15">
      <c r="A21" s="129" t="s">
        <v>231</v>
      </c>
      <c r="B21" s="130">
        <v>8280</v>
      </c>
      <c r="C21" s="131">
        <v>8280</v>
      </c>
      <c r="D21" s="131">
        <v>8280</v>
      </c>
      <c r="E21" s="131">
        <v>8280</v>
      </c>
      <c r="F21" s="131">
        <v>8280</v>
      </c>
      <c r="G21" s="131">
        <v>8280</v>
      </c>
      <c r="H21" s="131">
        <v>16560</v>
      </c>
      <c r="I21" s="131">
        <v>16560</v>
      </c>
      <c r="J21" s="131">
        <v>16560</v>
      </c>
      <c r="K21" s="131">
        <v>16560</v>
      </c>
      <c r="L21" s="131">
        <v>16560</v>
      </c>
      <c r="M21" s="131">
        <v>16560</v>
      </c>
      <c r="N21" s="131">
        <v>8280.0000000000018</v>
      </c>
      <c r="O21" s="132">
        <f t="shared" si="0"/>
        <v>157320</v>
      </c>
    </row>
    <row r="22" spans="1:15" ht="15.95" customHeight="1" x14ac:dyDescent="0.15">
      <c r="A22" s="129" t="s">
        <v>232</v>
      </c>
      <c r="B22" s="130">
        <v>4000</v>
      </c>
      <c r="C22" s="131">
        <v>4000</v>
      </c>
      <c r="D22" s="131">
        <v>4000</v>
      </c>
      <c r="E22" s="131">
        <v>4000</v>
      </c>
      <c r="F22" s="131">
        <v>4000</v>
      </c>
      <c r="G22" s="131">
        <v>4000</v>
      </c>
      <c r="H22" s="131">
        <v>14000</v>
      </c>
      <c r="I22" s="131">
        <v>22000</v>
      </c>
      <c r="J22" s="131">
        <v>24000</v>
      </c>
      <c r="K22" s="131">
        <v>24000</v>
      </c>
      <c r="L22" s="131">
        <v>18000</v>
      </c>
      <c r="M22" s="131">
        <v>10000</v>
      </c>
      <c r="N22" s="131">
        <v>10000</v>
      </c>
      <c r="O22" s="132">
        <f t="shared" si="0"/>
        <v>146000</v>
      </c>
    </row>
    <row r="23" spans="1:15" ht="15.95" customHeight="1" x14ac:dyDescent="0.2">
      <c r="A23" s="134" t="s">
        <v>233</v>
      </c>
      <c r="B23" s="130">
        <f>SUM(B21:B22)</f>
        <v>12280</v>
      </c>
      <c r="C23" s="131">
        <f t="shared" ref="C23:N23" si="5">SUM(C21:C22)</f>
        <v>12280</v>
      </c>
      <c r="D23" s="131">
        <f t="shared" si="5"/>
        <v>12280</v>
      </c>
      <c r="E23" s="131">
        <f t="shared" si="5"/>
        <v>12280</v>
      </c>
      <c r="F23" s="131">
        <f t="shared" si="5"/>
        <v>12280</v>
      </c>
      <c r="G23" s="131">
        <f t="shared" si="5"/>
        <v>12280</v>
      </c>
      <c r="H23" s="131">
        <f t="shared" si="5"/>
        <v>30560</v>
      </c>
      <c r="I23" s="131">
        <f t="shared" si="5"/>
        <v>38560</v>
      </c>
      <c r="J23" s="131">
        <f t="shared" si="5"/>
        <v>40560</v>
      </c>
      <c r="K23" s="131">
        <f t="shared" si="5"/>
        <v>40560</v>
      </c>
      <c r="L23" s="131">
        <f t="shared" si="5"/>
        <v>34560</v>
      </c>
      <c r="M23" s="131">
        <f t="shared" si="5"/>
        <v>26560</v>
      </c>
      <c r="N23" s="131">
        <f t="shared" si="5"/>
        <v>18280</v>
      </c>
      <c r="O23" s="132">
        <f t="shared" si="0"/>
        <v>303320</v>
      </c>
    </row>
    <row r="24" spans="1:15" ht="15.95" customHeight="1" x14ac:dyDescent="0.2">
      <c r="A24" s="134"/>
      <c r="B24" s="130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2"/>
    </row>
    <row r="25" spans="1:15" ht="15.95" customHeight="1" x14ac:dyDescent="0.15">
      <c r="A25" s="129" t="s">
        <v>234</v>
      </c>
      <c r="B25" s="130">
        <f>B19+B23</f>
        <v>211780</v>
      </c>
      <c r="C25" s="131">
        <f t="shared" ref="C25:N25" si="6">C19+C23</f>
        <v>59973.402154666655</v>
      </c>
      <c r="D25" s="131">
        <f t="shared" si="6"/>
        <v>59962.152154666655</v>
      </c>
      <c r="E25" s="131">
        <f t="shared" si="6"/>
        <v>62980.908125666647</v>
      </c>
      <c r="F25" s="131">
        <f t="shared" si="6"/>
        <v>67765.005727666663</v>
      </c>
      <c r="G25" s="131">
        <f t="shared" si="6"/>
        <v>68606.37050323165</v>
      </c>
      <c r="H25" s="131">
        <f t="shared" si="6"/>
        <v>88029.782853626661</v>
      </c>
      <c r="I25" s="131">
        <f t="shared" si="6"/>
        <v>110019.47205934164</v>
      </c>
      <c r="J25" s="131">
        <f t="shared" si="6"/>
        <v>125782.86876603166</v>
      </c>
      <c r="K25" s="131">
        <f t="shared" si="6"/>
        <v>138359.47812232666</v>
      </c>
      <c r="L25" s="131">
        <f t="shared" si="6"/>
        <v>132359.35937232664</v>
      </c>
      <c r="M25" s="131">
        <f t="shared" si="6"/>
        <v>125509.45670832666</v>
      </c>
      <c r="N25" s="131">
        <f t="shared" si="6"/>
        <v>117233.45670832666</v>
      </c>
      <c r="O25" s="132">
        <f t="shared" si="0"/>
        <v>1368361.713256205</v>
      </c>
    </row>
    <row r="26" spans="1:15" ht="15.95" customHeight="1" x14ac:dyDescent="0.2">
      <c r="A26" s="134"/>
      <c r="B26" s="130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2"/>
    </row>
    <row r="27" spans="1:15" ht="15.95" customHeight="1" x14ac:dyDescent="0.15">
      <c r="A27" s="129" t="s">
        <v>235</v>
      </c>
      <c r="B27" s="130">
        <v>130000</v>
      </c>
      <c r="C27" s="131">
        <v>130000</v>
      </c>
      <c r="D27" s="131">
        <v>130000</v>
      </c>
      <c r="E27" s="131">
        <v>130000</v>
      </c>
      <c r="F27" s="131">
        <v>130000</v>
      </c>
      <c r="G27" s="131">
        <v>132000</v>
      </c>
      <c r="H27" s="131">
        <v>132000</v>
      </c>
      <c r="I27" s="131">
        <v>132000</v>
      </c>
      <c r="J27" s="131">
        <v>132000</v>
      </c>
      <c r="K27" s="131">
        <v>132000</v>
      </c>
      <c r="L27" s="131">
        <v>132000</v>
      </c>
      <c r="M27" s="131">
        <v>132000</v>
      </c>
      <c r="N27" s="131">
        <v>132000</v>
      </c>
      <c r="O27" s="132">
        <f t="shared" si="0"/>
        <v>1706000</v>
      </c>
    </row>
    <row r="28" spans="1:15" ht="15.95" customHeight="1" x14ac:dyDescent="0.15">
      <c r="A28" s="129" t="s">
        <v>236</v>
      </c>
      <c r="B28" s="130">
        <v>4000</v>
      </c>
      <c r="C28" s="131">
        <v>4517.224651999999</v>
      </c>
      <c r="D28" s="131">
        <v>5008.1993039999979</v>
      </c>
      <c r="E28" s="131">
        <v>5575.8511859999999</v>
      </c>
      <c r="F28" s="131">
        <v>6879.0977946666671</v>
      </c>
      <c r="G28" s="131">
        <v>8310.6157569000025</v>
      </c>
      <c r="H28" s="131">
        <v>9827.5247785000047</v>
      </c>
      <c r="I28" s="131">
        <v>13703.199932666672</v>
      </c>
      <c r="J28" s="131">
        <v>20116.513472900002</v>
      </c>
      <c r="K28" s="131">
        <v>28881.214266499996</v>
      </c>
      <c r="L28" s="131">
        <v>37645.848716766654</v>
      </c>
      <c r="M28" s="131">
        <v>48055.975951033317</v>
      </c>
      <c r="N28" s="131">
        <v>58475.436518633316</v>
      </c>
      <c r="O28" s="132">
        <f t="shared" si="0"/>
        <v>250996.70233056665</v>
      </c>
    </row>
    <row r="29" spans="1:15" ht="15.95" customHeight="1" x14ac:dyDescent="0.15">
      <c r="A29" s="129" t="s">
        <v>237</v>
      </c>
      <c r="B29" s="130">
        <f>SUM(B27:B28)</f>
        <v>134000</v>
      </c>
      <c r="C29" s="131">
        <f t="shared" ref="C29:O29" si="7">SUM(C27:C28)</f>
        <v>134517.224652</v>
      </c>
      <c r="D29" s="131">
        <f t="shared" si="7"/>
        <v>135008.19930400001</v>
      </c>
      <c r="E29" s="131">
        <f t="shared" si="7"/>
        <v>135575.85118599999</v>
      </c>
      <c r="F29" s="131">
        <f t="shared" si="7"/>
        <v>136879.09779466665</v>
      </c>
      <c r="G29" s="131">
        <f t="shared" si="7"/>
        <v>140310.61575689999</v>
      </c>
      <c r="H29" s="131">
        <f t="shared" si="7"/>
        <v>141827.5247785</v>
      </c>
      <c r="I29" s="131">
        <f t="shared" si="7"/>
        <v>145703.19993266667</v>
      </c>
      <c r="J29" s="131">
        <f t="shared" si="7"/>
        <v>152116.5134729</v>
      </c>
      <c r="K29" s="131">
        <f t="shared" si="7"/>
        <v>160881.2142665</v>
      </c>
      <c r="L29" s="131">
        <f t="shared" si="7"/>
        <v>169645.84871676666</v>
      </c>
      <c r="M29" s="131">
        <f t="shared" si="7"/>
        <v>180055.97595103332</v>
      </c>
      <c r="N29" s="131">
        <f t="shared" si="7"/>
        <v>190475.43651863333</v>
      </c>
      <c r="O29" s="132">
        <f t="shared" si="7"/>
        <v>1956996.7023305667</v>
      </c>
    </row>
    <row r="30" spans="1:15" x14ac:dyDescent="0.15">
      <c r="A30" s="136" t="s">
        <v>238</v>
      </c>
      <c r="B30" s="137">
        <f>B25+B29</f>
        <v>345780</v>
      </c>
      <c r="C30" s="138">
        <f t="shared" ref="C30:O30" si="8">C25+C29</f>
        <v>194490.62680666667</v>
      </c>
      <c r="D30" s="138">
        <f t="shared" si="8"/>
        <v>194970.35145866667</v>
      </c>
      <c r="E30" s="138">
        <f t="shared" si="8"/>
        <v>198556.75931166662</v>
      </c>
      <c r="F30" s="138">
        <f t="shared" si="8"/>
        <v>204644.10352233332</v>
      </c>
      <c r="G30" s="138">
        <f t="shared" si="8"/>
        <v>208916.98626013164</v>
      </c>
      <c r="H30" s="138">
        <f t="shared" si="8"/>
        <v>229857.30763212667</v>
      </c>
      <c r="I30" s="138">
        <f t="shared" si="8"/>
        <v>255722.67199200831</v>
      </c>
      <c r="J30" s="138">
        <f t="shared" si="8"/>
        <v>277899.38223893166</v>
      </c>
      <c r="K30" s="138">
        <f t="shared" si="8"/>
        <v>299240.69238882663</v>
      </c>
      <c r="L30" s="138">
        <f t="shared" si="8"/>
        <v>302005.20808909333</v>
      </c>
      <c r="M30" s="138">
        <f t="shared" si="8"/>
        <v>305565.43265936</v>
      </c>
      <c r="N30" s="138">
        <f t="shared" si="8"/>
        <v>307708.89322695998</v>
      </c>
      <c r="O30" s="139">
        <f t="shared" si="8"/>
        <v>3325358.4155867714</v>
      </c>
    </row>
    <row r="33" spans="7:7" x14ac:dyDescent="0.15">
      <c r="G33">
        <v>1</v>
      </c>
    </row>
  </sheetData>
  <mergeCells count="1">
    <mergeCell ref="A1:O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20" sqref="D20"/>
    </sheetView>
  </sheetViews>
  <sheetFormatPr defaultRowHeight="13.5" x14ac:dyDescent="0.15"/>
  <cols>
    <col min="1" max="1" width="37" style="142" customWidth="1"/>
    <col min="2" max="2" width="6.125" style="142" customWidth="1"/>
    <col min="3" max="3" width="26.875" style="142" customWidth="1"/>
    <col min="4" max="4" width="25" style="142" bestFit="1" customWidth="1"/>
    <col min="5" max="5" width="6.125" style="142" customWidth="1"/>
    <col min="6" max="6" width="20.5" style="142" customWidth="1"/>
    <col min="7" max="16384" width="9" style="142"/>
  </cols>
  <sheetData>
    <row r="1" spans="1:10" ht="35.25" x14ac:dyDescent="0.15">
      <c r="A1" s="224" t="s">
        <v>265</v>
      </c>
      <c r="B1" s="224"/>
      <c r="C1" s="224"/>
      <c r="D1" s="224"/>
      <c r="E1" s="224"/>
      <c r="F1" s="224"/>
      <c r="G1" s="141"/>
      <c r="H1" s="141"/>
      <c r="I1" s="141"/>
      <c r="J1" s="141"/>
    </row>
    <row r="2" spans="1:10" ht="14.25" thickBot="1" x14ac:dyDescent="0.2">
      <c r="A2" s="143" t="s">
        <v>240</v>
      </c>
      <c r="B2" s="144"/>
      <c r="C2" s="143" t="s">
        <v>266</v>
      </c>
      <c r="D2" s="145"/>
      <c r="E2" s="145"/>
      <c r="F2" s="144"/>
    </row>
    <row r="3" spans="1:10" s="147" customFormat="1" ht="18.95" customHeight="1" x14ac:dyDescent="0.15">
      <c r="A3" s="166" t="s">
        <v>241</v>
      </c>
      <c r="B3" s="167" t="s">
        <v>242</v>
      </c>
      <c r="C3" s="167" t="s">
        <v>243</v>
      </c>
      <c r="D3" s="167" t="s">
        <v>241</v>
      </c>
      <c r="E3" s="167" t="s">
        <v>242</v>
      </c>
      <c r="F3" s="168" t="s">
        <v>243</v>
      </c>
      <c r="G3" s="146"/>
    </row>
    <row r="4" spans="1:10" s="147" customFormat="1" ht="18.95" customHeight="1" x14ac:dyDescent="0.15">
      <c r="A4" s="148" t="s">
        <v>244</v>
      </c>
      <c r="B4" s="149">
        <v>1</v>
      </c>
      <c r="C4" s="149" t="s">
        <v>245</v>
      </c>
      <c r="D4" s="150" t="s">
        <v>246</v>
      </c>
      <c r="E4" s="149">
        <v>13</v>
      </c>
      <c r="F4" s="151" t="s">
        <v>245</v>
      </c>
      <c r="G4" s="146"/>
    </row>
    <row r="5" spans="1:10" s="147" customFormat="1" ht="18.95" customHeight="1" x14ac:dyDescent="0.15">
      <c r="A5" s="152" t="s">
        <v>247</v>
      </c>
      <c r="B5" s="149">
        <v>2</v>
      </c>
      <c r="C5" s="153">
        <f>预算损益表!Q23/((预算资产负债表!B29+预算资产负债表!O29)/2)</f>
        <v>6.9612963074914838E-2</v>
      </c>
      <c r="D5" s="154" t="s">
        <v>248</v>
      </c>
      <c r="E5" s="149">
        <v>14</v>
      </c>
      <c r="F5" s="151">
        <f>(预算资产负债表!O13-预算资产负债表!B13)/预算资产负债表!B13</f>
        <v>8.6169773138607546</v>
      </c>
      <c r="G5" s="146"/>
    </row>
    <row r="6" spans="1:10" s="147" customFormat="1" ht="18.95" customHeight="1" x14ac:dyDescent="0.15">
      <c r="A6" s="152" t="s">
        <v>249</v>
      </c>
      <c r="B6" s="149">
        <v>3</v>
      </c>
      <c r="C6" s="153">
        <f>(预算损益表!Q7-预算损益表!D7)/预算损益表!D7</f>
        <v>2.7838729029942857</v>
      </c>
      <c r="D6" s="154" t="s">
        <v>250</v>
      </c>
      <c r="E6" s="149">
        <v>15</v>
      </c>
      <c r="F6" s="155">
        <f>(预算资产负债表!O8-预算资产负债表!O6)/预算资产负债表!O19</f>
        <v>0.95237035005276161</v>
      </c>
      <c r="G6" s="146"/>
    </row>
    <row r="7" spans="1:10" s="147" customFormat="1" ht="18.95" customHeight="1" x14ac:dyDescent="0.15">
      <c r="A7" s="152" t="s">
        <v>251</v>
      </c>
      <c r="B7" s="149">
        <v>4</v>
      </c>
      <c r="C7" s="153">
        <f>预算损益表!Q16/预算损益表!Q7</f>
        <v>0.33015689957095612</v>
      </c>
      <c r="D7" s="154" t="s">
        <v>252</v>
      </c>
      <c r="E7" s="149">
        <v>16</v>
      </c>
      <c r="F7" s="155">
        <f>预算资产负债表!O8/预算资产负债表!O19</f>
        <v>1.8862705435996694</v>
      </c>
      <c r="G7" s="146"/>
    </row>
    <row r="8" spans="1:10" s="147" customFormat="1" ht="18.95" customHeight="1" x14ac:dyDescent="0.15">
      <c r="A8" s="152" t="s">
        <v>253</v>
      </c>
      <c r="B8" s="149">
        <v>5</v>
      </c>
      <c r="C8" s="153">
        <f>(预算损益表!Q23-预算损益表!D23)/预算损益表!D23</f>
        <v>12.40335876879433</v>
      </c>
      <c r="D8" s="154" t="s">
        <v>254</v>
      </c>
      <c r="E8" s="149">
        <v>17</v>
      </c>
      <c r="F8" s="155">
        <f>预算资产负债表!O25/预算资产负债表!O13</f>
        <v>0.41149300082732665</v>
      </c>
      <c r="G8" s="146"/>
    </row>
    <row r="9" spans="1:10" s="147" customFormat="1" ht="18.95" customHeight="1" x14ac:dyDescent="0.15">
      <c r="A9" s="152" t="s">
        <v>255</v>
      </c>
      <c r="B9" s="149">
        <v>6</v>
      </c>
      <c r="C9" s="153">
        <f>(预算损益表!Q23+预算损益表!Q20)/((预算资产负债表!B13+预算资产负债表!O13)/2)</f>
        <v>4.1260257468362468E-2</v>
      </c>
      <c r="D9" s="154" t="s">
        <v>256</v>
      </c>
      <c r="E9" s="149">
        <v>18</v>
      </c>
      <c r="F9" s="155">
        <f>预算资产负债表!O19/预算资产负债表!O13</f>
        <v>0.32027877303814617</v>
      </c>
      <c r="G9" s="146"/>
    </row>
    <row r="10" spans="1:10" s="147" customFormat="1" ht="18.95" customHeight="1" x14ac:dyDescent="0.15">
      <c r="A10" s="152" t="s">
        <v>257</v>
      </c>
      <c r="B10" s="149">
        <v>7</v>
      </c>
      <c r="C10" s="153">
        <f>预算损益表!Q23/预算资产负债表!O27</f>
        <v>4.2661335354368821E-2</v>
      </c>
      <c r="D10" s="154" t="s">
        <v>258</v>
      </c>
      <c r="E10" s="149">
        <v>19</v>
      </c>
      <c r="F10" s="155">
        <f>预算资产负债表!O29/预算资产负债表!O13</f>
        <v>0.58850699917267346</v>
      </c>
      <c r="G10" s="146"/>
    </row>
    <row r="11" spans="1:10" s="147" customFormat="1" ht="18.95" customHeight="1" x14ac:dyDescent="0.15">
      <c r="A11" s="152" t="s">
        <v>259</v>
      </c>
      <c r="B11" s="149">
        <v>8</v>
      </c>
      <c r="C11" s="149">
        <f>(预算损益表!Q23+预算损益表!Q22+预算损益表!Q20)/预算损益表!Q20</f>
        <v>36.175270732005337</v>
      </c>
      <c r="D11" s="154" t="s">
        <v>260</v>
      </c>
      <c r="E11" s="149">
        <v>20</v>
      </c>
      <c r="F11" s="156">
        <f>预算资产负债表!O25/预算资产负债表!O29</f>
        <v>0.69921513491905096</v>
      </c>
      <c r="G11" s="146"/>
    </row>
    <row r="12" spans="1:10" s="147" customFormat="1" ht="18.95" customHeight="1" x14ac:dyDescent="0.15">
      <c r="A12" s="152" t="s">
        <v>261</v>
      </c>
      <c r="B12" s="149">
        <v>9</v>
      </c>
      <c r="C12" s="153">
        <f>预算损益表!Q23/预算损益表!Q12</f>
        <v>0.16408383378049551</v>
      </c>
      <c r="D12" s="157"/>
      <c r="E12" s="149"/>
      <c r="F12" s="151"/>
      <c r="G12" s="146"/>
    </row>
    <row r="13" spans="1:10" s="147" customFormat="1" ht="18.95" customHeight="1" x14ac:dyDescent="0.15">
      <c r="A13" s="152" t="s">
        <v>262</v>
      </c>
      <c r="B13" s="149">
        <v>10</v>
      </c>
      <c r="C13" s="153">
        <f>预算损益表!Q12/预算损益表!Q7</f>
        <v>0.66984310042904394</v>
      </c>
      <c r="D13" s="154"/>
      <c r="E13" s="149"/>
      <c r="F13" s="158"/>
      <c r="G13" s="146"/>
    </row>
    <row r="14" spans="1:10" s="147" customFormat="1" ht="18.95" customHeight="1" x14ac:dyDescent="0.15">
      <c r="A14" s="152" t="s">
        <v>263</v>
      </c>
      <c r="B14" s="149">
        <v>11</v>
      </c>
      <c r="C14" s="153">
        <f>预算损益表!Q12/预算损益表!Q7</f>
        <v>0.66984310042904394</v>
      </c>
      <c r="D14" s="154"/>
      <c r="E14" s="149"/>
      <c r="F14" s="151"/>
      <c r="G14" s="146"/>
    </row>
    <row r="15" spans="1:10" s="147" customFormat="1" ht="18.95" customHeight="1" thickBot="1" x14ac:dyDescent="0.2">
      <c r="A15" s="159" t="s">
        <v>264</v>
      </c>
      <c r="B15" s="160">
        <v>12</v>
      </c>
      <c r="C15" s="161">
        <f>预算损益表!Q23/预算损益表!Q10</f>
        <v>1.6661519998710141</v>
      </c>
      <c r="D15" s="162"/>
      <c r="E15" s="160"/>
      <c r="F15" s="163"/>
      <c r="G15" s="146"/>
    </row>
    <row r="16" spans="1:10" s="147" customFormat="1" x14ac:dyDescent="0.15">
      <c r="A16" s="142"/>
      <c r="B16" s="142"/>
      <c r="C16" s="142"/>
      <c r="D16" s="164"/>
      <c r="E16" s="164"/>
      <c r="F16" s="164"/>
      <c r="G16" s="146"/>
    </row>
    <row r="17" spans="1:7" s="147" customFormat="1" x14ac:dyDescent="0.15">
      <c r="A17" s="142"/>
      <c r="B17" s="142"/>
      <c r="C17" s="142"/>
      <c r="D17" s="142"/>
      <c r="E17" s="165"/>
      <c r="F17" s="165"/>
      <c r="G17" s="146"/>
    </row>
    <row r="18" spans="1:7" s="147" customFormat="1" x14ac:dyDescent="0.15">
      <c r="A18" s="142"/>
      <c r="B18" s="142"/>
      <c r="C18" s="142"/>
      <c r="D18" s="142"/>
      <c r="E18" s="142"/>
      <c r="F18" s="142"/>
      <c r="G18" s="146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销售收入预算表</vt:lpstr>
      <vt:lpstr>材料预算表</vt:lpstr>
      <vt:lpstr>三项费用预算表</vt:lpstr>
      <vt:lpstr>人工预算表</vt:lpstr>
      <vt:lpstr>制造费用</vt:lpstr>
      <vt:lpstr>预算损益表</vt:lpstr>
      <vt:lpstr>现金流量预算表</vt:lpstr>
      <vt:lpstr>预算资产负债表</vt:lpstr>
      <vt:lpstr>主要财务指标分析表</vt:lpstr>
    </vt:vector>
  </TitlesOfParts>
  <Company>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Microsoft Office</cp:lastModifiedBy>
  <dcterms:created xsi:type="dcterms:W3CDTF">2012-07-01T00:41:20Z</dcterms:created>
  <dcterms:modified xsi:type="dcterms:W3CDTF">2012-08-28T02:34:19Z</dcterms:modified>
</cp:coreProperties>
</file>