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60" windowWidth="12795" windowHeight="5745" activeTab="3"/>
  </bookViews>
  <sheets>
    <sheet name="固定资产清单" sheetId="1" r:id="rId1"/>
    <sheet name="余额法提计折旧表" sheetId="2" r:id="rId2"/>
    <sheet name="年限总和法提计折旧表" sheetId="3" r:id="rId3"/>
    <sheet name="双倍余额递减法提计折旧表" sheetId="4" r:id="rId4"/>
    <sheet name="Sheet2" sheetId="7" state="hidden" r:id="rId5"/>
    <sheet name="固定资产查询" sheetId="13" r:id="rId6"/>
  </sheets>
  <definedNames>
    <definedName name="_xlnm._FilterDatabase" localSheetId="5" hidden="1">固定资产查询!$A$3:$P$45</definedName>
    <definedName name="_xlnm._FilterDatabase" localSheetId="0" hidden="1">固定资产清单!$A$3:$Q$45</definedName>
    <definedName name="编号" localSheetId="5">OFFSET(固定资产查询!$A$4,,,COUNTA(固定资产查询!$A:$A)-3,)</definedName>
    <definedName name="编号">OFFSET(固定资产清单!$A$4,,,COUNTA(固定资产清单!$A:$A)-3,)</definedName>
  </definedNames>
  <calcPr calcId="144525"/>
</workbook>
</file>

<file path=xl/calcChain.xml><?xml version="1.0" encoding="utf-8"?>
<calcChain xmlns="http://schemas.openxmlformats.org/spreadsheetml/2006/main">
  <c r="C12" i="3" l="1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D12" i="3"/>
  <c r="E12" i="3"/>
  <c r="F12" i="3"/>
  <c r="G12" i="3"/>
  <c r="H12" i="3" s="1"/>
  <c r="D13" i="3"/>
  <c r="E13" i="3"/>
  <c r="F13" i="3"/>
  <c r="G13" i="3"/>
  <c r="H13" i="3" s="1"/>
  <c r="D14" i="3"/>
  <c r="E14" i="3"/>
  <c r="F14" i="3"/>
  <c r="G14" i="3"/>
  <c r="H14" i="3" s="1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G15" i="3" l="1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G12" i="2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C15" i="2"/>
  <c r="D15" i="2" s="1"/>
  <c r="E15" i="2"/>
  <c r="C16" i="2"/>
  <c r="D16" i="2" s="1"/>
  <c r="E16" i="2"/>
  <c r="C17" i="2"/>
  <c r="D17" i="2" s="1"/>
  <c r="E17" i="2"/>
  <c r="C18" i="2"/>
  <c r="E18" i="2" s="1"/>
  <c r="C19" i="2"/>
  <c r="D19" i="2" s="1"/>
  <c r="E19" i="2"/>
  <c r="C20" i="2"/>
  <c r="D20" i="2" s="1"/>
  <c r="C21" i="2"/>
  <c r="E21" i="2" s="1"/>
  <c r="C22" i="2"/>
  <c r="D22" i="2" s="1"/>
  <c r="C23" i="2"/>
  <c r="E23" i="2" s="1"/>
  <c r="C24" i="2"/>
  <c r="D24" i="2" s="1"/>
  <c r="C25" i="2"/>
  <c r="E25" i="2" s="1"/>
  <c r="C26" i="2"/>
  <c r="D26" i="2" s="1"/>
  <c r="C12" i="2"/>
  <c r="D12" i="2" s="1"/>
  <c r="E12" i="2"/>
  <c r="C13" i="2"/>
  <c r="D13" i="2" s="1"/>
  <c r="E13" i="2"/>
  <c r="C14" i="2"/>
  <c r="D14" i="2" s="1"/>
  <c r="E14" i="2"/>
  <c r="F11" i="2"/>
  <c r="E11" i="2"/>
  <c r="D11" i="2"/>
  <c r="E4" i="2"/>
  <c r="E5" i="2"/>
  <c r="G7" i="2"/>
  <c r="E6" i="2"/>
  <c r="B12" i="2" s="1"/>
  <c r="E7" i="2"/>
  <c r="C6" i="2"/>
  <c r="C7" i="2"/>
  <c r="H10" i="2" s="1"/>
  <c r="C3" i="2"/>
  <c r="C5" i="2"/>
  <c r="C2" i="1"/>
  <c r="H15" i="3" l="1"/>
  <c r="G16" i="3"/>
  <c r="E26" i="2"/>
  <c r="E24" i="2"/>
  <c r="E22" i="2"/>
  <c r="E20" i="2"/>
  <c r="D25" i="2"/>
  <c r="D23" i="2"/>
  <c r="D21" i="2"/>
  <c r="D18" i="2"/>
  <c r="B26" i="2"/>
  <c r="B24" i="2"/>
  <c r="B21" i="2"/>
  <c r="B20" i="2"/>
  <c r="B17" i="2"/>
  <c r="B16" i="2"/>
  <c r="B14" i="2"/>
  <c r="B11" i="2"/>
  <c r="C11" i="2" s="1"/>
  <c r="B25" i="2"/>
  <c r="B23" i="2"/>
  <c r="B22" i="2"/>
  <c r="B19" i="2"/>
  <c r="B18" i="2"/>
  <c r="B15" i="2"/>
  <c r="B13" i="2"/>
  <c r="K45" i="13"/>
  <c r="N45" i="13" s="1"/>
  <c r="K44" i="13"/>
  <c r="N44" i="13" s="1"/>
  <c r="K43" i="13"/>
  <c r="N43" i="13" s="1"/>
  <c r="K42" i="13"/>
  <c r="N42" i="13" s="1"/>
  <c r="K41" i="13"/>
  <c r="N41" i="13" s="1"/>
  <c r="K40" i="13"/>
  <c r="N40" i="13" s="1"/>
  <c r="K39" i="13"/>
  <c r="N39" i="13" s="1"/>
  <c r="K38" i="13"/>
  <c r="N38" i="13" s="1"/>
  <c r="K37" i="13"/>
  <c r="N37" i="13" s="1"/>
  <c r="K36" i="13"/>
  <c r="N36" i="13" s="1"/>
  <c r="K35" i="13"/>
  <c r="N35" i="13" s="1"/>
  <c r="K34" i="13"/>
  <c r="N34" i="13" s="1"/>
  <c r="K33" i="13"/>
  <c r="N33" i="13" s="1"/>
  <c r="K32" i="13"/>
  <c r="N32" i="13" s="1"/>
  <c r="K31" i="13"/>
  <c r="N31" i="13" s="1"/>
  <c r="K30" i="13"/>
  <c r="N30" i="13" s="1"/>
  <c r="K29" i="13"/>
  <c r="N29" i="13" s="1"/>
  <c r="K28" i="13"/>
  <c r="N28" i="13" s="1"/>
  <c r="K27" i="13"/>
  <c r="N27" i="13" s="1"/>
  <c r="K26" i="13"/>
  <c r="N26" i="13" s="1"/>
  <c r="K25" i="13"/>
  <c r="N25" i="13" s="1"/>
  <c r="K24" i="13"/>
  <c r="N24" i="13" s="1"/>
  <c r="K23" i="13"/>
  <c r="N23" i="13" s="1"/>
  <c r="K22" i="13"/>
  <c r="N22" i="13" s="1"/>
  <c r="K21" i="13"/>
  <c r="N21" i="13" s="1"/>
  <c r="K20" i="13"/>
  <c r="N20" i="13" s="1"/>
  <c r="K19" i="13"/>
  <c r="N19" i="13" s="1"/>
  <c r="K18" i="13"/>
  <c r="N18" i="13" s="1"/>
  <c r="K17" i="13"/>
  <c r="N17" i="13" s="1"/>
  <c r="K16" i="13"/>
  <c r="N16" i="13" s="1"/>
  <c r="K15" i="13"/>
  <c r="N15" i="13" s="1"/>
  <c r="K14" i="13"/>
  <c r="N14" i="13" s="1"/>
  <c r="K13" i="13"/>
  <c r="N13" i="13" s="1"/>
  <c r="K12" i="13"/>
  <c r="N12" i="13" s="1"/>
  <c r="K11" i="13"/>
  <c r="N11" i="13" s="1"/>
  <c r="K10" i="13"/>
  <c r="N10" i="13" s="1"/>
  <c r="K9" i="13"/>
  <c r="N9" i="13" s="1"/>
  <c r="K8" i="13"/>
  <c r="N8" i="13" s="1"/>
  <c r="K7" i="13"/>
  <c r="N7" i="13" s="1"/>
  <c r="K6" i="13"/>
  <c r="N6" i="13" s="1"/>
  <c r="K5" i="13"/>
  <c r="N5" i="13" s="1"/>
  <c r="K4" i="13"/>
  <c r="N4" i="13" s="1"/>
  <c r="C2" i="13"/>
  <c r="L44" i="13" s="1"/>
  <c r="H16" i="3" l="1"/>
  <c r="G17" i="3"/>
  <c r="O44" i="13"/>
  <c r="P44" i="13"/>
  <c r="L5" i="13"/>
  <c r="O5" i="13" s="1"/>
  <c r="L6" i="13"/>
  <c r="O6" i="13" s="1"/>
  <c r="L7" i="13"/>
  <c r="O7" i="13" s="1"/>
  <c r="L8" i="13"/>
  <c r="O8" i="13" s="1"/>
  <c r="L9" i="13"/>
  <c r="O9" i="13" s="1"/>
  <c r="L10" i="13"/>
  <c r="O10" i="13" s="1"/>
  <c r="L11" i="13"/>
  <c r="O11" i="13" s="1"/>
  <c r="L12" i="13"/>
  <c r="O12" i="13" s="1"/>
  <c r="L13" i="13"/>
  <c r="O13" i="13" s="1"/>
  <c r="L14" i="13"/>
  <c r="O14" i="13" s="1"/>
  <c r="L15" i="13"/>
  <c r="O15" i="13" s="1"/>
  <c r="L16" i="13"/>
  <c r="O16" i="13" s="1"/>
  <c r="L17" i="13"/>
  <c r="O17" i="13" s="1"/>
  <c r="L18" i="13"/>
  <c r="O18" i="13" s="1"/>
  <c r="L19" i="13"/>
  <c r="O19" i="13" s="1"/>
  <c r="L20" i="13"/>
  <c r="O20" i="13" s="1"/>
  <c r="L21" i="13"/>
  <c r="O21" i="13" s="1"/>
  <c r="L22" i="13"/>
  <c r="O22" i="13" s="1"/>
  <c r="L23" i="13"/>
  <c r="O23" i="13" s="1"/>
  <c r="L24" i="13"/>
  <c r="O24" i="13" s="1"/>
  <c r="L25" i="13"/>
  <c r="O25" i="13" s="1"/>
  <c r="L26" i="13"/>
  <c r="O26" i="13" s="1"/>
  <c r="L27" i="13"/>
  <c r="O27" i="13" s="1"/>
  <c r="L28" i="13"/>
  <c r="O28" i="13" s="1"/>
  <c r="L29" i="13"/>
  <c r="L31" i="13"/>
  <c r="L33" i="13"/>
  <c r="L35" i="13"/>
  <c r="L37" i="13"/>
  <c r="L39" i="13"/>
  <c r="L41" i="13"/>
  <c r="L43" i="13"/>
  <c r="L45" i="13"/>
  <c r="L4" i="13"/>
  <c r="O4" i="13" s="1"/>
  <c r="L30" i="13"/>
  <c r="L32" i="13"/>
  <c r="L34" i="13"/>
  <c r="L36" i="13"/>
  <c r="L38" i="13"/>
  <c r="L40" i="13"/>
  <c r="L42" i="13"/>
  <c r="H17" i="3" l="1"/>
  <c r="G18" i="3"/>
  <c r="O40" i="13"/>
  <c r="P40" i="13"/>
  <c r="O36" i="13"/>
  <c r="P36" i="13"/>
  <c r="O32" i="13"/>
  <c r="P32" i="13"/>
  <c r="P43" i="13"/>
  <c r="O43" i="13"/>
  <c r="P39" i="13"/>
  <c r="O39" i="13"/>
  <c r="P35" i="13"/>
  <c r="O35" i="13"/>
  <c r="P31" i="13"/>
  <c r="O31" i="13"/>
  <c r="O42" i="13"/>
  <c r="P42" i="13"/>
  <c r="O38" i="13"/>
  <c r="P38" i="13"/>
  <c r="O34" i="13"/>
  <c r="P34" i="13"/>
  <c r="O30" i="13"/>
  <c r="P30" i="13"/>
  <c r="P45" i="13"/>
  <c r="O45" i="13"/>
  <c r="P41" i="13"/>
  <c r="O41" i="13"/>
  <c r="P37" i="13"/>
  <c r="O37" i="13"/>
  <c r="P33" i="13"/>
  <c r="O33" i="13"/>
  <c r="P29" i="13"/>
  <c r="O29" i="13"/>
  <c r="H18" i="3" l="1"/>
  <c r="G19" i="3"/>
  <c r="L5" i="1"/>
  <c r="P5" i="1" s="1"/>
  <c r="L7" i="1"/>
  <c r="L9" i="1"/>
  <c r="P9" i="1" s="1"/>
  <c r="L11" i="1"/>
  <c r="P11" i="1" s="1"/>
  <c r="L13" i="1"/>
  <c r="P13" i="1" s="1"/>
  <c r="L15" i="1"/>
  <c r="P15" i="1" s="1"/>
  <c r="L17" i="1"/>
  <c r="P17" i="1" s="1"/>
  <c r="L19" i="1"/>
  <c r="P19" i="1" s="1"/>
  <c r="L21" i="1"/>
  <c r="P21" i="1" s="1"/>
  <c r="L23" i="1"/>
  <c r="P23" i="1" s="1"/>
  <c r="L25" i="1"/>
  <c r="P25" i="1" s="1"/>
  <c r="L27" i="1"/>
  <c r="P27" i="1" s="1"/>
  <c r="L29" i="1"/>
  <c r="P29" i="1" s="1"/>
  <c r="L6" i="1"/>
  <c r="P6" i="1" s="1"/>
  <c r="L8" i="1"/>
  <c r="P8" i="1" s="1"/>
  <c r="L10" i="1"/>
  <c r="P10" i="1" s="1"/>
  <c r="L12" i="1"/>
  <c r="P12" i="1" s="1"/>
  <c r="L14" i="1"/>
  <c r="P14" i="1" s="1"/>
  <c r="L16" i="1"/>
  <c r="P16" i="1" s="1"/>
  <c r="L18" i="1"/>
  <c r="P18" i="1" s="1"/>
  <c r="L20" i="1"/>
  <c r="P20" i="1" s="1"/>
  <c r="L22" i="1"/>
  <c r="P22" i="1" s="1"/>
  <c r="L24" i="1"/>
  <c r="P24" i="1" s="1"/>
  <c r="L26" i="1"/>
  <c r="P26" i="1" s="1"/>
  <c r="L28" i="1"/>
  <c r="P28" i="1" s="1"/>
  <c r="L30" i="1"/>
  <c r="P30" i="1" s="1"/>
  <c r="E7" i="4"/>
  <c r="E6" i="4"/>
  <c r="B12" i="4" s="1"/>
  <c r="C6" i="4"/>
  <c r="E5" i="4"/>
  <c r="C5" i="4"/>
  <c r="E4" i="4"/>
  <c r="C3" i="4"/>
  <c r="H19" i="3" l="1"/>
  <c r="G20" i="3"/>
  <c r="P7" i="1"/>
  <c r="O30" i="1"/>
  <c r="O26" i="1"/>
  <c r="O22" i="1"/>
  <c r="O18" i="1"/>
  <c r="O14" i="1"/>
  <c r="O10" i="1"/>
  <c r="O6" i="1"/>
  <c r="O27" i="1"/>
  <c r="O23" i="1"/>
  <c r="O19" i="1"/>
  <c r="O15" i="1"/>
  <c r="O11" i="1"/>
  <c r="O7" i="1"/>
  <c r="O28" i="1"/>
  <c r="O24" i="1"/>
  <c r="O20" i="1"/>
  <c r="O16" i="1"/>
  <c r="O12" i="1"/>
  <c r="O8" i="1"/>
  <c r="O29" i="1"/>
  <c r="O25" i="1"/>
  <c r="O21" i="1"/>
  <c r="O17" i="1"/>
  <c r="O13" i="1"/>
  <c r="O9" i="1"/>
  <c r="O5" i="1"/>
  <c r="B25" i="4"/>
  <c r="B23" i="4"/>
  <c r="B21" i="4"/>
  <c r="B19" i="4"/>
  <c r="B17" i="4"/>
  <c r="B15" i="4"/>
  <c r="B13" i="4"/>
  <c r="B26" i="4"/>
  <c r="B24" i="4"/>
  <c r="B22" i="4"/>
  <c r="B20" i="4"/>
  <c r="B18" i="4"/>
  <c r="B16" i="4"/>
  <c r="B14" i="4"/>
  <c r="B11" i="4"/>
  <c r="H20" i="3" l="1"/>
  <c r="G21" i="3"/>
  <c r="E7" i="3"/>
  <c r="E6" i="3"/>
  <c r="B26" i="3" s="1"/>
  <c r="C6" i="3"/>
  <c r="E5" i="3"/>
  <c r="C5" i="3"/>
  <c r="E4" i="3"/>
  <c r="C3" i="3"/>
  <c r="H21" i="3" l="1"/>
  <c r="G22" i="3"/>
  <c r="B11" i="3"/>
  <c r="B13" i="3"/>
  <c r="B15" i="3"/>
  <c r="B17" i="3"/>
  <c r="B19" i="3"/>
  <c r="B21" i="3"/>
  <c r="B23" i="3"/>
  <c r="B25" i="3"/>
  <c r="B12" i="3"/>
  <c r="B14" i="3"/>
  <c r="B16" i="3"/>
  <c r="B18" i="3"/>
  <c r="B20" i="3"/>
  <c r="B22" i="3"/>
  <c r="B24" i="3"/>
  <c r="H22" i="3" l="1"/>
  <c r="G23" i="3"/>
  <c r="L4" i="1"/>
  <c r="G6" i="2" s="1"/>
  <c r="H23" i="3" l="1"/>
  <c r="G24" i="3"/>
  <c r="P4" i="1"/>
  <c r="O4" i="1"/>
  <c r="E3" i="2" s="1"/>
  <c r="L44" i="1"/>
  <c r="L42" i="1"/>
  <c r="L40" i="1"/>
  <c r="L38" i="1"/>
  <c r="L36" i="1"/>
  <c r="P36" i="1" s="1"/>
  <c r="L34" i="1"/>
  <c r="P34" i="1" s="1"/>
  <c r="L32" i="1"/>
  <c r="P32" i="1" s="1"/>
  <c r="L45" i="1"/>
  <c r="L43" i="1"/>
  <c r="L41" i="1"/>
  <c r="L39" i="1"/>
  <c r="L37" i="1"/>
  <c r="P37" i="1" s="1"/>
  <c r="L35" i="1"/>
  <c r="P35" i="1" s="1"/>
  <c r="L33" i="1"/>
  <c r="P33" i="1" s="1"/>
  <c r="L31" i="1"/>
  <c r="P31" i="1" s="1"/>
  <c r="H24" i="3" l="1"/>
  <c r="G25" i="3"/>
  <c r="G6" i="3"/>
  <c r="G6" i="4"/>
  <c r="O33" i="1"/>
  <c r="O37" i="1"/>
  <c r="O41" i="1"/>
  <c r="P41" i="1"/>
  <c r="O45" i="1"/>
  <c r="P45" i="1"/>
  <c r="O32" i="1"/>
  <c r="O36" i="1"/>
  <c r="O40" i="1"/>
  <c r="P40" i="1"/>
  <c r="O44" i="1"/>
  <c r="P44" i="1"/>
  <c r="O31" i="1"/>
  <c r="O35" i="1"/>
  <c r="O39" i="1"/>
  <c r="P39" i="1"/>
  <c r="O43" i="1"/>
  <c r="P43" i="1"/>
  <c r="O34" i="1"/>
  <c r="O38" i="1"/>
  <c r="P38" i="1"/>
  <c r="O42" i="1"/>
  <c r="P42" i="1"/>
  <c r="H25" i="3" l="1"/>
  <c r="G26" i="3"/>
  <c r="H26" i="3" s="1"/>
  <c r="E3" i="4"/>
  <c r="E3" i="3"/>
  <c r="K45" i="1"/>
  <c r="N45" i="1" s="1"/>
  <c r="K44" i="1"/>
  <c r="N44" i="1" s="1"/>
  <c r="K43" i="1"/>
  <c r="N43" i="1" s="1"/>
  <c r="K42" i="1"/>
  <c r="N42" i="1" s="1"/>
  <c r="K41" i="1"/>
  <c r="N41" i="1" s="1"/>
  <c r="K40" i="1"/>
  <c r="N40" i="1" s="1"/>
  <c r="K39" i="1"/>
  <c r="N39" i="1" s="1"/>
  <c r="K38" i="1"/>
  <c r="N38" i="1" s="1"/>
  <c r="K37" i="1"/>
  <c r="N37" i="1" s="1"/>
  <c r="K36" i="1"/>
  <c r="N36" i="1" s="1"/>
  <c r="K35" i="1"/>
  <c r="N35" i="1" s="1"/>
  <c r="K34" i="1"/>
  <c r="N34" i="1" s="1"/>
  <c r="K33" i="1"/>
  <c r="N33" i="1" s="1"/>
  <c r="K32" i="1"/>
  <c r="N32" i="1" s="1"/>
  <c r="K31" i="1"/>
  <c r="N31" i="1" s="1"/>
  <c r="K30" i="1"/>
  <c r="N30" i="1" s="1"/>
  <c r="K29" i="1"/>
  <c r="N29" i="1" s="1"/>
  <c r="K28" i="1"/>
  <c r="N28" i="1" s="1"/>
  <c r="K27" i="1"/>
  <c r="N27" i="1" s="1"/>
  <c r="K26" i="1"/>
  <c r="N26" i="1" s="1"/>
  <c r="K25" i="1"/>
  <c r="N25" i="1" s="1"/>
  <c r="K24" i="1"/>
  <c r="N24" i="1" s="1"/>
  <c r="K23" i="1"/>
  <c r="N23" i="1" s="1"/>
  <c r="K22" i="1"/>
  <c r="N22" i="1" s="1"/>
  <c r="K21" i="1"/>
  <c r="N21" i="1" s="1"/>
  <c r="K20" i="1"/>
  <c r="N20" i="1" s="1"/>
  <c r="K19" i="1"/>
  <c r="N19" i="1" s="1"/>
  <c r="K18" i="1"/>
  <c r="N18" i="1" s="1"/>
  <c r="K17" i="1"/>
  <c r="N17" i="1" s="1"/>
  <c r="K16" i="1"/>
  <c r="N16" i="1" s="1"/>
  <c r="K15" i="1"/>
  <c r="N15" i="1" s="1"/>
  <c r="K14" i="1"/>
  <c r="N14" i="1" s="1"/>
  <c r="K13" i="1"/>
  <c r="N13" i="1" s="1"/>
  <c r="K12" i="1"/>
  <c r="N12" i="1" s="1"/>
  <c r="K11" i="1"/>
  <c r="N11" i="1" s="1"/>
  <c r="K10" i="1"/>
  <c r="N10" i="1" s="1"/>
  <c r="K9" i="1"/>
  <c r="N9" i="1" s="1"/>
  <c r="K8" i="1"/>
  <c r="N8" i="1" s="1"/>
  <c r="K7" i="1"/>
  <c r="K6" i="1"/>
  <c r="N6" i="1" s="1"/>
  <c r="K5" i="1"/>
  <c r="N5" i="1" s="1"/>
  <c r="K4" i="1"/>
  <c r="N4" i="1" s="1"/>
  <c r="N7" i="1" l="1"/>
  <c r="G7" i="4"/>
  <c r="C7" i="4"/>
  <c r="C7" i="3"/>
  <c r="C12" i="4" l="1"/>
  <c r="C14" i="4"/>
  <c r="C16" i="4"/>
  <c r="C18" i="4"/>
  <c r="C20" i="4"/>
  <c r="C13" i="4"/>
  <c r="C15" i="4"/>
  <c r="C17" i="4"/>
  <c r="C19" i="4"/>
  <c r="C21" i="4"/>
  <c r="C22" i="4"/>
  <c r="C23" i="4"/>
  <c r="C24" i="4"/>
  <c r="C25" i="4"/>
  <c r="C26" i="4"/>
  <c r="H10" i="3"/>
  <c r="H10" i="4"/>
  <c r="C11" i="4"/>
  <c r="G7" i="3"/>
  <c r="D24" i="4" l="1"/>
  <c r="F24" i="4" s="1"/>
  <c r="E24" i="4"/>
  <c r="D25" i="4"/>
  <c r="F25" i="4" s="1"/>
  <c r="E25" i="4"/>
  <c r="E23" i="4"/>
  <c r="D23" i="4"/>
  <c r="F23" i="4" s="1"/>
  <c r="D21" i="4"/>
  <c r="F21" i="4" s="1"/>
  <c r="E21" i="4"/>
  <c r="D26" i="4"/>
  <c r="F26" i="4" s="1"/>
  <c r="E26" i="4"/>
  <c r="D22" i="4"/>
  <c r="F22" i="4" s="1"/>
  <c r="E22" i="4"/>
  <c r="E11" i="4"/>
  <c r="D11" i="4"/>
  <c r="F11" i="4" s="1"/>
  <c r="G11" i="4"/>
  <c r="H11" i="4" s="1"/>
  <c r="D17" i="4"/>
  <c r="F17" i="4" s="1"/>
  <c r="E17" i="4"/>
  <c r="D13" i="4"/>
  <c r="F13" i="4" s="1"/>
  <c r="E13" i="4"/>
  <c r="D18" i="4"/>
  <c r="F18" i="4" s="1"/>
  <c r="E18" i="4"/>
  <c r="D14" i="4"/>
  <c r="F14" i="4" s="1"/>
  <c r="E14" i="4"/>
  <c r="D19" i="4"/>
  <c r="F19" i="4" s="1"/>
  <c r="E19" i="4"/>
  <c r="D15" i="4"/>
  <c r="F15" i="4" s="1"/>
  <c r="E15" i="4"/>
  <c r="D20" i="4"/>
  <c r="F20" i="4" s="1"/>
  <c r="E20" i="4"/>
  <c r="D16" i="4"/>
  <c r="F16" i="4" s="1"/>
  <c r="E16" i="4"/>
  <c r="D12" i="4"/>
  <c r="F12" i="4" s="1"/>
  <c r="G12" i="4"/>
  <c r="H12" i="4" s="1"/>
  <c r="E12" i="4"/>
  <c r="C11" i="3"/>
  <c r="G13" i="4" l="1"/>
  <c r="G11" i="3"/>
  <c r="D11" i="3"/>
  <c r="F11" i="3" s="1"/>
  <c r="E11" i="3"/>
  <c r="H13" i="4" l="1"/>
  <c r="G14" i="4"/>
  <c r="H11" i="3"/>
  <c r="H14" i="4" l="1"/>
  <c r="G15" i="4"/>
  <c r="H15" i="4" l="1"/>
  <c r="G16" i="4"/>
  <c r="H16" i="4" l="1"/>
  <c r="G17" i="4"/>
  <c r="H17" i="4" l="1"/>
  <c r="G18" i="4"/>
  <c r="H18" i="4" l="1"/>
  <c r="G19" i="4"/>
  <c r="H19" i="4" l="1"/>
  <c r="G20" i="4"/>
  <c r="H20" i="4" l="1"/>
  <c r="G21" i="4"/>
  <c r="H21" i="4" l="1"/>
  <c r="G22" i="4"/>
  <c r="G23" i="4" l="1"/>
  <c r="H22" i="4"/>
  <c r="H23" i="4" l="1"/>
  <c r="G24" i="4"/>
  <c r="H24" i="4" l="1"/>
  <c r="G25" i="4"/>
  <c r="H25" i="4" l="1"/>
  <c r="G26" i="4"/>
  <c r="H26" i="4" s="1"/>
</calcChain>
</file>

<file path=xl/sharedStrings.xml><?xml version="1.0" encoding="utf-8"?>
<sst xmlns="http://schemas.openxmlformats.org/spreadsheetml/2006/main" count="510" uniqueCount="155">
  <si>
    <t>编号</t>
  </si>
  <si>
    <t>部门名称</t>
  </si>
  <si>
    <t>类别名称</t>
  </si>
  <si>
    <t>固定资产名称</t>
  </si>
  <si>
    <t>规格型号</t>
  </si>
  <si>
    <t>开始使用日期</t>
  </si>
  <si>
    <t>使用年限</t>
  </si>
  <si>
    <t>单位</t>
  </si>
  <si>
    <t>单价</t>
    <phoneticPr fontId="3" type="noConversion"/>
  </si>
  <si>
    <t>数量</t>
  </si>
  <si>
    <t>原值</t>
  </si>
  <si>
    <t>净残值率</t>
  </si>
  <si>
    <t>净残值</t>
  </si>
  <si>
    <t>房屋及建筑物</t>
    <phoneticPr fontId="3" type="noConversion"/>
  </si>
  <si>
    <t>混合</t>
  </si>
  <si>
    <t>房屋及建筑物</t>
  </si>
  <si>
    <t>食堂</t>
    <phoneticPr fontId="3" type="noConversion"/>
  </si>
  <si>
    <t>乙型房</t>
  </si>
  <si>
    <t>(400P)</t>
  </si>
  <si>
    <t>台</t>
  </si>
  <si>
    <t>T42-72</t>
  </si>
  <si>
    <t>其他</t>
  </si>
  <si>
    <t>(ST486DX-33)</t>
  </si>
  <si>
    <t>套</t>
  </si>
  <si>
    <t>(SANTAK-500WWPS)</t>
  </si>
  <si>
    <t>打印机</t>
    <phoneticPr fontId="3" type="noConversion"/>
  </si>
  <si>
    <t>TBY - 60</t>
  </si>
  <si>
    <t>HPDAT   88型</t>
  </si>
  <si>
    <t>102GD</t>
  </si>
  <si>
    <t>KFR - 60LW</t>
    <phoneticPr fontId="7" type="noConversion"/>
  </si>
  <si>
    <t>KFR - 45LW</t>
    <phoneticPr fontId="7" type="noConversion"/>
  </si>
  <si>
    <t>造粒机房</t>
    <phoneticPr fontId="7" type="noConversion"/>
  </si>
  <si>
    <t>YB 132M - 47.5 KW</t>
    <phoneticPr fontId="7" type="noConversion"/>
  </si>
  <si>
    <t>Y200L - 2 - 30KW</t>
    <phoneticPr fontId="7" type="noConversion"/>
  </si>
  <si>
    <t>蓄水池</t>
  </si>
  <si>
    <t>YJ118A - 1801 - 5</t>
  </si>
  <si>
    <t>RF - 90542 BL=700</t>
  </si>
  <si>
    <t>支</t>
  </si>
  <si>
    <t>PMC330G.R.F.P15</t>
  </si>
  <si>
    <t>PMC330G.R.F.P150-10WR</t>
  </si>
  <si>
    <t>PMC330G.R.F.P150-2WR</t>
  </si>
  <si>
    <t>油印机</t>
  </si>
  <si>
    <t>NP3020</t>
  </si>
  <si>
    <t>70M</t>
  </si>
  <si>
    <t>80M</t>
  </si>
  <si>
    <t>405M2</t>
  </si>
  <si>
    <t>已计提月份</t>
  </si>
  <si>
    <t>本年折旧月数</t>
  </si>
  <si>
    <t>当前日期</t>
    <phoneticPr fontId="3" type="noConversion"/>
  </si>
  <si>
    <t>资产状态</t>
    <phoneticPr fontId="3" type="noConversion"/>
  </si>
  <si>
    <t>管理部门</t>
  </si>
  <si>
    <t>办公楼</t>
  </si>
  <si>
    <t>运输设备</t>
  </si>
  <si>
    <t>轻型载货汽车</t>
    <phoneticPr fontId="7" type="noConversion"/>
  </si>
  <si>
    <t>辆</t>
  </si>
  <si>
    <t>奔驰小轿车</t>
    <phoneticPr fontId="7" type="noConversion"/>
  </si>
  <si>
    <t>机器设备</t>
  </si>
  <si>
    <t>罐车</t>
  </si>
  <si>
    <t>原料铁路运油车</t>
  </si>
  <si>
    <t>干湿机</t>
  </si>
  <si>
    <t>离心风机</t>
  </si>
  <si>
    <t>电脑</t>
  </si>
  <si>
    <t>应急电源</t>
  </si>
  <si>
    <t>空调</t>
    <phoneticPr fontId="3" type="noConversion"/>
  </si>
  <si>
    <t>化验中心</t>
  </si>
  <si>
    <t>水洗筛余物装置</t>
  </si>
  <si>
    <t>高效动态吸附仪</t>
  </si>
  <si>
    <t>气相层析仪</t>
  </si>
  <si>
    <t>乐声冷暖空调机</t>
  </si>
  <si>
    <t>华凌空调</t>
    <phoneticPr fontId="3" type="noConversion"/>
  </si>
  <si>
    <t>华凌空调</t>
  </si>
  <si>
    <t>一车间</t>
  </si>
  <si>
    <t>化验楼.仪表房</t>
  </si>
  <si>
    <t>炉前罐</t>
  </si>
  <si>
    <t>个</t>
  </si>
  <si>
    <t>油槽车</t>
  </si>
  <si>
    <t>防爆电机</t>
    <phoneticPr fontId="7" type="noConversion"/>
  </si>
  <si>
    <t>电机</t>
    <phoneticPr fontId="7" type="noConversion"/>
  </si>
  <si>
    <t>二车间</t>
  </si>
  <si>
    <t>成品仓库</t>
  </si>
  <si>
    <t>尾气站、配电房</t>
  </si>
  <si>
    <t>开关电源</t>
  </si>
  <si>
    <t>物位变送器</t>
  </si>
  <si>
    <t>压力变送器</t>
  </si>
  <si>
    <t>复印机</t>
  </si>
  <si>
    <t>臭氧净化器</t>
  </si>
  <si>
    <t>辅助车间</t>
  </si>
  <si>
    <t>叉车</t>
  </si>
  <si>
    <t>高频热气机</t>
  </si>
  <si>
    <t>盘盈设备</t>
  </si>
  <si>
    <t>厂外道路</t>
  </si>
  <si>
    <t>厂内道路</t>
  </si>
  <si>
    <t>铁路专线仓库</t>
  </si>
  <si>
    <r>
      <t>4</t>
    </r>
    <r>
      <rPr>
        <sz val="9"/>
        <rFont val="宋体"/>
        <family val="3"/>
        <charset val="134"/>
      </rPr>
      <t>号炉土建</t>
    </r>
    <phoneticPr fontId="7" type="noConversion"/>
  </si>
  <si>
    <r>
      <t xml:space="preserve">       </t>
    </r>
    <r>
      <rPr>
        <sz val="9"/>
        <rFont val="宋体"/>
        <family val="3"/>
        <charset val="134"/>
      </rPr>
      <t>U80123</t>
    </r>
    <phoneticPr fontId="7" type="noConversion"/>
  </si>
  <si>
    <t>固定资产清单</t>
    <phoneticPr fontId="3" type="noConversion"/>
  </si>
  <si>
    <t>当前日期</t>
    <phoneticPr fontId="7" type="noConversion"/>
  </si>
  <si>
    <t>已计提月数</t>
    <phoneticPr fontId="7" type="noConversion"/>
  </si>
  <si>
    <t>固定资产名称</t>
    <phoneticPr fontId="7" type="noConversion"/>
  </si>
  <si>
    <t>使用部门</t>
    <phoneticPr fontId="7" type="noConversion"/>
  </si>
  <si>
    <t>启用日期</t>
    <phoneticPr fontId="7" type="noConversion"/>
  </si>
  <si>
    <t>使用年限</t>
    <phoneticPr fontId="7" type="noConversion"/>
  </si>
  <si>
    <t>资产状态</t>
    <phoneticPr fontId="7" type="noConversion"/>
  </si>
  <si>
    <t>资产原值</t>
    <phoneticPr fontId="7" type="noConversion"/>
  </si>
  <si>
    <t>净残值率</t>
    <phoneticPr fontId="7" type="noConversion"/>
  </si>
  <si>
    <t>净残值</t>
    <phoneticPr fontId="7" type="noConversion"/>
  </si>
  <si>
    <t>固定资产折旧计算</t>
    <phoneticPr fontId="7" type="noConversion"/>
  </si>
  <si>
    <t>年份</t>
  </si>
  <si>
    <t>年折旧额</t>
  </si>
  <si>
    <t>年折旧率</t>
  </si>
  <si>
    <t>月折旧额</t>
    <phoneticPr fontId="7" type="noConversion"/>
  </si>
  <si>
    <t>月折旧率</t>
    <phoneticPr fontId="7" type="noConversion"/>
  </si>
  <si>
    <t>累计折旧额</t>
    <phoneticPr fontId="7" type="noConversion"/>
  </si>
  <si>
    <t>折余价值</t>
    <phoneticPr fontId="7" type="noConversion"/>
  </si>
  <si>
    <t>编号</t>
    <phoneticPr fontId="7" type="noConversion"/>
  </si>
  <si>
    <t>类别名称</t>
    <phoneticPr fontId="7" type="noConversion"/>
  </si>
  <si>
    <t>年限总和法提计折旧表</t>
    <phoneticPr fontId="7" type="noConversion"/>
  </si>
  <si>
    <t>折旧方法</t>
    <phoneticPr fontId="3" type="noConversion"/>
  </si>
  <si>
    <t>固定余额递减法</t>
  </si>
  <si>
    <t>年限总和法</t>
  </si>
  <si>
    <t>双倍余额递减法</t>
  </si>
  <si>
    <t>直线法</t>
  </si>
  <si>
    <t>资产编号</t>
    <phoneticPr fontId="3" type="noConversion"/>
  </si>
  <si>
    <t>资产名称</t>
    <phoneticPr fontId="3" type="noConversion"/>
  </si>
  <si>
    <t>中文</t>
    <phoneticPr fontId="3" type="noConversion"/>
  </si>
  <si>
    <t>英文</t>
    <phoneticPr fontId="3" type="noConversion"/>
  </si>
  <si>
    <t>厂牌号码</t>
    <phoneticPr fontId="3" type="noConversion"/>
  </si>
  <si>
    <t>规格型号</t>
    <phoneticPr fontId="3" type="noConversion"/>
  </si>
  <si>
    <t>数量</t>
    <phoneticPr fontId="3" type="noConversion"/>
  </si>
  <si>
    <t>金额</t>
    <phoneticPr fontId="3" type="noConversion"/>
  </si>
  <si>
    <t>耐用年度</t>
    <phoneticPr fontId="3" type="noConversion"/>
  </si>
  <si>
    <t>附属设备</t>
    <phoneticPr fontId="3" type="noConversion"/>
  </si>
  <si>
    <t>使用设备</t>
    <phoneticPr fontId="3" type="noConversion"/>
  </si>
  <si>
    <t>月折旧额</t>
    <phoneticPr fontId="3" type="noConversion"/>
  </si>
  <si>
    <t>固定资产增加单</t>
    <phoneticPr fontId="3" type="noConversion"/>
  </si>
  <si>
    <t>公司名称</t>
    <phoneticPr fontId="3" type="noConversion"/>
  </si>
  <si>
    <t>制表时间</t>
    <phoneticPr fontId="3" type="noConversion"/>
  </si>
  <si>
    <t>单位：万元</t>
    <phoneticPr fontId="3" type="noConversion"/>
  </si>
  <si>
    <t>合计</t>
    <phoneticPr fontId="3" type="noConversion"/>
  </si>
  <si>
    <t>余额法提计折旧表</t>
    <phoneticPr fontId="7" type="noConversion"/>
  </si>
  <si>
    <t>固定资产清单</t>
    <phoneticPr fontId="3" type="noConversion"/>
  </si>
  <si>
    <t>当前日期</t>
    <phoneticPr fontId="3" type="noConversion"/>
  </si>
  <si>
    <t>单价</t>
    <phoneticPr fontId="3" type="noConversion"/>
  </si>
  <si>
    <t>房屋及建筑物</t>
    <phoneticPr fontId="3" type="noConversion"/>
  </si>
  <si>
    <t>食堂</t>
    <phoneticPr fontId="3" type="noConversion"/>
  </si>
  <si>
    <t>轻型载货汽车</t>
    <phoneticPr fontId="7" type="noConversion"/>
  </si>
  <si>
    <t xml:space="preserve">YG1030CS  </t>
    <phoneticPr fontId="7" type="noConversion"/>
  </si>
  <si>
    <t>奔驰小轿车</t>
    <phoneticPr fontId="7" type="noConversion"/>
  </si>
  <si>
    <t>空调</t>
    <phoneticPr fontId="3" type="noConversion"/>
  </si>
  <si>
    <t>KFR - 45LW</t>
    <phoneticPr fontId="7" type="noConversion"/>
  </si>
  <si>
    <t>防爆电机</t>
    <phoneticPr fontId="7" type="noConversion"/>
  </si>
  <si>
    <t>Y200L - 2 - 30KW</t>
    <phoneticPr fontId="7" type="noConversion"/>
  </si>
  <si>
    <t>双倍余额递减法提计折旧表</t>
    <phoneticPr fontId="7" type="noConversion"/>
  </si>
  <si>
    <t>YB 120M - 58 KW</t>
    <phoneticPr fontId="7" type="noConversion"/>
  </si>
  <si>
    <t>L - 2 - 30KW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</si>
</sst>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￥&quot;#,##0.00;[Red]&quot;￥&quot;\-#,##0.00"/>
    <numFmt numFmtId="176" formatCode="yy\.mm\.dd"/>
    <numFmt numFmtId="177" formatCode="0_);[Red]\(0\)"/>
    <numFmt numFmtId="178" formatCode="0.0_);[Red]\(0.0\)"/>
    <numFmt numFmtId="179" formatCode="0.00_);[Red]\(0.00\)"/>
    <numFmt numFmtId="180" formatCode="yyyy&quot;年&quot;m&quot;月&quot;d&quot;日&quot;;@"/>
    <numFmt numFmtId="181" formatCode="&quot;￥&quot;#,##0.00_);[Red]\(&quot;￥&quot;#,##0.00\)"/>
    <numFmt numFmtId="182" formatCode="0.000%"/>
  </numFmts>
  <fonts count="2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方正准圆简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color theme="1"/>
      <name val="DotumChe"/>
      <family val="3"/>
      <charset val="129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华文中宋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DotumChe"/>
      <family val="3"/>
      <charset val="129"/>
    </font>
    <font>
      <sz val="24"/>
      <color theme="1"/>
      <name val="华文中宋"/>
      <family val="3"/>
      <charset val="134"/>
    </font>
    <font>
      <sz val="10"/>
      <color rgb="FFFF0000"/>
      <name val="华文中宋"/>
      <family val="3"/>
      <charset val="134"/>
    </font>
    <font>
      <sz val="10"/>
      <color theme="1"/>
      <name val="华文中宋"/>
      <family val="3"/>
      <charset val="134"/>
    </font>
    <font>
      <sz val="28"/>
      <name val="华文中宋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1"/>
      <color indexed="12"/>
      <name val="宋体"/>
      <family val="3"/>
      <charset val="134"/>
    </font>
    <font>
      <b/>
      <sz val="14"/>
      <color theme="1"/>
      <name val="华文中宋"/>
      <family val="3"/>
      <charset val="134"/>
    </font>
    <font>
      <b/>
      <sz val="11"/>
      <color theme="0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DotumChe"/>
      <family val="3"/>
      <charset val="129"/>
    </font>
    <font>
      <sz val="10"/>
      <color theme="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9" tint="-0.24994659260841701"/>
      </right>
      <top style="medium">
        <color rgb="FF00B0F0"/>
      </top>
      <bottom/>
      <diagonal/>
    </border>
    <border>
      <left/>
      <right style="thin">
        <color theme="9" tint="-0.24994659260841701"/>
      </right>
      <top/>
      <bottom/>
      <diagonal/>
    </border>
    <border>
      <left style="medium">
        <color rgb="FF92D050"/>
      </left>
      <right style="thin">
        <color rgb="FF92D050"/>
      </right>
      <top style="medium">
        <color rgb="FF92D050"/>
      </top>
      <bottom style="thin">
        <color rgb="FF92D050"/>
      </bottom>
      <diagonal/>
    </border>
    <border>
      <left style="thin">
        <color rgb="FF92D050"/>
      </left>
      <right style="thin">
        <color rgb="FF92D050"/>
      </right>
      <top style="medium">
        <color rgb="FF92D050"/>
      </top>
      <bottom style="thin">
        <color rgb="FF92D050"/>
      </bottom>
      <diagonal/>
    </border>
    <border>
      <left style="medium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medium">
        <color rgb="FF92D050"/>
      </left>
      <right style="thin">
        <color rgb="FF92D050"/>
      </right>
      <top style="thin">
        <color rgb="FF92D050"/>
      </top>
      <bottom style="medium">
        <color rgb="FF92D050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medium">
        <color rgb="FF92D050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medium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medium">
        <color theme="8"/>
      </bottom>
      <diagonal/>
    </border>
    <border>
      <left/>
      <right/>
      <top/>
      <bottom style="medium">
        <color theme="8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>
      <alignment vertical="center"/>
    </xf>
  </cellStyleXfs>
  <cellXfs count="83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Alignment="1"/>
    <xf numFmtId="14" fontId="19" fillId="0" borderId="1" xfId="2" applyNumberFormat="1" applyFont="1" applyBorder="1" applyAlignment="1" applyProtection="1">
      <alignment horizontal="center" vertical="center"/>
      <protection hidden="1"/>
    </xf>
    <xf numFmtId="0" fontId="19" fillId="0" borderId="1" xfId="2" applyNumberFormat="1" applyFont="1" applyBorder="1" applyAlignment="1" applyProtection="1">
      <alignment horizontal="center" vertical="center"/>
      <protection hidden="1"/>
    </xf>
    <xf numFmtId="177" fontId="19" fillId="0" borderId="1" xfId="2" applyNumberFormat="1" applyFont="1" applyBorder="1" applyAlignment="1" applyProtection="1">
      <alignment horizontal="center" vertical="center"/>
      <protection hidden="1"/>
    </xf>
    <xf numFmtId="9" fontId="19" fillId="0" borderId="1" xfId="1" applyFont="1" applyBorder="1" applyAlignment="1" applyProtection="1">
      <alignment horizontal="center" vertical="center"/>
      <protection hidden="1"/>
    </xf>
    <xf numFmtId="8" fontId="0" fillId="0" borderId="0" xfId="0" applyNumberFormat="1" applyAlignment="1"/>
    <xf numFmtId="178" fontId="19" fillId="0" borderId="1" xfId="2" applyNumberFormat="1" applyFont="1" applyBorder="1" applyAlignment="1" applyProtection="1">
      <alignment horizontal="center" vertical="center"/>
      <protection hidden="1"/>
    </xf>
    <xf numFmtId="178" fontId="19" fillId="0" borderId="1" xfId="2" applyNumberFormat="1" applyFont="1" applyBorder="1" applyAlignment="1" applyProtection="1">
      <alignment horizontal="center" vertical="center"/>
      <protection hidden="1"/>
    </xf>
    <xf numFmtId="0" fontId="19" fillId="0" borderId="1" xfId="0" applyFont="1" applyBorder="1" applyAlignment="1">
      <alignment horizontal="center" vertical="center"/>
    </xf>
    <xf numFmtId="179" fontId="19" fillId="0" borderId="1" xfId="0" applyNumberFormat="1" applyFont="1" applyBorder="1" applyAlignment="1">
      <alignment horizontal="center" vertical="center"/>
    </xf>
    <xf numFmtId="8" fontId="19" fillId="0" borderId="1" xfId="0" applyNumberFormat="1" applyFont="1" applyBorder="1" applyAlignment="1">
      <alignment horizontal="center" vertical="center"/>
    </xf>
    <xf numFmtId="10" fontId="19" fillId="0" borderId="1" xfId="1" applyNumberFormat="1" applyFont="1" applyBorder="1" applyAlignment="1">
      <alignment horizontal="center" vertical="center"/>
    </xf>
    <xf numFmtId="181" fontId="19" fillId="0" borderId="1" xfId="0" applyNumberFormat="1" applyFont="1" applyBorder="1" applyAlignment="1">
      <alignment horizontal="center" vertical="center"/>
    </xf>
    <xf numFmtId="182" fontId="19" fillId="0" borderId="1" xfId="1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4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center" vertical="center" wrapText="1"/>
    </xf>
    <xf numFmtId="178" fontId="6" fillId="3" borderId="8" xfId="0" applyNumberFormat="1" applyFont="1" applyFill="1" applyBorder="1" applyAlignment="1">
      <alignment horizontal="left" vertical="center"/>
    </xf>
    <xf numFmtId="178" fontId="6" fillId="3" borderId="8" xfId="0" applyNumberFormat="1" applyFont="1" applyFill="1" applyBorder="1" applyAlignment="1">
      <alignment horizontal="left" vertical="center" shrinkToFit="1"/>
    </xf>
    <xf numFmtId="179" fontId="6" fillId="3" borderId="8" xfId="0" applyNumberFormat="1" applyFont="1" applyFill="1" applyBorder="1" applyAlignment="1">
      <alignment horizontal="left" vertical="center"/>
    </xf>
    <xf numFmtId="0" fontId="15" fillId="0" borderId="9" xfId="0" applyFont="1" applyFill="1" applyBorder="1">
      <alignment vertical="center"/>
    </xf>
    <xf numFmtId="0" fontId="11" fillId="0" borderId="10" xfId="0" applyFont="1" applyFill="1" applyBorder="1">
      <alignment vertical="center"/>
    </xf>
    <xf numFmtId="14" fontId="16" fillId="0" borderId="10" xfId="0" applyNumberFormat="1" applyFont="1" applyFill="1" applyBorder="1" applyAlignment="1">
      <alignment horizontal="center" vertical="center"/>
    </xf>
    <xf numFmtId="0" fontId="16" fillId="0" borderId="10" xfId="0" applyFont="1" applyFill="1" applyBorder="1">
      <alignment vertical="center"/>
    </xf>
    <xf numFmtId="0" fontId="2" fillId="0" borderId="11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178" fontId="13" fillId="0" borderId="12" xfId="0" applyNumberFormat="1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/>
    </xf>
    <xf numFmtId="176" fontId="8" fillId="0" borderId="12" xfId="0" applyNumberFormat="1" applyFont="1" applyFill="1" applyBorder="1" applyAlignment="1">
      <alignment horizontal="center" vertical="center"/>
    </xf>
    <xf numFmtId="177" fontId="8" fillId="0" borderId="12" xfId="0" applyNumberFormat="1" applyFont="1" applyFill="1" applyBorder="1" applyAlignment="1">
      <alignment horizontal="center" vertical="center"/>
    </xf>
    <xf numFmtId="9" fontId="8" fillId="0" borderId="12" xfId="1" applyFont="1" applyFill="1" applyBorder="1" applyAlignment="1">
      <alignment horizontal="center" vertical="center"/>
    </xf>
    <xf numFmtId="178" fontId="8" fillId="0" borderId="12" xfId="0" applyNumberFormat="1" applyFont="1" applyFill="1" applyBorder="1" applyAlignment="1">
      <alignment horizontal="center" vertical="center"/>
    </xf>
    <xf numFmtId="0" fontId="8" fillId="0" borderId="12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176" fontId="8" fillId="0" borderId="14" xfId="0" applyNumberFormat="1" applyFont="1" applyFill="1" applyBorder="1" applyAlignment="1">
      <alignment horizontal="center" vertical="center"/>
    </xf>
    <xf numFmtId="179" fontId="8" fillId="0" borderId="14" xfId="0" applyNumberFormat="1" applyFont="1" applyFill="1" applyBorder="1" applyAlignment="1">
      <alignment horizontal="center" vertical="center"/>
    </xf>
    <xf numFmtId="178" fontId="8" fillId="0" borderId="14" xfId="0" applyNumberFormat="1" applyFont="1" applyFill="1" applyBorder="1" applyAlignment="1">
      <alignment horizontal="center" vertical="center"/>
    </xf>
    <xf numFmtId="0" fontId="15" fillId="0" borderId="15" xfId="0" applyFont="1" applyFill="1" applyBorder="1">
      <alignment vertical="center"/>
    </xf>
    <xf numFmtId="0" fontId="11" fillId="0" borderId="16" xfId="0" applyFont="1" applyFill="1" applyBorder="1">
      <alignment vertical="center"/>
    </xf>
    <xf numFmtId="14" fontId="16" fillId="0" borderId="16" xfId="0" applyNumberFormat="1" applyFont="1" applyFill="1" applyBorder="1" applyAlignment="1">
      <alignment horizontal="center" vertical="center"/>
    </xf>
    <xf numFmtId="0" fontId="16" fillId="0" borderId="16" xfId="0" applyFont="1" applyFill="1" applyBorder="1">
      <alignment vertical="center"/>
    </xf>
    <xf numFmtId="0" fontId="16" fillId="0" borderId="17" xfId="0" applyFont="1" applyFill="1" applyBorder="1">
      <alignment vertical="center"/>
    </xf>
    <xf numFmtId="0" fontId="9" fillId="0" borderId="18" xfId="0" applyFont="1" applyFill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center" vertical="center"/>
    </xf>
    <xf numFmtId="176" fontId="8" fillId="0" borderId="19" xfId="0" applyNumberFormat="1" applyFont="1" applyFill="1" applyBorder="1" applyAlignment="1">
      <alignment horizontal="center" vertical="center"/>
    </xf>
    <xf numFmtId="177" fontId="8" fillId="0" borderId="19" xfId="0" applyNumberFormat="1" applyFont="1" applyFill="1" applyBorder="1" applyAlignment="1">
      <alignment horizontal="center" vertical="center"/>
    </xf>
    <xf numFmtId="9" fontId="8" fillId="0" borderId="19" xfId="1" applyFont="1" applyFill="1" applyBorder="1" applyAlignment="1">
      <alignment horizontal="center" vertical="center"/>
    </xf>
    <xf numFmtId="178" fontId="8" fillId="0" borderId="19" xfId="0" applyNumberFormat="1" applyFont="1" applyFill="1" applyBorder="1" applyAlignment="1">
      <alignment horizontal="center" vertical="center"/>
    </xf>
    <xf numFmtId="0" fontId="8" fillId="0" borderId="19" xfId="0" applyNumberFormat="1" applyFont="1" applyFill="1" applyBorder="1" applyAlignment="1">
      <alignment horizontal="center" vertical="center"/>
    </xf>
    <xf numFmtId="0" fontId="8" fillId="0" borderId="20" xfId="0" applyNumberFormat="1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176" fontId="8" fillId="0" borderId="22" xfId="0" applyNumberFormat="1" applyFont="1" applyFill="1" applyBorder="1" applyAlignment="1">
      <alignment horizontal="center" vertical="center"/>
    </xf>
    <xf numFmtId="179" fontId="8" fillId="0" borderId="22" xfId="0" applyNumberFormat="1" applyFont="1" applyFill="1" applyBorder="1" applyAlignment="1">
      <alignment horizontal="center" vertical="center"/>
    </xf>
    <xf numFmtId="178" fontId="8" fillId="0" borderId="22" xfId="0" applyNumberFormat="1" applyFont="1" applyFill="1" applyBorder="1" applyAlignment="1">
      <alignment horizontal="center" vertical="center"/>
    </xf>
    <xf numFmtId="178" fontId="8" fillId="0" borderId="23" xfId="0" applyNumberFormat="1" applyFont="1" applyFill="1" applyBorder="1" applyAlignment="1">
      <alignment horizontal="center" vertical="center"/>
    </xf>
    <xf numFmtId="0" fontId="22" fillId="4" borderId="18" xfId="0" applyFont="1" applyFill="1" applyBorder="1" applyAlignment="1">
      <alignment horizontal="center" vertical="center" wrapText="1"/>
    </xf>
    <xf numFmtId="0" fontId="23" fillId="4" borderId="19" xfId="0" applyFont="1" applyFill="1" applyBorder="1" applyAlignment="1">
      <alignment horizontal="center" vertical="center" wrapText="1"/>
    </xf>
    <xf numFmtId="178" fontId="24" fillId="4" borderId="19" xfId="0" applyNumberFormat="1" applyFont="1" applyFill="1" applyBorder="1" applyAlignment="1">
      <alignment horizontal="center" vertical="center" wrapText="1"/>
    </xf>
    <xf numFmtId="178" fontId="24" fillId="4" borderId="20" xfId="0" applyNumberFormat="1" applyFont="1" applyFill="1" applyBorder="1" applyAlignment="1">
      <alignment horizontal="center" vertical="center" wrapText="1"/>
    </xf>
    <xf numFmtId="0" fontId="25" fillId="4" borderId="1" xfId="2" applyFont="1" applyFill="1" applyBorder="1" applyAlignment="1" applyProtection="1">
      <alignment horizontal="center" vertical="center"/>
      <protection hidden="1"/>
    </xf>
    <xf numFmtId="179" fontId="25" fillId="4" borderId="1" xfId="2" applyNumberFormat="1" applyFont="1" applyFill="1" applyBorder="1" applyAlignment="1" applyProtection="1">
      <alignment horizontal="center" vertical="center"/>
      <protection hidden="1"/>
    </xf>
    <xf numFmtId="49" fontId="19" fillId="5" borderId="1" xfId="2" applyNumberFormat="1" applyFont="1" applyFill="1" applyBorder="1" applyAlignment="1" applyProtection="1">
      <alignment horizontal="center" vertical="center"/>
      <protection locked="0"/>
    </xf>
    <xf numFmtId="49" fontId="9" fillId="5" borderId="1" xfId="2" applyNumberFormat="1" applyFont="1" applyFill="1" applyBorder="1" applyAlignment="1" applyProtection="1">
      <alignment horizontal="center" vertical="center"/>
      <protection locked="0"/>
    </xf>
    <xf numFmtId="0" fontId="14" fillId="2" borderId="24" xfId="0" applyFont="1" applyFill="1" applyBorder="1" applyAlignment="1">
      <alignment horizontal="center" vertical="center"/>
    </xf>
    <xf numFmtId="178" fontId="19" fillId="0" borderId="1" xfId="2" applyNumberFormat="1" applyFont="1" applyBorder="1" applyAlignment="1" applyProtection="1">
      <alignment horizontal="center" vertical="center"/>
      <protection hidden="1"/>
    </xf>
    <xf numFmtId="0" fontId="20" fillId="0" borderId="1" xfId="2" applyFont="1" applyBorder="1" applyAlignment="1" applyProtection="1">
      <alignment horizontal="center" vertical="center"/>
      <protection hidden="1"/>
    </xf>
    <xf numFmtId="0" fontId="17" fillId="0" borderId="0" xfId="0" applyFont="1" applyAlignment="1">
      <alignment horizontal="center"/>
    </xf>
    <xf numFmtId="0" fontId="19" fillId="0" borderId="2" xfId="2" applyNumberFormat="1" applyFont="1" applyBorder="1" applyAlignment="1" applyProtection="1">
      <alignment horizontal="center" vertical="center"/>
      <protection hidden="1"/>
    </xf>
    <xf numFmtId="0" fontId="19" fillId="0" borderId="3" xfId="2" applyNumberFormat="1" applyFont="1" applyBorder="1" applyAlignment="1" applyProtection="1">
      <alignment horizontal="center" vertical="center"/>
      <protection hidden="1"/>
    </xf>
    <xf numFmtId="0" fontId="19" fillId="0" borderId="4" xfId="2" applyNumberFormat="1" applyFont="1" applyBorder="1" applyAlignment="1" applyProtection="1">
      <alignment horizontal="center" vertical="center"/>
      <protection hidden="1"/>
    </xf>
    <xf numFmtId="180" fontId="19" fillId="0" borderId="5" xfId="2" applyNumberFormat="1" applyFont="1" applyBorder="1" applyAlignment="1" applyProtection="1">
      <alignment horizontal="center" vertical="center"/>
      <protection hidden="1"/>
    </xf>
    <xf numFmtId="180" fontId="19" fillId="0" borderId="6" xfId="2" applyNumberFormat="1" applyFont="1" applyBorder="1" applyAlignment="1" applyProtection="1">
      <alignment horizontal="center" vertical="center"/>
      <protection hidden="1"/>
    </xf>
    <xf numFmtId="0" fontId="0" fillId="0" borderId="0" xfId="0" applyAlignment="1">
      <alignment horizontal="right" vertical="center" indent="1"/>
    </xf>
    <xf numFmtId="0" fontId="2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</cellXfs>
  <cellStyles count="3">
    <cellStyle name="百分比" xfId="1" builtinId="5"/>
    <cellStyle name="常规" xfId="0" builtinId="0"/>
    <cellStyle name="常规_固定资产管理系统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52"/>
  <sheetViews>
    <sheetView zoomScaleNormal="100" workbookViewId="0">
      <selection activeCell="N12" sqref="N12"/>
    </sheetView>
  </sheetViews>
  <sheetFormatPr defaultRowHeight="13.5"/>
  <cols>
    <col min="1" max="1" width="4.875" customWidth="1"/>
    <col min="2" max="2" width="10.75" customWidth="1"/>
    <col min="3" max="3" width="12" customWidth="1"/>
    <col min="4" max="4" width="13.625" customWidth="1"/>
    <col min="5" max="5" width="16.125" customWidth="1"/>
    <col min="6" max="6" width="9.25" customWidth="1"/>
    <col min="7" max="7" width="8.5" customWidth="1"/>
    <col min="8" max="8" width="4.75" customWidth="1"/>
    <col min="9" max="9" width="8.875" customWidth="1"/>
    <col min="10" max="10" width="5.25" customWidth="1"/>
    <col min="11" max="11" width="7.625" customWidth="1"/>
    <col min="12" max="12" width="10.375" customWidth="1"/>
    <col min="13" max="13" width="7.125" customWidth="1"/>
    <col min="14" max="14" width="14.375" customWidth="1"/>
    <col min="15" max="15" width="9.875" customWidth="1"/>
    <col min="17" max="17" width="12.625" customWidth="1"/>
  </cols>
  <sheetData>
    <row r="1" spans="1:17" ht="42.75" customHeight="1" thickBot="1">
      <c r="A1" s="70" t="s">
        <v>95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</row>
    <row r="2" spans="1:17" ht="21" customHeight="1">
      <c r="A2" s="43"/>
      <c r="B2" s="44" t="s">
        <v>48</v>
      </c>
      <c r="C2" s="45">
        <f ca="1">TODAY()</f>
        <v>41397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7"/>
    </row>
    <row r="3" spans="1:17" ht="39" customHeight="1">
      <c r="A3" s="62" t="s">
        <v>0</v>
      </c>
      <c r="B3" s="63" t="s">
        <v>1</v>
      </c>
      <c r="C3" s="63" t="s">
        <v>2</v>
      </c>
      <c r="D3" s="63" t="s">
        <v>3</v>
      </c>
      <c r="E3" s="63" t="s">
        <v>4</v>
      </c>
      <c r="F3" s="63" t="s">
        <v>5</v>
      </c>
      <c r="G3" s="63" t="s">
        <v>6</v>
      </c>
      <c r="H3" s="63" t="s">
        <v>7</v>
      </c>
      <c r="I3" s="63" t="s">
        <v>8</v>
      </c>
      <c r="J3" s="63" t="s">
        <v>9</v>
      </c>
      <c r="K3" s="63" t="s">
        <v>10</v>
      </c>
      <c r="L3" s="63" t="s">
        <v>49</v>
      </c>
      <c r="M3" s="63" t="s">
        <v>11</v>
      </c>
      <c r="N3" s="63" t="s">
        <v>12</v>
      </c>
      <c r="O3" s="64" t="s">
        <v>46</v>
      </c>
      <c r="P3" s="64" t="s">
        <v>47</v>
      </c>
      <c r="Q3" s="65" t="s">
        <v>117</v>
      </c>
    </row>
    <row r="4" spans="1:17" ht="13.5" customHeight="1">
      <c r="A4" s="48">
        <v>1</v>
      </c>
      <c r="B4" s="49" t="s">
        <v>50</v>
      </c>
      <c r="C4" s="49" t="s">
        <v>13</v>
      </c>
      <c r="D4" s="49" t="s">
        <v>51</v>
      </c>
      <c r="E4" s="49" t="s">
        <v>14</v>
      </c>
      <c r="F4" s="50">
        <v>36893</v>
      </c>
      <c r="G4" s="49">
        <v>40</v>
      </c>
      <c r="H4" s="49"/>
      <c r="I4" s="51">
        <v>380000</v>
      </c>
      <c r="J4" s="49">
        <v>1</v>
      </c>
      <c r="K4" s="51">
        <f>I4*J4</f>
        <v>380000</v>
      </c>
      <c r="L4" s="49" t="str">
        <f ca="1">IF(AND(YEAR($C$2)=YEAR(F4),MONTH($C$2)=MONTH(F4)),"当月新增",IF((DAYS360(F4,$C$2))/365&lt;=G4,"正常使用","报废"))</f>
        <v>正常使用</v>
      </c>
      <c r="M4" s="52">
        <v>0.2</v>
      </c>
      <c r="N4" s="53">
        <f t="shared" ref="N4:N45" si="0">K4*M4</f>
        <v>76000</v>
      </c>
      <c r="O4" s="54">
        <f ca="1">IF(A4="","",IF(L4="当月新增",0,(YEAR($C$2)-YEAR(F4))*12+MONTH($C$2)-MONTH(F4)-1))</f>
        <v>147</v>
      </c>
      <c r="P4" s="54">
        <f ca="1">IF(L4="报废",0,IF(AND(YEAR(F4)&lt;YEAR($C$2),YEAR($C$2)&lt;(YEAR(F4)+G4)),12,12-MONTH(F4)))</f>
        <v>12</v>
      </c>
      <c r="Q4" s="55" t="s">
        <v>118</v>
      </c>
    </row>
    <row r="5" spans="1:17" ht="13.5" customHeight="1">
      <c r="A5" s="48">
        <v>2</v>
      </c>
      <c r="B5" s="49" t="s">
        <v>50</v>
      </c>
      <c r="C5" s="49" t="s">
        <v>15</v>
      </c>
      <c r="D5" s="49" t="s">
        <v>16</v>
      </c>
      <c r="E5" s="49"/>
      <c r="F5" s="50">
        <v>37227</v>
      </c>
      <c r="G5" s="49">
        <v>40</v>
      </c>
      <c r="H5" s="49"/>
      <c r="I5" s="51">
        <v>220000</v>
      </c>
      <c r="J5" s="49">
        <v>1</v>
      </c>
      <c r="K5" s="51">
        <f t="shared" ref="K5:K45" si="1">I5*J5</f>
        <v>220000</v>
      </c>
      <c r="L5" s="49" t="str">
        <f t="shared" ref="L5:L20" ca="1" si="2">IF(AND(YEAR($C$2)=YEAR(F5),MONTH($C$2)=MONTH(F5)),"当月新增",IF((DAYS360(F5,$C$2))/365&lt;=G5,"正常使用","报废"))</f>
        <v>正常使用</v>
      </c>
      <c r="M5" s="52">
        <v>0.2</v>
      </c>
      <c r="N5" s="53">
        <f t="shared" si="0"/>
        <v>44000</v>
      </c>
      <c r="O5" s="54">
        <f t="shared" ref="O5:O18" ca="1" si="3">IF(A5="","",IF(L5="当月新增",0,(YEAR($C$2)-YEAR(F5))*12+MONTH($C$2)-MONTH(F5)-1))</f>
        <v>136</v>
      </c>
      <c r="P5" s="54">
        <f t="shared" ref="P5:P32" ca="1" si="4">IF(L5="报废",0,IF(AND(YEAR(F5)&lt;YEAR($C$2),YEAR($C$2)&lt;(YEAR(F5)+G5)),12,12-MONTH(F5)))</f>
        <v>12</v>
      </c>
      <c r="Q5" s="55" t="s">
        <v>120</v>
      </c>
    </row>
    <row r="6" spans="1:17" ht="13.5" customHeight="1">
      <c r="A6" s="48">
        <v>3</v>
      </c>
      <c r="B6" s="49" t="s">
        <v>50</v>
      </c>
      <c r="C6" s="49" t="s">
        <v>15</v>
      </c>
      <c r="D6" s="49" t="s">
        <v>17</v>
      </c>
      <c r="E6" s="49"/>
      <c r="F6" s="50">
        <v>36893</v>
      </c>
      <c r="G6" s="49">
        <v>40</v>
      </c>
      <c r="H6" s="49"/>
      <c r="I6" s="51">
        <v>400000</v>
      </c>
      <c r="J6" s="49">
        <v>1</v>
      </c>
      <c r="K6" s="51">
        <f t="shared" si="1"/>
        <v>400000</v>
      </c>
      <c r="L6" s="49" t="str">
        <f t="shared" ca="1" si="2"/>
        <v>正常使用</v>
      </c>
      <c r="M6" s="52">
        <v>0.2</v>
      </c>
      <c r="N6" s="53">
        <f t="shared" si="0"/>
        <v>80000</v>
      </c>
      <c r="O6" s="54">
        <f t="shared" ca="1" si="3"/>
        <v>147</v>
      </c>
      <c r="P6" s="54">
        <f t="shared" ca="1" si="4"/>
        <v>12</v>
      </c>
      <c r="Q6" s="55" t="s">
        <v>119</v>
      </c>
    </row>
    <row r="7" spans="1:17" ht="13.5" customHeight="1">
      <c r="A7" s="48">
        <v>4</v>
      </c>
      <c r="B7" s="49" t="s">
        <v>50</v>
      </c>
      <c r="C7" s="49" t="s">
        <v>52</v>
      </c>
      <c r="D7" s="49" t="s">
        <v>53</v>
      </c>
      <c r="E7" s="49" t="s">
        <v>153</v>
      </c>
      <c r="F7" s="50">
        <v>37165</v>
      </c>
      <c r="G7" s="49">
        <v>10</v>
      </c>
      <c r="H7" s="49" t="s">
        <v>54</v>
      </c>
      <c r="I7" s="51">
        <v>84920</v>
      </c>
      <c r="J7" s="49">
        <v>2</v>
      </c>
      <c r="K7" s="51">
        <f t="shared" si="1"/>
        <v>169840</v>
      </c>
      <c r="L7" s="49" t="str">
        <f t="shared" ca="1" si="2"/>
        <v>报废</v>
      </c>
      <c r="M7" s="52">
        <v>0.05</v>
      </c>
      <c r="N7" s="53">
        <f t="shared" si="0"/>
        <v>8492</v>
      </c>
      <c r="O7" s="54">
        <f t="shared" ca="1" si="3"/>
        <v>138</v>
      </c>
      <c r="P7" s="54">
        <f t="shared" ca="1" si="4"/>
        <v>0</v>
      </c>
      <c r="Q7" s="55" t="s">
        <v>119</v>
      </c>
    </row>
    <row r="8" spans="1:17" ht="13.5" customHeight="1">
      <c r="A8" s="48">
        <v>5</v>
      </c>
      <c r="B8" s="49" t="s">
        <v>50</v>
      </c>
      <c r="C8" s="49" t="s">
        <v>52</v>
      </c>
      <c r="D8" s="49" t="s">
        <v>55</v>
      </c>
      <c r="E8" s="49" t="s">
        <v>154</v>
      </c>
      <c r="F8" s="50">
        <v>37196</v>
      </c>
      <c r="G8" s="49">
        <v>10</v>
      </c>
      <c r="H8" s="49" t="s">
        <v>54</v>
      </c>
      <c r="I8" s="51">
        <v>188670</v>
      </c>
      <c r="J8" s="49">
        <v>1</v>
      </c>
      <c r="K8" s="51">
        <f t="shared" si="1"/>
        <v>188670</v>
      </c>
      <c r="L8" s="49" t="str">
        <f t="shared" ca="1" si="2"/>
        <v>报废</v>
      </c>
      <c r="M8" s="52">
        <v>0.05</v>
      </c>
      <c r="N8" s="53">
        <f t="shared" si="0"/>
        <v>9433.5</v>
      </c>
      <c r="O8" s="54">
        <f t="shared" ca="1" si="3"/>
        <v>137</v>
      </c>
      <c r="P8" s="54">
        <f t="shared" ca="1" si="4"/>
        <v>0</v>
      </c>
      <c r="Q8" s="55" t="s">
        <v>118</v>
      </c>
    </row>
    <row r="9" spans="1:17">
      <c r="A9" s="48">
        <v>6</v>
      </c>
      <c r="B9" s="49" t="s">
        <v>50</v>
      </c>
      <c r="C9" s="49" t="s">
        <v>56</v>
      </c>
      <c r="D9" s="49" t="s">
        <v>57</v>
      </c>
      <c r="E9" s="49"/>
      <c r="F9" s="50">
        <v>37136</v>
      </c>
      <c r="G9" s="49">
        <v>10</v>
      </c>
      <c r="H9" s="49" t="s">
        <v>54</v>
      </c>
      <c r="I9" s="49">
        <v>100000</v>
      </c>
      <c r="J9" s="49">
        <v>5</v>
      </c>
      <c r="K9" s="51">
        <f t="shared" si="1"/>
        <v>500000</v>
      </c>
      <c r="L9" s="49" t="str">
        <f t="shared" ca="1" si="2"/>
        <v>报废</v>
      </c>
      <c r="M9" s="52">
        <v>0.05</v>
      </c>
      <c r="N9" s="53">
        <f t="shared" si="0"/>
        <v>25000</v>
      </c>
      <c r="O9" s="54">
        <f t="shared" ca="1" si="3"/>
        <v>139</v>
      </c>
      <c r="P9" s="54">
        <f t="shared" ca="1" si="4"/>
        <v>0</v>
      </c>
      <c r="Q9" s="55" t="s">
        <v>118</v>
      </c>
    </row>
    <row r="10" spans="1:17">
      <c r="A10" s="48">
        <v>7</v>
      </c>
      <c r="B10" s="49" t="s">
        <v>50</v>
      </c>
      <c r="C10" s="49" t="s">
        <v>56</v>
      </c>
      <c r="D10" s="49" t="s">
        <v>59</v>
      </c>
      <c r="E10" s="49"/>
      <c r="F10" s="50">
        <v>41061</v>
      </c>
      <c r="G10" s="49">
        <v>10</v>
      </c>
      <c r="H10" s="49" t="s">
        <v>19</v>
      </c>
      <c r="I10" s="49">
        <v>2265</v>
      </c>
      <c r="J10" s="49">
        <v>2</v>
      </c>
      <c r="K10" s="51">
        <f t="shared" si="1"/>
        <v>4530</v>
      </c>
      <c r="L10" s="49" t="str">
        <f t="shared" ca="1" si="2"/>
        <v>正常使用</v>
      </c>
      <c r="M10" s="52">
        <v>0.05</v>
      </c>
      <c r="N10" s="53">
        <f t="shared" si="0"/>
        <v>226.5</v>
      </c>
      <c r="O10" s="54">
        <f t="shared" ca="1" si="3"/>
        <v>10</v>
      </c>
      <c r="P10" s="54">
        <f t="shared" ca="1" si="4"/>
        <v>12</v>
      </c>
      <c r="Q10" s="55" t="s">
        <v>118</v>
      </c>
    </row>
    <row r="11" spans="1:17">
      <c r="A11" s="48">
        <v>8</v>
      </c>
      <c r="B11" s="49" t="s">
        <v>50</v>
      </c>
      <c r="C11" s="49" t="s">
        <v>56</v>
      </c>
      <c r="D11" s="49" t="s">
        <v>60</v>
      </c>
      <c r="E11" s="49"/>
      <c r="F11" s="50">
        <v>38261</v>
      </c>
      <c r="G11" s="49">
        <v>10</v>
      </c>
      <c r="H11" s="49" t="s">
        <v>19</v>
      </c>
      <c r="I11" s="49">
        <v>1980</v>
      </c>
      <c r="J11" s="49">
        <v>2</v>
      </c>
      <c r="K11" s="51">
        <f t="shared" si="1"/>
        <v>3960</v>
      </c>
      <c r="L11" s="49" t="str">
        <f t="shared" ca="1" si="2"/>
        <v>正常使用</v>
      </c>
      <c r="M11" s="52">
        <v>0.05</v>
      </c>
      <c r="N11" s="53">
        <f t="shared" si="0"/>
        <v>198</v>
      </c>
      <c r="O11" s="54">
        <f t="shared" ca="1" si="3"/>
        <v>102</v>
      </c>
      <c r="P11" s="54">
        <f t="shared" ca="1" si="4"/>
        <v>12</v>
      </c>
      <c r="Q11" s="55" t="s">
        <v>118</v>
      </c>
    </row>
    <row r="12" spans="1:17">
      <c r="A12" s="48">
        <v>9</v>
      </c>
      <c r="B12" s="49" t="s">
        <v>50</v>
      </c>
      <c r="C12" s="49" t="s">
        <v>21</v>
      </c>
      <c r="D12" s="49" t="s">
        <v>61</v>
      </c>
      <c r="E12" s="49"/>
      <c r="F12" s="50">
        <v>38839</v>
      </c>
      <c r="G12" s="49">
        <v>5</v>
      </c>
      <c r="H12" s="49" t="s">
        <v>23</v>
      </c>
      <c r="I12" s="51">
        <v>39338</v>
      </c>
      <c r="J12" s="49">
        <v>5</v>
      </c>
      <c r="K12" s="51">
        <f t="shared" si="1"/>
        <v>196690</v>
      </c>
      <c r="L12" s="49" t="str">
        <f t="shared" ca="1" si="2"/>
        <v>报废</v>
      </c>
      <c r="M12" s="52">
        <v>0.05</v>
      </c>
      <c r="N12" s="53">
        <f t="shared" si="0"/>
        <v>9834.5</v>
      </c>
      <c r="O12" s="54">
        <f t="shared" ca="1" si="3"/>
        <v>83</v>
      </c>
      <c r="P12" s="54">
        <f t="shared" ca="1" si="4"/>
        <v>0</v>
      </c>
      <c r="Q12" s="55" t="s">
        <v>121</v>
      </c>
    </row>
    <row r="13" spans="1:17">
      <c r="A13" s="48">
        <v>10</v>
      </c>
      <c r="B13" s="49" t="s">
        <v>50</v>
      </c>
      <c r="C13" s="49" t="s">
        <v>21</v>
      </c>
      <c r="D13" s="49" t="s">
        <v>62</v>
      </c>
      <c r="E13" s="49"/>
      <c r="F13" s="50">
        <v>37378</v>
      </c>
      <c r="G13" s="49">
        <v>5</v>
      </c>
      <c r="H13" s="49" t="s">
        <v>19</v>
      </c>
      <c r="I13" s="51">
        <v>1520</v>
      </c>
      <c r="J13" s="49">
        <v>4</v>
      </c>
      <c r="K13" s="51">
        <f t="shared" si="1"/>
        <v>6080</v>
      </c>
      <c r="L13" s="49" t="str">
        <f t="shared" ca="1" si="2"/>
        <v>报废</v>
      </c>
      <c r="M13" s="52">
        <v>0.05</v>
      </c>
      <c r="N13" s="53">
        <f t="shared" si="0"/>
        <v>304</v>
      </c>
      <c r="O13" s="54">
        <f t="shared" ca="1" si="3"/>
        <v>131</v>
      </c>
      <c r="P13" s="54">
        <f t="shared" ca="1" si="4"/>
        <v>0</v>
      </c>
      <c r="Q13" s="55" t="s">
        <v>121</v>
      </c>
    </row>
    <row r="14" spans="1:17">
      <c r="A14" s="48">
        <v>11</v>
      </c>
      <c r="B14" s="49" t="s">
        <v>50</v>
      </c>
      <c r="C14" s="49" t="s">
        <v>21</v>
      </c>
      <c r="D14" s="49" t="s">
        <v>25</v>
      </c>
      <c r="E14" s="49"/>
      <c r="F14" s="50">
        <v>39388</v>
      </c>
      <c r="G14" s="49">
        <v>5</v>
      </c>
      <c r="H14" s="49" t="s">
        <v>19</v>
      </c>
      <c r="I14" s="49">
        <v>5250</v>
      </c>
      <c r="J14" s="49">
        <v>2</v>
      </c>
      <c r="K14" s="51">
        <f t="shared" si="1"/>
        <v>10500</v>
      </c>
      <c r="L14" s="49" t="str">
        <f t="shared" ca="1" si="2"/>
        <v>报废</v>
      </c>
      <c r="M14" s="52">
        <v>0.05</v>
      </c>
      <c r="N14" s="53">
        <f t="shared" si="0"/>
        <v>525</v>
      </c>
      <c r="O14" s="54">
        <f t="shared" ca="1" si="3"/>
        <v>65</v>
      </c>
      <c r="P14" s="54">
        <f t="shared" ca="1" si="4"/>
        <v>0</v>
      </c>
      <c r="Q14" s="55" t="s">
        <v>121</v>
      </c>
    </row>
    <row r="15" spans="1:17">
      <c r="A15" s="48">
        <v>12</v>
      </c>
      <c r="B15" s="49" t="s">
        <v>50</v>
      </c>
      <c r="C15" s="49" t="s">
        <v>21</v>
      </c>
      <c r="D15" s="49" t="s">
        <v>63</v>
      </c>
      <c r="E15" s="49"/>
      <c r="F15" s="50">
        <v>40452</v>
      </c>
      <c r="G15" s="49">
        <v>5</v>
      </c>
      <c r="H15" s="49" t="s">
        <v>19</v>
      </c>
      <c r="I15" s="49">
        <v>2980</v>
      </c>
      <c r="J15" s="49">
        <v>4</v>
      </c>
      <c r="K15" s="51">
        <f t="shared" si="1"/>
        <v>11920</v>
      </c>
      <c r="L15" s="49" t="str">
        <f t="shared" ca="1" si="2"/>
        <v>正常使用</v>
      </c>
      <c r="M15" s="52">
        <v>0.05</v>
      </c>
      <c r="N15" s="53">
        <f t="shared" si="0"/>
        <v>596</v>
      </c>
      <c r="O15" s="54">
        <f t="shared" ca="1" si="3"/>
        <v>30</v>
      </c>
      <c r="P15" s="54">
        <f t="shared" ca="1" si="4"/>
        <v>12</v>
      </c>
      <c r="Q15" s="55" t="s">
        <v>119</v>
      </c>
    </row>
    <row r="16" spans="1:17">
      <c r="A16" s="48">
        <v>13</v>
      </c>
      <c r="B16" s="49" t="s">
        <v>64</v>
      </c>
      <c r="C16" s="49" t="s">
        <v>56</v>
      </c>
      <c r="D16" s="49" t="s">
        <v>65</v>
      </c>
      <c r="E16" s="49" t="s">
        <v>26</v>
      </c>
      <c r="F16" s="50">
        <v>35125</v>
      </c>
      <c r="G16" s="49">
        <v>14</v>
      </c>
      <c r="H16" s="49" t="s">
        <v>19</v>
      </c>
      <c r="I16" s="51">
        <v>3950</v>
      </c>
      <c r="J16" s="49">
        <v>1</v>
      </c>
      <c r="K16" s="51">
        <f t="shared" si="1"/>
        <v>3950</v>
      </c>
      <c r="L16" s="49" t="str">
        <f t="shared" ca="1" si="2"/>
        <v>报废</v>
      </c>
      <c r="M16" s="52">
        <v>0.05</v>
      </c>
      <c r="N16" s="53">
        <f t="shared" si="0"/>
        <v>197.5</v>
      </c>
      <c r="O16" s="54">
        <f t="shared" ca="1" si="3"/>
        <v>205</v>
      </c>
      <c r="P16" s="54">
        <f t="shared" ca="1" si="4"/>
        <v>0</v>
      </c>
      <c r="Q16" s="55" t="s">
        <v>119</v>
      </c>
    </row>
    <row r="17" spans="1:17">
      <c r="A17" s="48">
        <v>14</v>
      </c>
      <c r="B17" s="49" t="s">
        <v>64</v>
      </c>
      <c r="C17" s="49" t="s">
        <v>56</v>
      </c>
      <c r="D17" s="49" t="s">
        <v>66</v>
      </c>
      <c r="E17" s="49" t="s">
        <v>27</v>
      </c>
      <c r="F17" s="50">
        <v>35370</v>
      </c>
      <c r="G17" s="49">
        <v>14</v>
      </c>
      <c r="H17" s="49" t="s">
        <v>19</v>
      </c>
      <c r="I17" s="51">
        <v>21920</v>
      </c>
      <c r="J17" s="49">
        <v>1</v>
      </c>
      <c r="K17" s="51">
        <f t="shared" si="1"/>
        <v>21920</v>
      </c>
      <c r="L17" s="49" t="str">
        <f t="shared" ca="1" si="2"/>
        <v>报废</v>
      </c>
      <c r="M17" s="52">
        <v>0.05</v>
      </c>
      <c r="N17" s="53">
        <f t="shared" si="0"/>
        <v>1096</v>
      </c>
      <c r="O17" s="54">
        <f t="shared" ca="1" si="3"/>
        <v>197</v>
      </c>
      <c r="P17" s="54">
        <f t="shared" ca="1" si="4"/>
        <v>0</v>
      </c>
      <c r="Q17" s="55" t="s">
        <v>119</v>
      </c>
    </row>
    <row r="18" spans="1:17">
      <c r="A18" s="48">
        <v>15</v>
      </c>
      <c r="B18" s="49" t="s">
        <v>64</v>
      </c>
      <c r="C18" s="49" t="s">
        <v>56</v>
      </c>
      <c r="D18" s="49" t="s">
        <v>67</v>
      </c>
      <c r="E18" s="49" t="s">
        <v>28</v>
      </c>
      <c r="F18" s="50">
        <v>35887</v>
      </c>
      <c r="G18" s="49">
        <v>14</v>
      </c>
      <c r="H18" s="49" t="s">
        <v>19</v>
      </c>
      <c r="I18" s="51">
        <v>10130</v>
      </c>
      <c r="J18" s="49">
        <v>1</v>
      </c>
      <c r="K18" s="51">
        <f t="shared" si="1"/>
        <v>10130</v>
      </c>
      <c r="L18" s="49" t="str">
        <f t="shared" ca="1" si="2"/>
        <v>报废</v>
      </c>
      <c r="M18" s="52">
        <v>0.05</v>
      </c>
      <c r="N18" s="53">
        <f t="shared" si="0"/>
        <v>506.5</v>
      </c>
      <c r="O18" s="54">
        <f t="shared" ca="1" si="3"/>
        <v>180</v>
      </c>
      <c r="P18" s="54">
        <f t="shared" ca="1" si="4"/>
        <v>0</v>
      </c>
      <c r="Q18" s="55" t="s">
        <v>119</v>
      </c>
    </row>
    <row r="19" spans="1:17">
      <c r="A19" s="48">
        <v>16</v>
      </c>
      <c r="B19" s="49" t="s">
        <v>64</v>
      </c>
      <c r="C19" s="49" t="s">
        <v>21</v>
      </c>
      <c r="D19" s="49" t="s">
        <v>68</v>
      </c>
      <c r="E19" s="49"/>
      <c r="F19" s="50">
        <v>38231</v>
      </c>
      <c r="G19" s="49">
        <v>5</v>
      </c>
      <c r="H19" s="49" t="s">
        <v>19</v>
      </c>
      <c r="I19" s="51">
        <v>8236</v>
      </c>
      <c r="J19" s="49">
        <v>2</v>
      </c>
      <c r="K19" s="51">
        <f t="shared" si="1"/>
        <v>16472</v>
      </c>
      <c r="L19" s="49" t="str">
        <f t="shared" ca="1" si="2"/>
        <v>报废</v>
      </c>
      <c r="M19" s="52">
        <v>0.05</v>
      </c>
      <c r="N19" s="53">
        <f t="shared" si="0"/>
        <v>823.6</v>
      </c>
      <c r="O19" s="54">
        <f t="shared" ref="O19:O45" ca="1" si="5">IF(A19="","",IF(L19="当月新增",0,(YEAR($C$2)-YEAR(F19))*12+MONTH($C$2)-MONTH(F19)-1))</f>
        <v>103</v>
      </c>
      <c r="P19" s="54">
        <f t="shared" ca="1" si="4"/>
        <v>0</v>
      </c>
      <c r="Q19" s="55" t="s">
        <v>120</v>
      </c>
    </row>
    <row r="20" spans="1:17">
      <c r="A20" s="48">
        <v>17</v>
      </c>
      <c r="B20" s="49" t="s">
        <v>64</v>
      </c>
      <c r="C20" s="49" t="s">
        <v>21</v>
      </c>
      <c r="D20" s="49" t="s">
        <v>69</v>
      </c>
      <c r="E20" s="49" t="s">
        <v>29</v>
      </c>
      <c r="F20" s="50">
        <v>39174</v>
      </c>
      <c r="G20" s="49">
        <v>5</v>
      </c>
      <c r="H20" s="49" t="s">
        <v>23</v>
      </c>
      <c r="I20" s="51">
        <v>6000</v>
      </c>
      <c r="J20" s="49">
        <v>2</v>
      </c>
      <c r="K20" s="51">
        <f t="shared" si="1"/>
        <v>12000</v>
      </c>
      <c r="L20" s="49" t="str">
        <f t="shared" ca="1" si="2"/>
        <v>报废</v>
      </c>
      <c r="M20" s="52">
        <v>0.05</v>
      </c>
      <c r="N20" s="53">
        <f t="shared" si="0"/>
        <v>600</v>
      </c>
      <c r="O20" s="54">
        <f t="shared" ca="1" si="5"/>
        <v>72</v>
      </c>
      <c r="P20" s="54">
        <f t="shared" ca="1" si="4"/>
        <v>0</v>
      </c>
      <c r="Q20" s="55" t="s">
        <v>120</v>
      </c>
    </row>
    <row r="21" spans="1:17">
      <c r="A21" s="48">
        <v>18</v>
      </c>
      <c r="B21" s="49" t="s">
        <v>64</v>
      </c>
      <c r="C21" s="49" t="s">
        <v>21</v>
      </c>
      <c r="D21" s="49" t="s">
        <v>70</v>
      </c>
      <c r="E21" s="49" t="s">
        <v>30</v>
      </c>
      <c r="F21" s="50">
        <v>39174</v>
      </c>
      <c r="G21" s="49">
        <v>5</v>
      </c>
      <c r="H21" s="49" t="s">
        <v>23</v>
      </c>
      <c r="I21" s="51">
        <v>4400</v>
      </c>
      <c r="J21" s="49">
        <v>2</v>
      </c>
      <c r="K21" s="51">
        <f t="shared" si="1"/>
        <v>8800</v>
      </c>
      <c r="L21" s="49" t="str">
        <f t="shared" ref="L21:L45" ca="1" si="6">IF(AND(YEAR($C$2)=YEAR(F21),MONTH($C$2)=MONTH(F21)),"当月新增",IF((DAYS360(F21,$C$2))/365&lt;=G21,"正常使用","报废"))</f>
        <v>报废</v>
      </c>
      <c r="M21" s="52">
        <v>0.05</v>
      </c>
      <c r="N21" s="53">
        <f t="shared" si="0"/>
        <v>440</v>
      </c>
      <c r="O21" s="54">
        <f t="shared" ca="1" si="5"/>
        <v>72</v>
      </c>
      <c r="P21" s="54">
        <f t="shared" ca="1" si="4"/>
        <v>0</v>
      </c>
      <c r="Q21" s="55" t="s">
        <v>120</v>
      </c>
    </row>
    <row r="22" spans="1:17">
      <c r="A22" s="48">
        <v>19</v>
      </c>
      <c r="B22" s="49" t="s">
        <v>71</v>
      </c>
      <c r="C22" s="49" t="s">
        <v>15</v>
      </c>
      <c r="D22" s="49" t="s">
        <v>31</v>
      </c>
      <c r="E22" s="49"/>
      <c r="F22" s="50">
        <v>35431</v>
      </c>
      <c r="G22" s="49">
        <v>40</v>
      </c>
      <c r="H22" s="49"/>
      <c r="I22" s="51">
        <v>125000</v>
      </c>
      <c r="J22" s="49">
        <v>1</v>
      </c>
      <c r="K22" s="51">
        <f t="shared" si="1"/>
        <v>125000</v>
      </c>
      <c r="L22" s="49" t="str">
        <f t="shared" ca="1" si="6"/>
        <v>正常使用</v>
      </c>
      <c r="M22" s="52">
        <v>0.2</v>
      </c>
      <c r="N22" s="53">
        <f t="shared" si="0"/>
        <v>25000</v>
      </c>
      <c r="O22" s="54">
        <f t="shared" ca="1" si="5"/>
        <v>195</v>
      </c>
      <c r="P22" s="54">
        <f t="shared" ca="1" si="4"/>
        <v>12</v>
      </c>
      <c r="Q22" s="55" t="s">
        <v>120</v>
      </c>
    </row>
    <row r="23" spans="1:17">
      <c r="A23" s="48">
        <v>20</v>
      </c>
      <c r="B23" s="49" t="s">
        <v>71</v>
      </c>
      <c r="C23" s="49" t="s">
        <v>15</v>
      </c>
      <c r="D23" s="49" t="s">
        <v>93</v>
      </c>
      <c r="E23" s="49"/>
      <c r="F23" s="50">
        <v>35978</v>
      </c>
      <c r="G23" s="49">
        <v>40</v>
      </c>
      <c r="H23" s="49"/>
      <c r="I23" s="51">
        <v>13432</v>
      </c>
      <c r="J23" s="49">
        <v>1</v>
      </c>
      <c r="K23" s="51">
        <f t="shared" si="1"/>
        <v>13432</v>
      </c>
      <c r="L23" s="49" t="str">
        <f t="shared" ca="1" si="6"/>
        <v>正常使用</v>
      </c>
      <c r="M23" s="52">
        <v>0.2</v>
      </c>
      <c r="N23" s="53">
        <f t="shared" si="0"/>
        <v>2686.4</v>
      </c>
      <c r="O23" s="54">
        <f t="shared" ca="1" si="5"/>
        <v>177</v>
      </c>
      <c r="P23" s="54">
        <f t="shared" ca="1" si="4"/>
        <v>12</v>
      </c>
      <c r="Q23" s="55" t="s">
        <v>120</v>
      </c>
    </row>
    <row r="24" spans="1:17">
      <c r="A24" s="48">
        <v>21</v>
      </c>
      <c r="B24" s="49" t="s">
        <v>71</v>
      </c>
      <c r="C24" s="49" t="s">
        <v>15</v>
      </c>
      <c r="D24" s="49" t="s">
        <v>72</v>
      </c>
      <c r="E24" s="49"/>
      <c r="F24" s="50">
        <v>35796</v>
      </c>
      <c r="G24" s="49">
        <v>40</v>
      </c>
      <c r="H24" s="49"/>
      <c r="I24" s="51">
        <v>43408</v>
      </c>
      <c r="J24" s="49">
        <v>1</v>
      </c>
      <c r="K24" s="51">
        <f t="shared" si="1"/>
        <v>43408</v>
      </c>
      <c r="L24" s="49" t="str">
        <f t="shared" ca="1" si="6"/>
        <v>正常使用</v>
      </c>
      <c r="M24" s="52">
        <v>0.2</v>
      </c>
      <c r="N24" s="53">
        <f t="shared" si="0"/>
        <v>8681.6</v>
      </c>
      <c r="O24" s="54">
        <f t="shared" ca="1" si="5"/>
        <v>183</v>
      </c>
      <c r="P24" s="54">
        <f t="shared" ca="1" si="4"/>
        <v>12</v>
      </c>
      <c r="Q24" s="55" t="s">
        <v>121</v>
      </c>
    </row>
    <row r="25" spans="1:17">
      <c r="A25" s="48">
        <v>22</v>
      </c>
      <c r="B25" s="49" t="s">
        <v>71</v>
      </c>
      <c r="C25" s="49" t="s">
        <v>56</v>
      </c>
      <c r="D25" s="49" t="s">
        <v>73</v>
      </c>
      <c r="E25" s="49"/>
      <c r="F25" s="50">
        <v>35432</v>
      </c>
      <c r="G25" s="49">
        <v>14</v>
      </c>
      <c r="H25" s="49" t="s">
        <v>74</v>
      </c>
      <c r="I25" s="51">
        <v>3080</v>
      </c>
      <c r="J25" s="49">
        <v>1</v>
      </c>
      <c r="K25" s="51">
        <f t="shared" si="1"/>
        <v>3080</v>
      </c>
      <c r="L25" s="49" t="str">
        <f t="shared" ca="1" si="6"/>
        <v>报废</v>
      </c>
      <c r="M25" s="52">
        <v>0.05</v>
      </c>
      <c r="N25" s="53">
        <f t="shared" si="0"/>
        <v>154</v>
      </c>
      <c r="O25" s="54">
        <f t="shared" ca="1" si="5"/>
        <v>195</v>
      </c>
      <c r="P25" s="54">
        <f t="shared" ca="1" si="4"/>
        <v>0</v>
      </c>
      <c r="Q25" s="55" t="s">
        <v>121</v>
      </c>
    </row>
    <row r="26" spans="1:17">
      <c r="A26" s="48">
        <v>23</v>
      </c>
      <c r="B26" s="49" t="s">
        <v>71</v>
      </c>
      <c r="C26" s="49" t="s">
        <v>56</v>
      </c>
      <c r="D26" s="49" t="s">
        <v>75</v>
      </c>
      <c r="E26" s="49"/>
      <c r="F26" s="50">
        <v>41061</v>
      </c>
      <c r="G26" s="49">
        <v>14</v>
      </c>
      <c r="H26" s="49" t="s">
        <v>74</v>
      </c>
      <c r="I26" s="49">
        <v>25576</v>
      </c>
      <c r="J26" s="49">
        <v>10</v>
      </c>
      <c r="K26" s="51">
        <f t="shared" si="1"/>
        <v>255760</v>
      </c>
      <c r="L26" s="49" t="str">
        <f t="shared" ca="1" si="6"/>
        <v>正常使用</v>
      </c>
      <c r="M26" s="52">
        <v>0.05</v>
      </c>
      <c r="N26" s="53">
        <f t="shared" si="0"/>
        <v>12788</v>
      </c>
      <c r="O26" s="54">
        <f t="shared" ca="1" si="5"/>
        <v>10</v>
      </c>
      <c r="P26" s="54">
        <f t="shared" ca="1" si="4"/>
        <v>12</v>
      </c>
      <c r="Q26" s="55" t="s">
        <v>121</v>
      </c>
    </row>
    <row r="27" spans="1:17">
      <c r="A27" s="48">
        <v>24</v>
      </c>
      <c r="B27" s="49" t="s">
        <v>71</v>
      </c>
      <c r="C27" s="49" t="s">
        <v>56</v>
      </c>
      <c r="D27" s="49" t="s">
        <v>76</v>
      </c>
      <c r="E27" s="49" t="s">
        <v>32</v>
      </c>
      <c r="F27" s="50">
        <v>35796</v>
      </c>
      <c r="G27" s="49">
        <v>14</v>
      </c>
      <c r="H27" s="49"/>
      <c r="I27" s="51">
        <v>2472</v>
      </c>
      <c r="J27" s="49">
        <v>2</v>
      </c>
      <c r="K27" s="51">
        <f t="shared" si="1"/>
        <v>4944</v>
      </c>
      <c r="L27" s="49" t="str">
        <f t="shared" ca="1" si="6"/>
        <v>报废</v>
      </c>
      <c r="M27" s="52">
        <v>0.05</v>
      </c>
      <c r="N27" s="53">
        <f t="shared" si="0"/>
        <v>247.20000000000002</v>
      </c>
      <c r="O27" s="54">
        <f t="shared" ca="1" si="5"/>
        <v>183</v>
      </c>
      <c r="P27" s="54">
        <f t="shared" ca="1" si="4"/>
        <v>0</v>
      </c>
      <c r="Q27" s="55" t="s">
        <v>118</v>
      </c>
    </row>
    <row r="28" spans="1:17">
      <c r="A28" s="48">
        <v>25</v>
      </c>
      <c r="B28" s="49" t="s">
        <v>71</v>
      </c>
      <c r="C28" s="49" t="s">
        <v>56</v>
      </c>
      <c r="D28" s="49" t="s">
        <v>77</v>
      </c>
      <c r="E28" s="49" t="s">
        <v>33</v>
      </c>
      <c r="F28" s="50">
        <v>35796</v>
      </c>
      <c r="G28" s="49">
        <v>14</v>
      </c>
      <c r="H28" s="49" t="s">
        <v>19</v>
      </c>
      <c r="I28" s="51">
        <v>2704</v>
      </c>
      <c r="J28" s="49">
        <v>1</v>
      </c>
      <c r="K28" s="51">
        <f t="shared" si="1"/>
        <v>2704</v>
      </c>
      <c r="L28" s="49" t="str">
        <f t="shared" ca="1" si="6"/>
        <v>报废</v>
      </c>
      <c r="M28" s="52">
        <v>0.05</v>
      </c>
      <c r="N28" s="53">
        <f t="shared" si="0"/>
        <v>135.20000000000002</v>
      </c>
      <c r="O28" s="54">
        <f t="shared" ca="1" si="5"/>
        <v>183</v>
      </c>
      <c r="P28" s="54">
        <f t="shared" ca="1" si="4"/>
        <v>0</v>
      </c>
      <c r="Q28" s="55" t="s">
        <v>119</v>
      </c>
    </row>
    <row r="29" spans="1:17">
      <c r="A29" s="48">
        <v>26</v>
      </c>
      <c r="B29" s="49" t="s">
        <v>78</v>
      </c>
      <c r="C29" s="49" t="s">
        <v>15</v>
      </c>
      <c r="D29" s="49" t="s">
        <v>34</v>
      </c>
      <c r="E29" s="49"/>
      <c r="F29" s="50">
        <v>38353</v>
      </c>
      <c r="G29" s="49">
        <v>40</v>
      </c>
      <c r="H29" s="49"/>
      <c r="I29" s="51">
        <v>1219100</v>
      </c>
      <c r="J29" s="49">
        <v>1</v>
      </c>
      <c r="K29" s="51">
        <f t="shared" si="1"/>
        <v>1219100</v>
      </c>
      <c r="L29" s="49" t="str">
        <f t="shared" ca="1" si="6"/>
        <v>正常使用</v>
      </c>
      <c r="M29" s="52">
        <v>0.2</v>
      </c>
      <c r="N29" s="53">
        <f t="shared" si="0"/>
        <v>243820</v>
      </c>
      <c r="O29" s="54">
        <f t="shared" ca="1" si="5"/>
        <v>99</v>
      </c>
      <c r="P29" s="54">
        <f t="shared" ca="1" si="4"/>
        <v>12</v>
      </c>
      <c r="Q29" s="55" t="s">
        <v>120</v>
      </c>
    </row>
    <row r="30" spans="1:17">
      <c r="A30" s="48">
        <v>27</v>
      </c>
      <c r="B30" s="49" t="s">
        <v>78</v>
      </c>
      <c r="C30" s="49" t="s">
        <v>15</v>
      </c>
      <c r="D30" s="49" t="s">
        <v>79</v>
      </c>
      <c r="E30" s="49"/>
      <c r="F30" s="50">
        <v>38353</v>
      </c>
      <c r="G30" s="49">
        <v>40</v>
      </c>
      <c r="H30" s="49"/>
      <c r="I30" s="51">
        <v>1998900</v>
      </c>
      <c r="J30" s="49">
        <v>1</v>
      </c>
      <c r="K30" s="51">
        <f t="shared" si="1"/>
        <v>1998900</v>
      </c>
      <c r="L30" s="49" t="str">
        <f t="shared" ca="1" si="6"/>
        <v>正常使用</v>
      </c>
      <c r="M30" s="52">
        <v>0.2</v>
      </c>
      <c r="N30" s="53">
        <f t="shared" si="0"/>
        <v>399780</v>
      </c>
      <c r="O30" s="54">
        <f t="shared" ca="1" si="5"/>
        <v>99</v>
      </c>
      <c r="P30" s="54">
        <f t="shared" ca="1" si="4"/>
        <v>12</v>
      </c>
      <c r="Q30" s="55" t="s">
        <v>120</v>
      </c>
    </row>
    <row r="31" spans="1:17">
      <c r="A31" s="48">
        <v>28</v>
      </c>
      <c r="B31" s="49" t="s">
        <v>78</v>
      </c>
      <c r="C31" s="49" t="s">
        <v>15</v>
      </c>
      <c r="D31" s="49" t="s">
        <v>80</v>
      </c>
      <c r="E31" s="49"/>
      <c r="F31" s="50">
        <v>38353</v>
      </c>
      <c r="G31" s="49">
        <v>40</v>
      </c>
      <c r="H31" s="49"/>
      <c r="I31" s="51">
        <v>196400</v>
      </c>
      <c r="J31" s="49">
        <v>1</v>
      </c>
      <c r="K31" s="51">
        <f t="shared" si="1"/>
        <v>196400</v>
      </c>
      <c r="L31" s="49" t="str">
        <f t="shared" ca="1" si="6"/>
        <v>正常使用</v>
      </c>
      <c r="M31" s="52">
        <v>0.2</v>
      </c>
      <c r="N31" s="53">
        <f t="shared" si="0"/>
        <v>39280</v>
      </c>
      <c r="O31" s="54">
        <f t="shared" ca="1" si="5"/>
        <v>99</v>
      </c>
      <c r="P31" s="54">
        <f t="shared" ca="1" si="4"/>
        <v>12</v>
      </c>
      <c r="Q31" s="55" t="s">
        <v>120</v>
      </c>
    </row>
    <row r="32" spans="1:17" ht="15.75" customHeight="1">
      <c r="A32" s="48">
        <v>29</v>
      </c>
      <c r="B32" s="49" t="s">
        <v>78</v>
      </c>
      <c r="C32" s="49" t="s">
        <v>56</v>
      </c>
      <c r="D32" s="49" t="s">
        <v>81</v>
      </c>
      <c r="E32" s="49" t="s">
        <v>35</v>
      </c>
      <c r="F32" s="50">
        <v>38535</v>
      </c>
      <c r="G32" s="49">
        <v>14</v>
      </c>
      <c r="H32" s="49" t="s">
        <v>19</v>
      </c>
      <c r="I32" s="51">
        <v>2020</v>
      </c>
      <c r="J32" s="49">
        <v>5</v>
      </c>
      <c r="K32" s="51">
        <f t="shared" si="1"/>
        <v>10100</v>
      </c>
      <c r="L32" s="49" t="str">
        <f t="shared" ca="1" si="6"/>
        <v>正常使用</v>
      </c>
      <c r="M32" s="52">
        <v>0.05</v>
      </c>
      <c r="N32" s="53">
        <f t="shared" si="0"/>
        <v>505</v>
      </c>
      <c r="O32" s="54">
        <f t="shared" ca="1" si="5"/>
        <v>93</v>
      </c>
      <c r="P32" s="54">
        <f t="shared" ca="1" si="4"/>
        <v>12</v>
      </c>
      <c r="Q32" s="55" t="s">
        <v>121</v>
      </c>
    </row>
    <row r="33" spans="1:17" ht="14.25" customHeight="1">
      <c r="A33" s="48">
        <v>30</v>
      </c>
      <c r="B33" s="49" t="s">
        <v>78</v>
      </c>
      <c r="C33" s="49" t="s">
        <v>56</v>
      </c>
      <c r="D33" s="49" t="s">
        <v>82</v>
      </c>
      <c r="E33" s="49" t="s">
        <v>36</v>
      </c>
      <c r="F33" s="50">
        <v>38535</v>
      </c>
      <c r="G33" s="49">
        <v>14</v>
      </c>
      <c r="H33" s="49" t="s">
        <v>37</v>
      </c>
      <c r="I33" s="51">
        <v>10700</v>
      </c>
      <c r="J33" s="49">
        <v>1</v>
      </c>
      <c r="K33" s="51">
        <f t="shared" si="1"/>
        <v>10700</v>
      </c>
      <c r="L33" s="49" t="str">
        <f t="shared" ca="1" si="6"/>
        <v>正常使用</v>
      </c>
      <c r="M33" s="52">
        <v>0.05</v>
      </c>
      <c r="N33" s="53">
        <f t="shared" si="0"/>
        <v>535</v>
      </c>
      <c r="O33" s="54">
        <f t="shared" ca="1" si="5"/>
        <v>93</v>
      </c>
      <c r="P33" s="54">
        <f t="shared" ref="P33:P37" ca="1" si="7">IF(L33="报废",0,IF(AND(YEAR(F33)&lt;YEAR($C$2),YEAR($C$2)&lt;(YEAR(F33)+G33)),12,12-MONTH(F33)))</f>
        <v>12</v>
      </c>
      <c r="Q33" s="55" t="s">
        <v>121</v>
      </c>
    </row>
    <row r="34" spans="1:17" ht="15" customHeight="1">
      <c r="A34" s="48">
        <v>31</v>
      </c>
      <c r="B34" s="49" t="s">
        <v>78</v>
      </c>
      <c r="C34" s="49" t="s">
        <v>56</v>
      </c>
      <c r="D34" s="49" t="s">
        <v>83</v>
      </c>
      <c r="E34" s="49" t="s">
        <v>38</v>
      </c>
      <c r="F34" s="50">
        <v>38535</v>
      </c>
      <c r="G34" s="49">
        <v>14</v>
      </c>
      <c r="H34" s="49" t="s">
        <v>19</v>
      </c>
      <c r="I34" s="51">
        <v>4670</v>
      </c>
      <c r="J34" s="49">
        <v>1</v>
      </c>
      <c r="K34" s="51">
        <f t="shared" si="1"/>
        <v>4670</v>
      </c>
      <c r="L34" s="49" t="str">
        <f t="shared" ca="1" si="6"/>
        <v>正常使用</v>
      </c>
      <c r="M34" s="52">
        <v>0.05</v>
      </c>
      <c r="N34" s="53">
        <f t="shared" si="0"/>
        <v>233.5</v>
      </c>
      <c r="O34" s="54">
        <f t="shared" ca="1" si="5"/>
        <v>93</v>
      </c>
      <c r="P34" s="54">
        <f t="shared" ca="1" si="7"/>
        <v>12</v>
      </c>
      <c r="Q34" s="55" t="s">
        <v>121</v>
      </c>
    </row>
    <row r="35" spans="1:17" ht="15" customHeight="1">
      <c r="A35" s="48">
        <v>32</v>
      </c>
      <c r="B35" s="49" t="s">
        <v>78</v>
      </c>
      <c r="C35" s="49" t="s">
        <v>56</v>
      </c>
      <c r="D35" s="49" t="s">
        <v>83</v>
      </c>
      <c r="E35" s="49" t="s">
        <v>39</v>
      </c>
      <c r="F35" s="50">
        <v>38535</v>
      </c>
      <c r="G35" s="49">
        <v>14</v>
      </c>
      <c r="H35" s="49" t="s">
        <v>19</v>
      </c>
      <c r="I35" s="51">
        <v>4670</v>
      </c>
      <c r="J35" s="49">
        <v>1</v>
      </c>
      <c r="K35" s="51">
        <f t="shared" si="1"/>
        <v>4670</v>
      </c>
      <c r="L35" s="49" t="str">
        <f t="shared" ca="1" si="6"/>
        <v>正常使用</v>
      </c>
      <c r="M35" s="52">
        <v>0.05</v>
      </c>
      <c r="N35" s="53">
        <f t="shared" si="0"/>
        <v>233.5</v>
      </c>
      <c r="O35" s="54">
        <f t="shared" ca="1" si="5"/>
        <v>93</v>
      </c>
      <c r="P35" s="54">
        <f t="shared" ca="1" si="7"/>
        <v>12</v>
      </c>
      <c r="Q35" s="55" t="s">
        <v>119</v>
      </c>
    </row>
    <row r="36" spans="1:17" ht="15" customHeight="1">
      <c r="A36" s="48">
        <v>33</v>
      </c>
      <c r="B36" s="49" t="s">
        <v>78</v>
      </c>
      <c r="C36" s="49" t="s">
        <v>56</v>
      </c>
      <c r="D36" s="49" t="s">
        <v>83</v>
      </c>
      <c r="E36" s="49" t="s">
        <v>40</v>
      </c>
      <c r="F36" s="50">
        <v>38535</v>
      </c>
      <c r="G36" s="49">
        <v>14</v>
      </c>
      <c r="H36" s="49" t="s">
        <v>19</v>
      </c>
      <c r="I36" s="51">
        <v>4670</v>
      </c>
      <c r="J36" s="49">
        <v>1</v>
      </c>
      <c r="K36" s="51">
        <f t="shared" si="1"/>
        <v>4670</v>
      </c>
      <c r="L36" s="49" t="str">
        <f t="shared" ca="1" si="6"/>
        <v>正常使用</v>
      </c>
      <c r="M36" s="52">
        <v>0.05</v>
      </c>
      <c r="N36" s="53">
        <f t="shared" si="0"/>
        <v>233.5</v>
      </c>
      <c r="O36" s="54">
        <f t="shared" ca="1" si="5"/>
        <v>93</v>
      </c>
      <c r="P36" s="54">
        <f t="shared" ca="1" si="7"/>
        <v>12</v>
      </c>
      <c r="Q36" s="55" t="s">
        <v>119</v>
      </c>
    </row>
    <row r="37" spans="1:17" ht="15" customHeight="1">
      <c r="A37" s="48">
        <v>34</v>
      </c>
      <c r="B37" s="49" t="s">
        <v>78</v>
      </c>
      <c r="C37" s="49" t="s">
        <v>21</v>
      </c>
      <c r="D37" s="49" t="s">
        <v>41</v>
      </c>
      <c r="E37" s="49">
        <v>4230</v>
      </c>
      <c r="F37" s="50">
        <v>38353</v>
      </c>
      <c r="G37" s="49">
        <v>5</v>
      </c>
      <c r="H37" s="49" t="s">
        <v>19</v>
      </c>
      <c r="I37" s="51">
        <v>13920</v>
      </c>
      <c r="J37" s="49">
        <v>2</v>
      </c>
      <c r="K37" s="51">
        <f t="shared" si="1"/>
        <v>27840</v>
      </c>
      <c r="L37" s="49" t="str">
        <f t="shared" ca="1" si="6"/>
        <v>报废</v>
      </c>
      <c r="M37" s="52">
        <v>0.05</v>
      </c>
      <c r="N37" s="53">
        <f t="shared" si="0"/>
        <v>1392</v>
      </c>
      <c r="O37" s="54">
        <f t="shared" ca="1" si="5"/>
        <v>99</v>
      </c>
      <c r="P37" s="54">
        <f t="shared" ca="1" si="7"/>
        <v>0</v>
      </c>
      <c r="Q37" s="55" t="s">
        <v>119</v>
      </c>
    </row>
    <row r="38" spans="1:17" ht="15" customHeight="1">
      <c r="A38" s="48">
        <v>35</v>
      </c>
      <c r="B38" s="49" t="s">
        <v>78</v>
      </c>
      <c r="C38" s="49" t="s">
        <v>21</v>
      </c>
      <c r="D38" s="49" t="s">
        <v>84</v>
      </c>
      <c r="E38" s="49" t="s">
        <v>42</v>
      </c>
      <c r="F38" s="50">
        <v>38353</v>
      </c>
      <c r="G38" s="49">
        <v>4</v>
      </c>
      <c r="H38" s="49" t="s">
        <v>19</v>
      </c>
      <c r="I38" s="51">
        <v>30220</v>
      </c>
      <c r="J38" s="49">
        <v>2</v>
      </c>
      <c r="K38" s="51">
        <f t="shared" si="1"/>
        <v>60440</v>
      </c>
      <c r="L38" s="49" t="str">
        <f t="shared" ca="1" si="6"/>
        <v>报废</v>
      </c>
      <c r="M38" s="52">
        <v>0.05</v>
      </c>
      <c r="N38" s="53">
        <f t="shared" si="0"/>
        <v>3022</v>
      </c>
      <c r="O38" s="54">
        <f t="shared" ca="1" si="5"/>
        <v>99</v>
      </c>
      <c r="P38" s="54">
        <f t="shared" ref="P38:P45" ca="1" si="8">IF(L38="报废",0,IF(AND(YEAR(F38)&lt;YEAR($C$2),YEAR($C$2)&lt;(YEAR(F38)+G38)),12,12-MONTH(F38)))</f>
        <v>0</v>
      </c>
      <c r="Q38" s="55" t="s">
        <v>119</v>
      </c>
    </row>
    <row r="39" spans="1:17" ht="15" customHeight="1">
      <c r="A39" s="48">
        <v>36</v>
      </c>
      <c r="B39" s="49" t="s">
        <v>78</v>
      </c>
      <c r="C39" s="49" t="s">
        <v>21</v>
      </c>
      <c r="D39" s="49" t="s">
        <v>85</v>
      </c>
      <c r="E39" s="49"/>
      <c r="F39" s="50">
        <v>38353</v>
      </c>
      <c r="G39" s="49">
        <v>4</v>
      </c>
      <c r="H39" s="49" t="s">
        <v>19</v>
      </c>
      <c r="I39" s="51">
        <v>570</v>
      </c>
      <c r="J39" s="49">
        <v>1</v>
      </c>
      <c r="K39" s="51">
        <f t="shared" si="1"/>
        <v>570</v>
      </c>
      <c r="L39" s="49" t="str">
        <f t="shared" ca="1" si="6"/>
        <v>报废</v>
      </c>
      <c r="M39" s="52">
        <v>0.05</v>
      </c>
      <c r="N39" s="53">
        <f t="shared" si="0"/>
        <v>28.5</v>
      </c>
      <c r="O39" s="54">
        <f t="shared" ca="1" si="5"/>
        <v>99</v>
      </c>
      <c r="P39" s="54">
        <f t="shared" ca="1" si="8"/>
        <v>0</v>
      </c>
      <c r="Q39" s="55" t="s">
        <v>118</v>
      </c>
    </row>
    <row r="40" spans="1:17" ht="15" customHeight="1">
      <c r="A40" s="48">
        <v>37</v>
      </c>
      <c r="B40" s="49" t="s">
        <v>86</v>
      </c>
      <c r="C40" s="49" t="s">
        <v>56</v>
      </c>
      <c r="D40" s="49" t="s">
        <v>87</v>
      </c>
      <c r="E40" s="49"/>
      <c r="F40" s="50">
        <v>39053</v>
      </c>
      <c r="G40" s="49">
        <v>14</v>
      </c>
      <c r="H40" s="49" t="s">
        <v>19</v>
      </c>
      <c r="I40" s="51">
        <v>90000</v>
      </c>
      <c r="J40" s="49">
        <v>1</v>
      </c>
      <c r="K40" s="51">
        <f>I40*J40</f>
        <v>90000</v>
      </c>
      <c r="L40" s="49" t="str">
        <f t="shared" ca="1" si="6"/>
        <v>正常使用</v>
      </c>
      <c r="M40" s="52">
        <v>0.05</v>
      </c>
      <c r="N40" s="53">
        <f t="shared" si="0"/>
        <v>4500</v>
      </c>
      <c r="O40" s="54">
        <f t="shared" ca="1" si="5"/>
        <v>76</v>
      </c>
      <c r="P40" s="54">
        <f t="shared" ca="1" si="8"/>
        <v>12</v>
      </c>
      <c r="Q40" s="55" t="s">
        <v>121</v>
      </c>
    </row>
    <row r="41" spans="1:17" ht="15" customHeight="1">
      <c r="A41" s="48">
        <v>38</v>
      </c>
      <c r="B41" s="49" t="s">
        <v>86</v>
      </c>
      <c r="C41" s="49" t="s">
        <v>56</v>
      </c>
      <c r="D41" s="49" t="s">
        <v>88</v>
      </c>
      <c r="E41" s="49"/>
      <c r="F41" s="50">
        <v>39053</v>
      </c>
      <c r="G41" s="49">
        <v>14</v>
      </c>
      <c r="H41" s="49" t="s">
        <v>19</v>
      </c>
      <c r="I41" s="51">
        <v>9000</v>
      </c>
      <c r="J41" s="49">
        <v>1</v>
      </c>
      <c r="K41" s="51">
        <f t="shared" si="1"/>
        <v>9000</v>
      </c>
      <c r="L41" s="49" t="str">
        <f t="shared" ca="1" si="6"/>
        <v>正常使用</v>
      </c>
      <c r="M41" s="52">
        <v>0.05</v>
      </c>
      <c r="N41" s="53">
        <f t="shared" si="0"/>
        <v>450</v>
      </c>
      <c r="O41" s="54">
        <f t="shared" ca="1" si="5"/>
        <v>76</v>
      </c>
      <c r="P41" s="54">
        <f t="shared" ca="1" si="8"/>
        <v>12</v>
      </c>
      <c r="Q41" s="55" t="s">
        <v>121</v>
      </c>
    </row>
    <row r="42" spans="1:17" ht="15" customHeight="1">
      <c r="A42" s="48">
        <v>39</v>
      </c>
      <c r="B42" s="49" t="s">
        <v>86</v>
      </c>
      <c r="C42" s="49" t="s">
        <v>56</v>
      </c>
      <c r="D42" s="49" t="s">
        <v>89</v>
      </c>
      <c r="E42" s="49"/>
      <c r="F42" s="50">
        <v>38718</v>
      </c>
      <c r="G42" s="49">
        <v>14</v>
      </c>
      <c r="H42" s="49"/>
      <c r="I42" s="51">
        <v>930000</v>
      </c>
      <c r="J42" s="49">
        <v>1</v>
      </c>
      <c r="K42" s="51">
        <f t="shared" si="1"/>
        <v>930000</v>
      </c>
      <c r="L42" s="49" t="str">
        <f t="shared" ca="1" si="6"/>
        <v>正常使用</v>
      </c>
      <c r="M42" s="52">
        <v>0.05</v>
      </c>
      <c r="N42" s="53">
        <f t="shared" si="0"/>
        <v>46500</v>
      </c>
      <c r="O42" s="54">
        <f t="shared" ca="1" si="5"/>
        <v>87</v>
      </c>
      <c r="P42" s="54">
        <f t="shared" ca="1" si="8"/>
        <v>12</v>
      </c>
      <c r="Q42" s="55" t="s">
        <v>121</v>
      </c>
    </row>
    <row r="43" spans="1:17" ht="15" customHeight="1">
      <c r="A43" s="48">
        <v>40</v>
      </c>
      <c r="B43" s="49" t="s">
        <v>86</v>
      </c>
      <c r="C43" s="49" t="s">
        <v>15</v>
      </c>
      <c r="D43" s="49" t="s">
        <v>90</v>
      </c>
      <c r="E43" s="49" t="s">
        <v>43</v>
      </c>
      <c r="F43" s="50">
        <v>35977</v>
      </c>
      <c r="G43" s="49">
        <v>40</v>
      </c>
      <c r="H43" s="49"/>
      <c r="I43" s="51">
        <v>61800</v>
      </c>
      <c r="J43" s="49">
        <v>1</v>
      </c>
      <c r="K43" s="51">
        <f t="shared" si="1"/>
        <v>61800</v>
      </c>
      <c r="L43" s="49" t="str">
        <f t="shared" ca="1" si="6"/>
        <v>正常使用</v>
      </c>
      <c r="M43" s="52">
        <v>0.2</v>
      </c>
      <c r="N43" s="53">
        <f t="shared" si="0"/>
        <v>12360</v>
      </c>
      <c r="O43" s="54">
        <f t="shared" ca="1" si="5"/>
        <v>177</v>
      </c>
      <c r="P43" s="54">
        <f t="shared" ca="1" si="8"/>
        <v>12</v>
      </c>
      <c r="Q43" s="55" t="s">
        <v>121</v>
      </c>
    </row>
    <row r="44" spans="1:17" ht="15" customHeight="1">
      <c r="A44" s="48">
        <v>41</v>
      </c>
      <c r="B44" s="49" t="s">
        <v>86</v>
      </c>
      <c r="C44" s="49" t="s">
        <v>15</v>
      </c>
      <c r="D44" s="49" t="s">
        <v>91</v>
      </c>
      <c r="E44" s="49" t="s">
        <v>44</v>
      </c>
      <c r="F44" s="50">
        <v>35977</v>
      </c>
      <c r="G44" s="49">
        <v>40</v>
      </c>
      <c r="H44" s="49"/>
      <c r="I44" s="51">
        <v>30000</v>
      </c>
      <c r="J44" s="49">
        <v>1</v>
      </c>
      <c r="K44" s="51">
        <f t="shared" si="1"/>
        <v>30000</v>
      </c>
      <c r="L44" s="49" t="str">
        <f t="shared" ca="1" si="6"/>
        <v>正常使用</v>
      </c>
      <c r="M44" s="52">
        <v>0.2</v>
      </c>
      <c r="N44" s="53">
        <f t="shared" si="0"/>
        <v>6000</v>
      </c>
      <c r="O44" s="54">
        <f t="shared" ca="1" si="5"/>
        <v>177</v>
      </c>
      <c r="P44" s="54">
        <f t="shared" ca="1" si="8"/>
        <v>12</v>
      </c>
      <c r="Q44" s="55" t="s">
        <v>119</v>
      </c>
    </row>
    <row r="45" spans="1:17" ht="15" customHeight="1">
      <c r="A45" s="48">
        <v>42</v>
      </c>
      <c r="B45" s="49" t="s">
        <v>86</v>
      </c>
      <c r="C45" s="49" t="s">
        <v>15</v>
      </c>
      <c r="D45" s="49" t="s">
        <v>92</v>
      </c>
      <c r="E45" s="49" t="s">
        <v>45</v>
      </c>
      <c r="F45" s="50">
        <v>35066</v>
      </c>
      <c r="G45" s="49">
        <v>40</v>
      </c>
      <c r="H45" s="49"/>
      <c r="I45" s="51">
        <v>130000</v>
      </c>
      <c r="J45" s="49">
        <v>1</v>
      </c>
      <c r="K45" s="51">
        <f t="shared" si="1"/>
        <v>130000</v>
      </c>
      <c r="L45" s="49" t="str">
        <f t="shared" ca="1" si="6"/>
        <v>正常使用</v>
      </c>
      <c r="M45" s="52">
        <v>0.2</v>
      </c>
      <c r="N45" s="53">
        <f t="shared" si="0"/>
        <v>26000</v>
      </c>
      <c r="O45" s="54">
        <f t="shared" ca="1" si="5"/>
        <v>207</v>
      </c>
      <c r="P45" s="54">
        <f t="shared" ca="1" si="8"/>
        <v>12</v>
      </c>
      <c r="Q45" s="55" t="s">
        <v>119</v>
      </c>
    </row>
    <row r="46" spans="1:17" ht="14.25" thickBot="1">
      <c r="A46" s="56"/>
      <c r="B46" s="57"/>
      <c r="C46" s="57"/>
      <c r="D46" s="57"/>
      <c r="E46" s="57"/>
      <c r="F46" s="58"/>
      <c r="G46" s="57"/>
      <c r="H46" s="57"/>
      <c r="I46" s="57"/>
      <c r="J46" s="57"/>
      <c r="K46" s="59"/>
      <c r="L46" s="57"/>
      <c r="M46" s="57"/>
      <c r="N46" s="59"/>
      <c r="O46" s="60"/>
      <c r="P46" s="60"/>
      <c r="Q46" s="61"/>
    </row>
    <row r="47" spans="1:1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52" spans="15:15">
      <c r="O52" s="1"/>
    </row>
  </sheetData>
  <autoFilter ref="A3:Q45"/>
  <mergeCells count="1">
    <mergeCell ref="A1:Q1"/>
  </mergeCells>
  <phoneticPr fontId="3" type="noConversion"/>
  <conditionalFormatting sqref="L4:L32">
    <cfRule type="cellIs" dxfId="2" priority="2" operator="equal">
      <formula>"报废"</formula>
    </cfRule>
  </conditionalFormatting>
  <conditionalFormatting sqref="L4:L37">
    <cfRule type="cellIs" dxfId="1" priority="1" operator="equal">
      <formula>"报废"</formula>
    </cfRule>
  </conditionalFormatting>
  <dataValidations count="3">
    <dataValidation type="list" allowBlank="1" showInputMessage="1" showErrorMessage="1" sqref="C4:C46">
      <formula1>"机器设备,房屋及建筑物,运输设备,其他"</formula1>
    </dataValidation>
    <dataValidation type="list" allowBlank="1" showInputMessage="1" showErrorMessage="1" sqref="B4:B46">
      <formula1>"管理部门,一车间,二车间,辅助车间,化验中心"</formula1>
    </dataValidation>
    <dataValidation type="list" allowBlank="1" showInputMessage="1" showErrorMessage="1" sqref="Q4:Q45">
      <formula1>"固定余额递减法,年限总和法,双倍余额递减法,直线法"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J26"/>
  <sheetViews>
    <sheetView workbookViewId="0">
      <selection activeCell="H11" sqref="H11:H26"/>
    </sheetView>
  </sheetViews>
  <sheetFormatPr defaultRowHeight="13.5"/>
  <cols>
    <col min="1" max="1" width="3.25" style="3" customWidth="1"/>
    <col min="2" max="2" width="12" style="3" customWidth="1"/>
    <col min="3" max="3" width="13.625" style="3" customWidth="1"/>
    <col min="4" max="4" width="13.875" style="3" customWidth="1"/>
    <col min="5" max="5" width="12.5" style="3" customWidth="1"/>
    <col min="6" max="6" width="8" style="3" bestFit="1" customWidth="1"/>
    <col min="7" max="7" width="12.625" style="3" customWidth="1"/>
    <col min="8" max="8" width="12.125" style="3" customWidth="1"/>
    <col min="9" max="9" width="9" style="3"/>
    <col min="10" max="10" width="13.875" style="3" bestFit="1" customWidth="1"/>
    <col min="11" max="16384" width="9" style="3"/>
  </cols>
  <sheetData>
    <row r="1" spans="2:10" ht="44.25" customHeight="1">
      <c r="B1" s="73" t="s">
        <v>139</v>
      </c>
      <c r="C1" s="73"/>
      <c r="D1" s="73"/>
      <c r="E1" s="73"/>
      <c r="F1" s="73"/>
      <c r="G1" s="73"/>
      <c r="H1" s="73"/>
    </row>
    <row r="3" spans="2:10">
      <c r="B3" s="66" t="s">
        <v>96</v>
      </c>
      <c r="C3" s="4">
        <f ca="1">TODAY()</f>
        <v>41397</v>
      </c>
      <c r="D3" s="66" t="s">
        <v>97</v>
      </c>
      <c r="E3" s="74">
        <f ca="1">VLOOKUP($C$4,固定资产清单!$A:$O,15,FALSE)</f>
        <v>147</v>
      </c>
      <c r="F3" s="75"/>
      <c r="G3" s="75"/>
      <c r="H3" s="76"/>
    </row>
    <row r="4" spans="2:10">
      <c r="B4" s="66" t="s">
        <v>114</v>
      </c>
      <c r="C4" s="69">
        <v>1</v>
      </c>
      <c r="D4" s="66" t="s">
        <v>98</v>
      </c>
      <c r="E4" s="74" t="str">
        <f>VLOOKUP($C$4,固定资产清单!$A:$O,4,FALSE)</f>
        <v>办公楼</v>
      </c>
      <c r="F4" s="75"/>
      <c r="G4" s="75"/>
      <c r="H4" s="76"/>
    </row>
    <row r="5" spans="2:10">
      <c r="B5" s="66" t="s">
        <v>115</v>
      </c>
      <c r="C5" s="5" t="str">
        <f>VLOOKUP($C$4,固定资产清单!$A:$O,3,FALSE)</f>
        <v>房屋及建筑物</v>
      </c>
      <c r="D5" s="66" t="s">
        <v>99</v>
      </c>
      <c r="E5" s="74" t="str">
        <f>VLOOKUP($C$4,固定资产清单!$A:$O,2,FALSE)</f>
        <v>管理部门</v>
      </c>
      <c r="F5" s="75"/>
      <c r="G5" s="75"/>
      <c r="H5" s="76"/>
    </row>
    <row r="6" spans="2:10">
      <c r="B6" s="66" t="s">
        <v>100</v>
      </c>
      <c r="C6" s="4">
        <f>VLOOKUP($C$4,固定资产清单!$A:$O,6,FALSE)</f>
        <v>36893</v>
      </c>
      <c r="D6" s="66" t="s">
        <v>101</v>
      </c>
      <c r="E6" s="6">
        <f>VLOOKUP($C$4,固定资产清单!$A:$O,7,FALSE)</f>
        <v>40</v>
      </c>
      <c r="F6" s="66" t="s">
        <v>102</v>
      </c>
      <c r="G6" s="77" t="str">
        <f ca="1">VLOOKUP($C$4,固定资产清单!$A:$O,12,FALSE)</f>
        <v>正常使用</v>
      </c>
      <c r="H6" s="78"/>
    </row>
    <row r="7" spans="2:10">
      <c r="B7" s="66" t="s">
        <v>103</v>
      </c>
      <c r="C7" s="9">
        <f>VLOOKUP($C$4,固定资产清单!$A:$O,11,FALSE)</f>
        <v>380000</v>
      </c>
      <c r="D7" s="66" t="s">
        <v>104</v>
      </c>
      <c r="E7" s="7">
        <f>VLOOKUP($C$4,固定资产清单!$A:$O,13,FALSE)</f>
        <v>0.2</v>
      </c>
      <c r="F7" s="66" t="s">
        <v>105</v>
      </c>
      <c r="G7" s="71">
        <f>VLOOKUP($C$4,固定资产清单!$A:$O,14,FALSE)</f>
        <v>76000</v>
      </c>
      <c r="H7" s="71"/>
    </row>
    <row r="8" spans="2:10" ht="20.25" customHeight="1">
      <c r="B8" s="72" t="s">
        <v>106</v>
      </c>
      <c r="C8" s="72"/>
      <c r="D8" s="72"/>
      <c r="E8" s="72"/>
      <c r="F8" s="72"/>
      <c r="G8" s="72"/>
      <c r="H8" s="72"/>
    </row>
    <row r="9" spans="2:10">
      <c r="B9" s="66" t="s">
        <v>107</v>
      </c>
      <c r="C9" s="66" t="s">
        <v>108</v>
      </c>
      <c r="D9" s="66" t="s">
        <v>109</v>
      </c>
      <c r="E9" s="67" t="s">
        <v>110</v>
      </c>
      <c r="F9" s="66" t="s">
        <v>111</v>
      </c>
      <c r="G9" s="66" t="s">
        <v>112</v>
      </c>
      <c r="H9" s="66" t="s">
        <v>113</v>
      </c>
    </row>
    <row r="10" spans="2:10">
      <c r="B10" s="11">
        <v>0</v>
      </c>
      <c r="C10" s="11"/>
      <c r="D10" s="11"/>
      <c r="E10" s="11"/>
      <c r="F10" s="11"/>
      <c r="G10" s="11"/>
      <c r="H10" s="12">
        <f>C7</f>
        <v>380000</v>
      </c>
    </row>
    <row r="11" spans="2:10">
      <c r="B11" s="11">
        <f>IF((ROW()-ROW($B$10))&lt;=$E$6,ROW()-ROW($B$10),"")</f>
        <v>1</v>
      </c>
      <c r="C11" s="13">
        <f>DB($C$7,$G$7,$E$6,B11,12-MONTH($C$6))</f>
        <v>13585</v>
      </c>
      <c r="D11" s="14">
        <f>IF(B11="","",C11/$C$7)</f>
        <v>3.5749999999999997E-2</v>
      </c>
      <c r="E11" s="15">
        <f>IF($B11="","",ROUND(C11/12,2))</f>
        <v>1132.08</v>
      </c>
      <c r="F11" s="16">
        <f>IF(B11="","",ROUND(D11/12,5))</f>
        <v>2.98E-3</v>
      </c>
      <c r="G11" s="15">
        <f>IF(B11="","",C11+G10)</f>
        <v>13585</v>
      </c>
      <c r="H11" s="15">
        <f>IF(B11="","",$H$10-G11)</f>
        <v>366415</v>
      </c>
      <c r="J11" s="8"/>
    </row>
    <row r="12" spans="2:10">
      <c r="B12" s="11">
        <f t="shared" ref="B12:B22" si="0">IF((ROW()-ROW($B$10))&lt;=$E$6,ROW()-ROW($B$10),"")</f>
        <v>2</v>
      </c>
      <c r="C12" s="13">
        <f t="shared" ref="C12:C26" si="1">DB($C$7,$G$7,$E$6,B12,12-MONTH($C$6))</f>
        <v>14290.184999999999</v>
      </c>
      <c r="D12" s="14">
        <f t="shared" ref="D12:D15" si="2">IF(B12="","",C12/$C$7)</f>
        <v>3.760575E-2</v>
      </c>
      <c r="E12" s="15">
        <f t="shared" ref="E12:E15" si="3">IF($B12="","",ROUND(C12/12,2))</f>
        <v>1190.8499999999999</v>
      </c>
      <c r="F12" s="16">
        <f t="shared" ref="F12:F15" si="4">IF(B12="","",ROUND(D12/12,5))</f>
        <v>3.13E-3</v>
      </c>
      <c r="G12" s="15">
        <f t="shared" ref="G12:G15" si="5">IF(B12="","",C12+G11)</f>
        <v>27875.184999999998</v>
      </c>
      <c r="H12" s="15">
        <f t="shared" ref="H12:H15" si="6">IF(B12="","",$H$10-G12)</f>
        <v>352124.815</v>
      </c>
    </row>
    <row r="13" spans="2:10">
      <c r="B13" s="11">
        <f t="shared" si="0"/>
        <v>3</v>
      </c>
      <c r="C13" s="13">
        <f t="shared" si="1"/>
        <v>13732.867785</v>
      </c>
      <c r="D13" s="14">
        <f t="shared" si="2"/>
        <v>3.6139125750000001E-2</v>
      </c>
      <c r="E13" s="15">
        <f t="shared" si="3"/>
        <v>1144.4100000000001</v>
      </c>
      <c r="F13" s="16">
        <f t="shared" si="4"/>
        <v>3.0100000000000001E-3</v>
      </c>
      <c r="G13" s="15">
        <f t="shared" si="5"/>
        <v>41608.052785</v>
      </c>
      <c r="H13" s="15">
        <f t="shared" si="6"/>
        <v>338391.94721499999</v>
      </c>
    </row>
    <row r="14" spans="2:10">
      <c r="B14" s="11">
        <f t="shared" si="0"/>
        <v>4</v>
      </c>
      <c r="C14" s="13">
        <f t="shared" si="1"/>
        <v>13197.285941385</v>
      </c>
      <c r="D14" s="14">
        <f t="shared" si="2"/>
        <v>3.4729699845750001E-2</v>
      </c>
      <c r="E14" s="15">
        <f t="shared" si="3"/>
        <v>1099.77</v>
      </c>
      <c r="F14" s="16">
        <f t="shared" si="4"/>
        <v>2.8900000000000002E-3</v>
      </c>
      <c r="G14" s="15">
        <f t="shared" si="5"/>
        <v>54805.338726385002</v>
      </c>
      <c r="H14" s="15">
        <f t="shared" si="6"/>
        <v>325194.66127361497</v>
      </c>
    </row>
    <row r="15" spans="2:10">
      <c r="B15" s="11">
        <f t="shared" si="0"/>
        <v>5</v>
      </c>
      <c r="C15" s="13">
        <f t="shared" si="1"/>
        <v>12682.591789670983</v>
      </c>
      <c r="D15" s="14">
        <f t="shared" si="2"/>
        <v>3.3375241551765744E-2</v>
      </c>
      <c r="E15" s="15">
        <f t="shared" si="3"/>
        <v>1056.8800000000001</v>
      </c>
      <c r="F15" s="16">
        <f t="shared" si="4"/>
        <v>2.7799999999999999E-3</v>
      </c>
      <c r="G15" s="15">
        <f t="shared" si="5"/>
        <v>67487.930516055989</v>
      </c>
      <c r="H15" s="15">
        <f t="shared" si="6"/>
        <v>312512.06948394398</v>
      </c>
    </row>
    <row r="16" spans="2:10">
      <c r="B16" s="11">
        <f t="shared" si="0"/>
        <v>6</v>
      </c>
      <c r="C16" s="13">
        <f t="shared" si="1"/>
        <v>12187.970709873814</v>
      </c>
      <c r="D16" s="14">
        <f t="shared" ref="D16:D26" si="7">IF(B16="","",C16/$C$7)</f>
        <v>3.2073607131246878E-2</v>
      </c>
      <c r="E16" s="15">
        <f t="shared" ref="E16:E26" si="8">IF($B16="","",ROUND(C16/12,2))</f>
        <v>1015.66</v>
      </c>
      <c r="F16" s="16">
        <f t="shared" ref="F16:F26" si="9">IF(B16="","",ROUND(D16/12,5))</f>
        <v>2.6700000000000001E-3</v>
      </c>
      <c r="G16" s="15">
        <f t="shared" ref="G16:G26" si="10">IF(B16="","",C16+G15)</f>
        <v>79675.901225929803</v>
      </c>
      <c r="H16" s="15">
        <f t="shared" ref="H16:H26" si="11">IF(B16="","",$H$10-G16)</f>
        <v>300324.09877407021</v>
      </c>
    </row>
    <row r="17" spans="2:8">
      <c r="B17" s="11">
        <f t="shared" si="0"/>
        <v>7</v>
      </c>
      <c r="C17" s="13">
        <f t="shared" si="1"/>
        <v>11712.639852188737</v>
      </c>
      <c r="D17" s="14">
        <f t="shared" si="7"/>
        <v>3.0822736453128254E-2</v>
      </c>
      <c r="E17" s="15">
        <f t="shared" si="8"/>
        <v>976.05</v>
      </c>
      <c r="F17" s="16">
        <f t="shared" si="9"/>
        <v>2.5699999999999998E-3</v>
      </c>
      <c r="G17" s="15">
        <f t="shared" si="10"/>
        <v>91388.541078118535</v>
      </c>
      <c r="H17" s="15">
        <f t="shared" si="11"/>
        <v>288611.45892188145</v>
      </c>
    </row>
    <row r="18" spans="2:8">
      <c r="B18" s="11">
        <f t="shared" si="0"/>
        <v>8</v>
      </c>
      <c r="C18" s="13">
        <f t="shared" si="1"/>
        <v>11255.846897953374</v>
      </c>
      <c r="D18" s="14">
        <f t="shared" si="7"/>
        <v>2.9620649731456245E-2</v>
      </c>
      <c r="E18" s="15">
        <f t="shared" si="8"/>
        <v>937.99</v>
      </c>
      <c r="F18" s="16">
        <f t="shared" si="9"/>
        <v>2.47E-3</v>
      </c>
      <c r="G18" s="15">
        <f t="shared" si="10"/>
        <v>102644.38797607191</v>
      </c>
      <c r="H18" s="15">
        <f t="shared" si="11"/>
        <v>277355.61202392809</v>
      </c>
    </row>
    <row r="19" spans="2:8">
      <c r="B19" s="11">
        <f t="shared" si="0"/>
        <v>9</v>
      </c>
      <c r="C19" s="13">
        <f t="shared" si="1"/>
        <v>10816.868868933194</v>
      </c>
      <c r="D19" s="14">
        <f t="shared" si="7"/>
        <v>2.8465444391929457E-2</v>
      </c>
      <c r="E19" s="15">
        <f t="shared" si="8"/>
        <v>901.41</v>
      </c>
      <c r="F19" s="16">
        <f t="shared" si="9"/>
        <v>2.3700000000000001E-3</v>
      </c>
      <c r="G19" s="15">
        <f t="shared" si="10"/>
        <v>113461.2568450051</v>
      </c>
      <c r="H19" s="15">
        <f t="shared" si="11"/>
        <v>266538.74315499491</v>
      </c>
    </row>
    <row r="20" spans="2:8">
      <c r="B20" s="11">
        <f t="shared" si="0"/>
        <v>10</v>
      </c>
      <c r="C20" s="13">
        <f t="shared" si="1"/>
        <v>10395.0109830448</v>
      </c>
      <c r="D20" s="14">
        <f t="shared" si="7"/>
        <v>2.7355292060644212E-2</v>
      </c>
      <c r="E20" s="15">
        <f t="shared" si="8"/>
        <v>866.25</v>
      </c>
      <c r="F20" s="16">
        <f t="shared" si="9"/>
        <v>2.2799999999999999E-3</v>
      </c>
      <c r="G20" s="15">
        <f t="shared" si="10"/>
        <v>123856.26782804991</v>
      </c>
      <c r="H20" s="15">
        <f t="shared" si="11"/>
        <v>256143.73217195011</v>
      </c>
    </row>
    <row r="21" spans="2:8">
      <c r="B21" s="11">
        <f t="shared" si="0"/>
        <v>11</v>
      </c>
      <c r="C21" s="13">
        <f t="shared" si="1"/>
        <v>9989.6055547060514</v>
      </c>
      <c r="D21" s="14">
        <f t="shared" si="7"/>
        <v>2.6288435670279081E-2</v>
      </c>
      <c r="E21" s="15">
        <f t="shared" si="8"/>
        <v>832.47</v>
      </c>
      <c r="F21" s="16">
        <f t="shared" si="9"/>
        <v>2.1900000000000001E-3</v>
      </c>
      <c r="G21" s="15">
        <f t="shared" si="10"/>
        <v>133845.87338275596</v>
      </c>
      <c r="H21" s="15">
        <f t="shared" si="11"/>
        <v>246154.12661724404</v>
      </c>
    </row>
    <row r="22" spans="2:8">
      <c r="B22" s="11">
        <f t="shared" si="0"/>
        <v>12</v>
      </c>
      <c r="C22" s="13">
        <f t="shared" si="1"/>
        <v>9600.0109380725171</v>
      </c>
      <c r="D22" s="14">
        <f t="shared" si="7"/>
        <v>2.5263186679138204E-2</v>
      </c>
      <c r="E22" s="15">
        <f t="shared" si="8"/>
        <v>800</v>
      </c>
      <c r="F22" s="16">
        <f t="shared" si="9"/>
        <v>2.1099999999999999E-3</v>
      </c>
      <c r="G22" s="15">
        <f t="shared" si="10"/>
        <v>143445.88432082848</v>
      </c>
      <c r="H22" s="15">
        <f t="shared" si="11"/>
        <v>236554.11567917152</v>
      </c>
    </row>
    <row r="23" spans="2:8">
      <c r="B23" s="11">
        <f t="shared" ref="B23:B26" si="12">IF((ROW()-ROW($B$10))&lt;=$E$6,ROW()-ROW($B$10),"")</f>
        <v>13</v>
      </c>
      <c r="C23" s="13">
        <f t="shared" si="1"/>
        <v>9225.6105114876882</v>
      </c>
      <c r="D23" s="14">
        <f t="shared" si="7"/>
        <v>2.427792239865181E-2</v>
      </c>
      <c r="E23" s="15">
        <f t="shared" si="8"/>
        <v>768.8</v>
      </c>
      <c r="F23" s="16">
        <f t="shared" si="9"/>
        <v>2.0200000000000001E-3</v>
      </c>
      <c r="G23" s="15">
        <f t="shared" si="10"/>
        <v>152671.49483231618</v>
      </c>
      <c r="H23" s="15">
        <f t="shared" si="11"/>
        <v>227328.50516768382</v>
      </c>
    </row>
    <row r="24" spans="2:8">
      <c r="B24" s="11">
        <f t="shared" si="12"/>
        <v>14</v>
      </c>
      <c r="C24" s="13">
        <f t="shared" si="1"/>
        <v>8865.8117015396674</v>
      </c>
      <c r="D24" s="14">
        <f t="shared" si="7"/>
        <v>2.3331083425104388E-2</v>
      </c>
      <c r="E24" s="15">
        <f t="shared" si="8"/>
        <v>738.82</v>
      </c>
      <c r="F24" s="16">
        <f t="shared" si="9"/>
        <v>1.9400000000000001E-3</v>
      </c>
      <c r="G24" s="15">
        <f t="shared" si="10"/>
        <v>161537.30653385585</v>
      </c>
      <c r="H24" s="15">
        <f t="shared" si="11"/>
        <v>218462.69346614415</v>
      </c>
    </row>
    <row r="25" spans="2:8">
      <c r="B25" s="11">
        <f t="shared" si="12"/>
        <v>15</v>
      </c>
      <c r="C25" s="13">
        <f t="shared" si="1"/>
        <v>8520.0450451796205</v>
      </c>
      <c r="D25" s="14">
        <f t="shared" si="7"/>
        <v>2.2421171171525318E-2</v>
      </c>
      <c r="E25" s="15">
        <f t="shared" si="8"/>
        <v>710</v>
      </c>
      <c r="F25" s="16">
        <f t="shared" si="9"/>
        <v>1.8699999999999999E-3</v>
      </c>
      <c r="G25" s="15">
        <f t="shared" si="10"/>
        <v>170057.35157903546</v>
      </c>
      <c r="H25" s="15">
        <f t="shared" si="11"/>
        <v>209942.64842096454</v>
      </c>
    </row>
    <row r="26" spans="2:8">
      <c r="B26" s="11">
        <f t="shared" si="12"/>
        <v>16</v>
      </c>
      <c r="C26" s="13">
        <f t="shared" si="1"/>
        <v>8187.7632884176146</v>
      </c>
      <c r="D26" s="14">
        <f t="shared" si="7"/>
        <v>2.1546745495835826E-2</v>
      </c>
      <c r="E26" s="15">
        <f t="shared" si="8"/>
        <v>682.31</v>
      </c>
      <c r="F26" s="16">
        <f t="shared" si="9"/>
        <v>1.8E-3</v>
      </c>
      <c r="G26" s="15">
        <f t="shared" si="10"/>
        <v>178245.11486745309</v>
      </c>
      <c r="H26" s="15">
        <f t="shared" si="11"/>
        <v>201754.88513254691</v>
      </c>
    </row>
  </sheetData>
  <mergeCells count="7">
    <mergeCell ref="G7:H7"/>
    <mergeCell ref="B8:H8"/>
    <mergeCell ref="B1:H1"/>
    <mergeCell ref="E3:H3"/>
    <mergeCell ref="E4:H4"/>
    <mergeCell ref="E5:H5"/>
    <mergeCell ref="G6:H6"/>
  </mergeCells>
  <phoneticPr fontId="3" type="noConversion"/>
  <dataValidations count="1">
    <dataValidation type="list" allowBlank="1" showInputMessage="1" showErrorMessage="1" sqref="C4">
      <formula1>编号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J26"/>
  <sheetViews>
    <sheetView workbookViewId="0">
      <selection activeCell="K23" sqref="K23"/>
    </sheetView>
  </sheetViews>
  <sheetFormatPr defaultRowHeight="13.5"/>
  <cols>
    <col min="1" max="1" width="3.25" style="3" customWidth="1"/>
    <col min="2" max="2" width="12" style="3" customWidth="1"/>
    <col min="3" max="3" width="13.625" style="3" customWidth="1"/>
    <col min="4" max="4" width="13.875" style="3" customWidth="1"/>
    <col min="5" max="5" width="12.5" style="3" customWidth="1"/>
    <col min="6" max="6" width="8" style="3" bestFit="1" customWidth="1"/>
    <col min="7" max="7" width="12.625" style="3" customWidth="1"/>
    <col min="8" max="8" width="12.125" style="3" customWidth="1"/>
    <col min="9" max="9" width="9" style="3"/>
    <col min="10" max="10" width="13.875" style="3" bestFit="1" customWidth="1"/>
    <col min="11" max="16384" width="9" style="3"/>
  </cols>
  <sheetData>
    <row r="1" spans="2:10" ht="39">
      <c r="B1" s="73" t="s">
        <v>116</v>
      </c>
      <c r="C1" s="73"/>
      <c r="D1" s="73"/>
      <c r="E1" s="73"/>
      <c r="F1" s="73"/>
      <c r="G1" s="73"/>
      <c r="H1" s="73"/>
    </row>
    <row r="3" spans="2:10">
      <c r="B3" s="66" t="s">
        <v>96</v>
      </c>
      <c r="C3" s="4">
        <f ca="1">TODAY()</f>
        <v>41397</v>
      </c>
      <c r="D3" s="66" t="s">
        <v>97</v>
      </c>
      <c r="E3" s="74">
        <f ca="1">VLOOKUP($C$4,固定资产清单!$A:$O,15,FALSE)</f>
        <v>147</v>
      </c>
      <c r="F3" s="75"/>
      <c r="G3" s="75"/>
      <c r="H3" s="76"/>
    </row>
    <row r="4" spans="2:10">
      <c r="B4" s="66" t="s">
        <v>114</v>
      </c>
      <c r="C4" s="68">
        <v>1</v>
      </c>
      <c r="D4" s="66" t="s">
        <v>98</v>
      </c>
      <c r="E4" s="74" t="str">
        <f>VLOOKUP($C$4,固定资产清单!$A:$O,4,FALSE)</f>
        <v>办公楼</v>
      </c>
      <c r="F4" s="75"/>
      <c r="G4" s="75"/>
      <c r="H4" s="76"/>
    </row>
    <row r="5" spans="2:10">
      <c r="B5" s="66" t="s">
        <v>115</v>
      </c>
      <c r="C5" s="5" t="str">
        <f>VLOOKUP($C$4,固定资产清单!$A:$O,3,FALSE)</f>
        <v>房屋及建筑物</v>
      </c>
      <c r="D5" s="66" t="s">
        <v>99</v>
      </c>
      <c r="E5" s="74" t="str">
        <f>VLOOKUP($C$4,固定资产清单!$A:$O,2,FALSE)</f>
        <v>管理部门</v>
      </c>
      <c r="F5" s="75"/>
      <c r="G5" s="75"/>
      <c r="H5" s="76"/>
    </row>
    <row r="6" spans="2:10">
      <c r="B6" s="66" t="s">
        <v>100</v>
      </c>
      <c r="C6" s="4">
        <f>VLOOKUP($C$4,固定资产清单!$A:$O,6,FALSE)</f>
        <v>36893</v>
      </c>
      <c r="D6" s="66" t="s">
        <v>101</v>
      </c>
      <c r="E6" s="6">
        <f>VLOOKUP($C$4,固定资产清单!$A:$O,7,FALSE)</f>
        <v>40</v>
      </c>
      <c r="F6" s="66" t="s">
        <v>102</v>
      </c>
      <c r="G6" s="77" t="str">
        <f ca="1">VLOOKUP($C$4,固定资产清单!$A:$O,12,FALSE)</f>
        <v>正常使用</v>
      </c>
      <c r="H6" s="78"/>
    </row>
    <row r="7" spans="2:10">
      <c r="B7" s="66" t="s">
        <v>103</v>
      </c>
      <c r="C7" s="10">
        <f>VLOOKUP($C$4,固定资产清单!$A:$O,11,FALSE)</f>
        <v>380000</v>
      </c>
      <c r="D7" s="66" t="s">
        <v>104</v>
      </c>
      <c r="E7" s="7">
        <f>VLOOKUP($C$4,固定资产清单!$A:$O,13,FALSE)</f>
        <v>0.2</v>
      </c>
      <c r="F7" s="66" t="s">
        <v>105</v>
      </c>
      <c r="G7" s="71">
        <f>VLOOKUP($C$4,固定资产清单!$A:$O,14,FALSE)</f>
        <v>76000</v>
      </c>
      <c r="H7" s="71"/>
    </row>
    <row r="8" spans="2:10" ht="20.25" customHeight="1">
      <c r="B8" s="72" t="s">
        <v>106</v>
      </c>
      <c r="C8" s="72"/>
      <c r="D8" s="72"/>
      <c r="E8" s="72"/>
      <c r="F8" s="72"/>
      <c r="G8" s="72"/>
      <c r="H8" s="72"/>
    </row>
    <row r="9" spans="2:10">
      <c r="B9" s="66" t="s">
        <v>107</v>
      </c>
      <c r="C9" s="66" t="s">
        <v>108</v>
      </c>
      <c r="D9" s="66" t="s">
        <v>109</v>
      </c>
      <c r="E9" s="66" t="s">
        <v>110</v>
      </c>
      <c r="F9" s="66" t="s">
        <v>111</v>
      </c>
      <c r="G9" s="66" t="s">
        <v>112</v>
      </c>
      <c r="H9" s="66" t="s">
        <v>113</v>
      </c>
    </row>
    <row r="10" spans="2:10">
      <c r="B10" s="11">
        <v>0</v>
      </c>
      <c r="C10" s="11"/>
      <c r="D10" s="11"/>
      <c r="E10" s="11"/>
      <c r="F10" s="11"/>
      <c r="G10" s="11"/>
      <c r="H10" s="12">
        <f>C7</f>
        <v>380000</v>
      </c>
    </row>
    <row r="11" spans="2:10">
      <c r="B11" s="11">
        <f>IF((ROW()-ROW($B$10))&lt;=$E$6,ROW()-ROW($B$10),"")</f>
        <v>1</v>
      </c>
      <c r="C11" s="13">
        <f>SYD($C$7,$G$7,$E$6,B11)</f>
        <v>14829.268292682927</v>
      </c>
      <c r="D11" s="14">
        <f>IF(B11="","",C11/$C$7)</f>
        <v>3.9024390243902439E-2</v>
      </c>
      <c r="E11" s="15">
        <f>IF($B11="","",ROUND(C11/12,2))</f>
        <v>1235.77</v>
      </c>
      <c r="F11" s="16">
        <f>IF(B11="","",ROUND(D11/12,5))</f>
        <v>3.2499999999999999E-3</v>
      </c>
      <c r="G11" s="15">
        <f>IF(B11="","",C11+G10)</f>
        <v>14829.268292682927</v>
      </c>
      <c r="H11" s="15">
        <f>IF(B11="","",$H$10-G11)</f>
        <v>365170.73170731706</v>
      </c>
      <c r="J11" s="8"/>
    </row>
    <row r="12" spans="2:10">
      <c r="B12" s="11">
        <f t="shared" ref="B12:B26" si="0">IF((ROW()-ROW($B$10))&lt;=$E$6,ROW()-ROW($B$10),"")</f>
        <v>2</v>
      </c>
      <c r="C12" s="13">
        <f t="shared" ref="C12:C26" si="1">SYD($C$7,$G$7,$E$6,B12)</f>
        <v>14458.536585365853</v>
      </c>
      <c r="D12" s="14">
        <f t="shared" ref="D12:D26" si="2">IF(B12="","",C12/$C$7)</f>
        <v>3.8048780487804877E-2</v>
      </c>
      <c r="E12" s="15">
        <f t="shared" ref="E12:E26" si="3">IF($B12="","",ROUND(C12/12,2))</f>
        <v>1204.8800000000001</v>
      </c>
      <c r="F12" s="16">
        <f t="shared" ref="F12:F26" si="4">IF(B12="","",ROUND(D12/12,5))</f>
        <v>3.1700000000000001E-3</v>
      </c>
      <c r="G12" s="15">
        <f t="shared" ref="G12:G26" si="5">IF(B12="","",C12+G11)</f>
        <v>29287.804878048781</v>
      </c>
      <c r="H12" s="15">
        <f t="shared" ref="H12:H26" si="6">IF(B12="","",$H$10-G12)</f>
        <v>350712.19512195123</v>
      </c>
    </row>
    <row r="13" spans="2:10">
      <c r="B13" s="11">
        <f t="shared" si="0"/>
        <v>3</v>
      </c>
      <c r="C13" s="13">
        <f t="shared" si="1"/>
        <v>14087.804878048781</v>
      </c>
      <c r="D13" s="14">
        <f t="shared" si="2"/>
        <v>3.7073170731707315E-2</v>
      </c>
      <c r="E13" s="15">
        <f t="shared" si="3"/>
        <v>1173.98</v>
      </c>
      <c r="F13" s="16">
        <f t="shared" si="4"/>
        <v>3.0899999999999999E-3</v>
      </c>
      <c r="G13" s="15">
        <f t="shared" si="5"/>
        <v>43375.609756097561</v>
      </c>
      <c r="H13" s="15">
        <f t="shared" si="6"/>
        <v>336624.39024390245</v>
      </c>
    </row>
    <row r="14" spans="2:10">
      <c r="B14" s="11">
        <f t="shared" si="0"/>
        <v>4</v>
      </c>
      <c r="C14" s="13">
        <f t="shared" si="1"/>
        <v>13717.073170731708</v>
      </c>
      <c r="D14" s="14">
        <f t="shared" si="2"/>
        <v>3.609756097560976E-2</v>
      </c>
      <c r="E14" s="15">
        <f t="shared" si="3"/>
        <v>1143.0899999999999</v>
      </c>
      <c r="F14" s="16">
        <f t="shared" si="4"/>
        <v>3.0100000000000001E-3</v>
      </c>
      <c r="G14" s="15">
        <f t="shared" si="5"/>
        <v>57092.682926829271</v>
      </c>
      <c r="H14" s="15">
        <f t="shared" si="6"/>
        <v>322907.31707317074</v>
      </c>
    </row>
    <row r="15" spans="2:10">
      <c r="B15" s="11">
        <f t="shared" si="0"/>
        <v>5</v>
      </c>
      <c r="C15" s="13">
        <f t="shared" si="1"/>
        <v>13346.341463414634</v>
      </c>
      <c r="D15" s="14">
        <f t="shared" si="2"/>
        <v>3.5121951219512192E-2</v>
      </c>
      <c r="E15" s="15">
        <f t="shared" si="3"/>
        <v>1112.2</v>
      </c>
      <c r="F15" s="16">
        <f t="shared" si="4"/>
        <v>2.9299999999999999E-3</v>
      </c>
      <c r="G15" s="15">
        <f t="shared" si="5"/>
        <v>70439.024390243911</v>
      </c>
      <c r="H15" s="15">
        <f t="shared" si="6"/>
        <v>309560.97560975607</v>
      </c>
    </row>
    <row r="16" spans="2:10">
      <c r="B16" s="11">
        <f t="shared" si="0"/>
        <v>6</v>
      </c>
      <c r="C16" s="13">
        <f t="shared" si="1"/>
        <v>12975.609756097561</v>
      </c>
      <c r="D16" s="14">
        <f t="shared" si="2"/>
        <v>3.4146341463414637E-2</v>
      </c>
      <c r="E16" s="15">
        <f t="shared" si="3"/>
        <v>1081.3</v>
      </c>
      <c r="F16" s="16">
        <f t="shared" si="4"/>
        <v>2.8500000000000001E-3</v>
      </c>
      <c r="G16" s="15">
        <f t="shared" si="5"/>
        <v>83414.634146341472</v>
      </c>
      <c r="H16" s="15">
        <f t="shared" si="6"/>
        <v>296585.36585365853</v>
      </c>
    </row>
    <row r="17" spans="2:8">
      <c r="B17" s="11">
        <f t="shared" si="0"/>
        <v>7</v>
      </c>
      <c r="C17" s="13">
        <f t="shared" si="1"/>
        <v>12604.878048780487</v>
      </c>
      <c r="D17" s="14">
        <f t="shared" si="2"/>
        <v>3.3170731707317068E-2</v>
      </c>
      <c r="E17" s="15">
        <f t="shared" si="3"/>
        <v>1050.4100000000001</v>
      </c>
      <c r="F17" s="16">
        <f t="shared" si="4"/>
        <v>2.7599999999999999E-3</v>
      </c>
      <c r="G17" s="15">
        <f t="shared" si="5"/>
        <v>96019.512195121963</v>
      </c>
      <c r="H17" s="15">
        <f t="shared" si="6"/>
        <v>283980.48780487804</v>
      </c>
    </row>
    <row r="18" spans="2:8">
      <c r="B18" s="11">
        <f t="shared" si="0"/>
        <v>8</v>
      </c>
      <c r="C18" s="13">
        <f t="shared" si="1"/>
        <v>12234.146341463415</v>
      </c>
      <c r="D18" s="14">
        <f t="shared" si="2"/>
        <v>3.2195121951219513E-2</v>
      </c>
      <c r="E18" s="15">
        <f t="shared" si="3"/>
        <v>1019.51</v>
      </c>
      <c r="F18" s="16">
        <f t="shared" si="4"/>
        <v>2.6800000000000001E-3</v>
      </c>
      <c r="G18" s="15">
        <f t="shared" si="5"/>
        <v>108253.65853658538</v>
      </c>
      <c r="H18" s="15">
        <f t="shared" si="6"/>
        <v>271746.3414634146</v>
      </c>
    </row>
    <row r="19" spans="2:8">
      <c r="B19" s="11">
        <f t="shared" si="0"/>
        <v>9</v>
      </c>
      <c r="C19" s="13">
        <f t="shared" si="1"/>
        <v>11863.414634146342</v>
      </c>
      <c r="D19" s="14">
        <f t="shared" si="2"/>
        <v>3.1219512195121951E-2</v>
      </c>
      <c r="E19" s="15">
        <f t="shared" si="3"/>
        <v>988.62</v>
      </c>
      <c r="F19" s="16">
        <f t="shared" si="4"/>
        <v>2.5999999999999999E-3</v>
      </c>
      <c r="G19" s="15">
        <f t="shared" si="5"/>
        <v>120117.07317073172</v>
      </c>
      <c r="H19" s="15">
        <f t="shared" si="6"/>
        <v>259882.92682926828</v>
      </c>
    </row>
    <row r="20" spans="2:8">
      <c r="B20" s="11">
        <f t="shared" si="0"/>
        <v>10</v>
      </c>
      <c r="C20" s="13">
        <f t="shared" si="1"/>
        <v>11492.682926829268</v>
      </c>
      <c r="D20" s="14">
        <f t="shared" si="2"/>
        <v>3.0243902439024389E-2</v>
      </c>
      <c r="E20" s="15">
        <f t="shared" si="3"/>
        <v>957.72</v>
      </c>
      <c r="F20" s="16">
        <f t="shared" si="4"/>
        <v>2.5200000000000001E-3</v>
      </c>
      <c r="G20" s="15">
        <f t="shared" si="5"/>
        <v>131609.75609756098</v>
      </c>
      <c r="H20" s="15">
        <f t="shared" si="6"/>
        <v>248390.24390243902</v>
      </c>
    </row>
    <row r="21" spans="2:8">
      <c r="B21" s="11">
        <f t="shared" si="0"/>
        <v>11</v>
      </c>
      <c r="C21" s="13">
        <f t="shared" si="1"/>
        <v>11121.951219512195</v>
      </c>
      <c r="D21" s="14">
        <f t="shared" si="2"/>
        <v>2.9268292682926831E-2</v>
      </c>
      <c r="E21" s="15">
        <f t="shared" si="3"/>
        <v>926.83</v>
      </c>
      <c r="F21" s="16">
        <f t="shared" si="4"/>
        <v>2.4399999999999999E-3</v>
      </c>
      <c r="G21" s="15">
        <f t="shared" si="5"/>
        <v>142731.70731707319</v>
      </c>
      <c r="H21" s="15">
        <f t="shared" si="6"/>
        <v>237268.29268292681</v>
      </c>
    </row>
    <row r="22" spans="2:8">
      <c r="B22" s="11">
        <f t="shared" si="0"/>
        <v>12</v>
      </c>
      <c r="C22" s="13">
        <f t="shared" si="1"/>
        <v>10751.219512195123</v>
      </c>
      <c r="D22" s="14">
        <f t="shared" si="2"/>
        <v>2.8292682926829269E-2</v>
      </c>
      <c r="E22" s="15">
        <f t="shared" si="3"/>
        <v>895.93</v>
      </c>
      <c r="F22" s="16">
        <f t="shared" si="4"/>
        <v>2.3600000000000001E-3</v>
      </c>
      <c r="G22" s="15">
        <f t="shared" si="5"/>
        <v>153482.92682926831</v>
      </c>
      <c r="H22" s="15">
        <f t="shared" si="6"/>
        <v>226517.07317073169</v>
      </c>
    </row>
    <row r="23" spans="2:8">
      <c r="B23" s="11">
        <f t="shared" si="0"/>
        <v>13</v>
      </c>
      <c r="C23" s="13">
        <f t="shared" si="1"/>
        <v>10380.487804878048</v>
      </c>
      <c r="D23" s="14">
        <f t="shared" si="2"/>
        <v>2.7317073170731707E-2</v>
      </c>
      <c r="E23" s="15">
        <f t="shared" si="3"/>
        <v>865.04</v>
      </c>
      <c r="F23" s="16">
        <f t="shared" si="4"/>
        <v>2.2799999999999999E-3</v>
      </c>
      <c r="G23" s="15">
        <f t="shared" si="5"/>
        <v>163863.41463414635</v>
      </c>
      <c r="H23" s="15">
        <f t="shared" si="6"/>
        <v>216136.58536585365</v>
      </c>
    </row>
    <row r="24" spans="2:8">
      <c r="B24" s="11">
        <f t="shared" si="0"/>
        <v>14</v>
      </c>
      <c r="C24" s="13">
        <f t="shared" si="1"/>
        <v>10009.756097560976</v>
      </c>
      <c r="D24" s="14">
        <f t="shared" si="2"/>
        <v>2.6341463414634145E-2</v>
      </c>
      <c r="E24" s="15">
        <f t="shared" si="3"/>
        <v>834.15</v>
      </c>
      <c r="F24" s="16">
        <f t="shared" si="4"/>
        <v>2.2000000000000001E-3</v>
      </c>
      <c r="G24" s="15">
        <f t="shared" si="5"/>
        <v>173873.17073170733</v>
      </c>
      <c r="H24" s="15">
        <f t="shared" si="6"/>
        <v>206126.82926829267</v>
      </c>
    </row>
    <row r="25" spans="2:8">
      <c r="B25" s="11">
        <f t="shared" si="0"/>
        <v>15</v>
      </c>
      <c r="C25" s="13">
        <f t="shared" si="1"/>
        <v>9639.0243902439033</v>
      </c>
      <c r="D25" s="14">
        <f t="shared" si="2"/>
        <v>2.5365853658536587E-2</v>
      </c>
      <c r="E25" s="15">
        <f t="shared" si="3"/>
        <v>803.25</v>
      </c>
      <c r="F25" s="16">
        <f t="shared" si="4"/>
        <v>2.1099999999999999E-3</v>
      </c>
      <c r="G25" s="15">
        <f t="shared" si="5"/>
        <v>183512.19512195123</v>
      </c>
      <c r="H25" s="15">
        <f t="shared" si="6"/>
        <v>196487.80487804877</v>
      </c>
    </row>
    <row r="26" spans="2:8">
      <c r="B26" s="11">
        <f t="shared" si="0"/>
        <v>16</v>
      </c>
      <c r="C26" s="13">
        <f t="shared" si="1"/>
        <v>9268.292682926829</v>
      </c>
      <c r="D26" s="14">
        <f t="shared" si="2"/>
        <v>2.4390243902439025E-2</v>
      </c>
      <c r="E26" s="15">
        <f t="shared" si="3"/>
        <v>772.36</v>
      </c>
      <c r="F26" s="16">
        <f t="shared" si="4"/>
        <v>2.0300000000000001E-3</v>
      </c>
      <c r="G26" s="15">
        <f t="shared" si="5"/>
        <v>192780.48780487807</v>
      </c>
      <c r="H26" s="15">
        <f t="shared" si="6"/>
        <v>187219.51219512193</v>
      </c>
    </row>
  </sheetData>
  <mergeCells count="7">
    <mergeCell ref="B8:H8"/>
    <mergeCell ref="B1:H1"/>
    <mergeCell ref="E3:H3"/>
    <mergeCell ref="E4:H4"/>
    <mergeCell ref="E5:H5"/>
    <mergeCell ref="G6:H6"/>
    <mergeCell ref="G7:H7"/>
  </mergeCells>
  <phoneticPr fontId="3" type="noConversion"/>
  <dataValidations count="1">
    <dataValidation type="list" allowBlank="1" showInputMessage="1" showErrorMessage="1" sqref="C4">
      <formula1>编号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J26"/>
  <sheetViews>
    <sheetView tabSelected="1" zoomScale="90" zoomScaleNormal="90" workbookViewId="0">
      <selection activeCell="J21" sqref="J21"/>
    </sheetView>
  </sheetViews>
  <sheetFormatPr defaultRowHeight="13.5"/>
  <cols>
    <col min="1" max="1" width="3.25" style="3" customWidth="1"/>
    <col min="2" max="2" width="12" style="3" customWidth="1"/>
    <col min="3" max="3" width="13.625" style="3" customWidth="1"/>
    <col min="4" max="4" width="13.875" style="3" customWidth="1"/>
    <col min="5" max="5" width="12.5" style="3" customWidth="1"/>
    <col min="6" max="6" width="8" style="3" bestFit="1" customWidth="1"/>
    <col min="7" max="7" width="12.625" style="3" customWidth="1"/>
    <col min="8" max="8" width="12.125" style="3" customWidth="1"/>
    <col min="9" max="9" width="9" style="3"/>
    <col min="10" max="10" width="13.875" style="3" bestFit="1" customWidth="1"/>
    <col min="11" max="16384" width="9" style="3"/>
  </cols>
  <sheetData>
    <row r="1" spans="2:10" ht="45" customHeight="1">
      <c r="B1" s="73" t="s">
        <v>152</v>
      </c>
      <c r="C1" s="73"/>
      <c r="D1" s="73"/>
      <c r="E1" s="73"/>
      <c r="F1" s="73"/>
      <c r="G1" s="73"/>
      <c r="H1" s="73"/>
    </row>
    <row r="3" spans="2:10">
      <c r="B3" s="66" t="s">
        <v>96</v>
      </c>
      <c r="C3" s="4">
        <f ca="1">TODAY()</f>
        <v>41397</v>
      </c>
      <c r="D3" s="66" t="s">
        <v>97</v>
      </c>
      <c r="E3" s="74">
        <f ca="1">VLOOKUP($C$4,固定资产清单!$A:$O,15,FALSE)</f>
        <v>136</v>
      </c>
      <c r="F3" s="75"/>
      <c r="G3" s="75"/>
      <c r="H3" s="76"/>
    </row>
    <row r="4" spans="2:10">
      <c r="B4" s="66" t="s">
        <v>114</v>
      </c>
      <c r="C4" s="68">
        <v>2</v>
      </c>
      <c r="D4" s="66" t="s">
        <v>98</v>
      </c>
      <c r="E4" s="74" t="str">
        <f>VLOOKUP($C$4,固定资产清单!$A:$O,4,FALSE)</f>
        <v>食堂</v>
      </c>
      <c r="F4" s="75"/>
      <c r="G4" s="75"/>
      <c r="H4" s="76"/>
    </row>
    <row r="5" spans="2:10">
      <c r="B5" s="66" t="s">
        <v>115</v>
      </c>
      <c r="C5" s="5" t="str">
        <f>VLOOKUP($C$4,固定资产清单!$A:$O,3,FALSE)</f>
        <v>房屋及建筑物</v>
      </c>
      <c r="D5" s="66" t="s">
        <v>99</v>
      </c>
      <c r="E5" s="74" t="str">
        <f>VLOOKUP($C$4,固定资产清单!$A:$O,2,FALSE)</f>
        <v>管理部门</v>
      </c>
      <c r="F5" s="75"/>
      <c r="G5" s="75"/>
      <c r="H5" s="76"/>
    </row>
    <row r="6" spans="2:10">
      <c r="B6" s="66" t="s">
        <v>100</v>
      </c>
      <c r="C6" s="4">
        <f>VLOOKUP($C$4,固定资产清单!$A:$O,6,FALSE)</f>
        <v>37227</v>
      </c>
      <c r="D6" s="66" t="s">
        <v>101</v>
      </c>
      <c r="E6" s="6">
        <f>VLOOKUP($C$4,固定资产清单!$A:$O,7,FALSE)</f>
        <v>40</v>
      </c>
      <c r="F6" s="66" t="s">
        <v>102</v>
      </c>
      <c r="G6" s="77" t="str">
        <f ca="1">VLOOKUP($C$4,固定资产清单!$A:$O,12,FALSE)</f>
        <v>正常使用</v>
      </c>
      <c r="H6" s="78"/>
    </row>
    <row r="7" spans="2:10">
      <c r="B7" s="66" t="s">
        <v>103</v>
      </c>
      <c r="C7" s="10">
        <f>VLOOKUP($C$4,固定资产清单!$A:$O,11,FALSE)</f>
        <v>220000</v>
      </c>
      <c r="D7" s="66" t="s">
        <v>104</v>
      </c>
      <c r="E7" s="7">
        <f>VLOOKUP($C$4,固定资产清单!$A:$O,13,FALSE)</f>
        <v>0.2</v>
      </c>
      <c r="F7" s="66" t="s">
        <v>105</v>
      </c>
      <c r="G7" s="71">
        <f>VLOOKUP($C$4,固定资产清单!$A:$O,14,FALSE)</f>
        <v>44000</v>
      </c>
      <c r="H7" s="71"/>
    </row>
    <row r="8" spans="2:10" ht="20.25" customHeight="1">
      <c r="B8" s="72" t="s">
        <v>106</v>
      </c>
      <c r="C8" s="72"/>
      <c r="D8" s="72"/>
      <c r="E8" s="72"/>
      <c r="F8" s="72"/>
      <c r="G8" s="72"/>
      <c r="H8" s="72"/>
    </row>
    <row r="9" spans="2:10">
      <c r="B9" s="66" t="s">
        <v>107</v>
      </c>
      <c r="C9" s="66" t="s">
        <v>108</v>
      </c>
      <c r="D9" s="66" t="s">
        <v>109</v>
      </c>
      <c r="E9" s="67" t="s">
        <v>110</v>
      </c>
      <c r="F9" s="66" t="s">
        <v>111</v>
      </c>
      <c r="G9" s="66" t="s">
        <v>112</v>
      </c>
      <c r="H9" s="66" t="s">
        <v>113</v>
      </c>
    </row>
    <row r="10" spans="2:10">
      <c r="B10" s="11">
        <v>0</v>
      </c>
      <c r="C10" s="11"/>
      <c r="D10" s="11"/>
      <c r="E10" s="11"/>
      <c r="F10" s="11"/>
      <c r="G10" s="11"/>
      <c r="H10" s="12">
        <f>C7</f>
        <v>220000</v>
      </c>
    </row>
    <row r="11" spans="2:10">
      <c r="B11" s="11">
        <f>IF((ROW()-ROW($B$10))&lt;=$E$6,ROW()-ROW($B$10),"")</f>
        <v>1</v>
      </c>
      <c r="C11" s="13">
        <f>DDB($C$7,$G$7,$E$6,B11)</f>
        <v>11000</v>
      </c>
      <c r="D11" s="14">
        <f>IF(B11="","",C11/$C$7)</f>
        <v>0.05</v>
      </c>
      <c r="E11" s="15">
        <f>IF($B11="","",ROUND(C11/12,2))</f>
        <v>916.67</v>
      </c>
      <c r="F11" s="16">
        <f>IF(B11="","",ROUND(D11/12,5))</f>
        <v>4.1700000000000001E-3</v>
      </c>
      <c r="G11" s="15">
        <f>IF(B11="","",C11+G10)</f>
        <v>11000</v>
      </c>
      <c r="H11" s="15">
        <f>IF(B11="","",$H$10-G11)</f>
        <v>209000</v>
      </c>
      <c r="J11" s="8"/>
    </row>
    <row r="12" spans="2:10">
      <c r="B12" s="11">
        <f t="shared" ref="B12:B26" si="0">IF((ROW()-ROW($B$10))&lt;=$E$6,ROW()-ROW($B$10),"")</f>
        <v>2</v>
      </c>
      <c r="C12" s="13">
        <f t="shared" ref="C12:C20" si="1">DDB($C$7,$G$7,$E$6,B12)</f>
        <v>10450</v>
      </c>
      <c r="D12" s="14">
        <f t="shared" ref="D12:D20" si="2">IF(B12="","",C12/$C$7)</f>
        <v>4.7500000000000001E-2</v>
      </c>
      <c r="E12" s="15">
        <f t="shared" ref="E12:E20" si="3">IF($B12="","",ROUND(C12/12,2))</f>
        <v>870.83</v>
      </c>
      <c r="F12" s="16">
        <f t="shared" ref="F12:F20" si="4">IF(B12="","",ROUND(D12/12,5))</f>
        <v>3.96E-3</v>
      </c>
      <c r="G12" s="15">
        <f t="shared" ref="G12:G20" si="5">IF(B12="","",C12+G11)</f>
        <v>21450</v>
      </c>
      <c r="H12" s="15">
        <f t="shared" ref="H12:H20" si="6">IF(B12="","",$H$10-G12)</f>
        <v>198550</v>
      </c>
    </row>
    <row r="13" spans="2:10">
      <c r="B13" s="11">
        <f t="shared" si="0"/>
        <v>3</v>
      </c>
      <c r="C13" s="13">
        <f t="shared" si="1"/>
        <v>9927.5</v>
      </c>
      <c r="D13" s="14">
        <f t="shared" si="2"/>
        <v>4.5124999999999998E-2</v>
      </c>
      <c r="E13" s="15">
        <f t="shared" si="3"/>
        <v>827.29</v>
      </c>
      <c r="F13" s="16">
        <f t="shared" si="4"/>
        <v>3.7599999999999999E-3</v>
      </c>
      <c r="G13" s="15">
        <f t="shared" si="5"/>
        <v>31377.5</v>
      </c>
      <c r="H13" s="15">
        <f t="shared" si="6"/>
        <v>188622.5</v>
      </c>
    </row>
    <row r="14" spans="2:10">
      <c r="B14" s="11">
        <f t="shared" si="0"/>
        <v>4</v>
      </c>
      <c r="C14" s="13">
        <f t="shared" si="1"/>
        <v>9431.1249999999982</v>
      </c>
      <c r="D14" s="14">
        <f t="shared" si="2"/>
        <v>4.286874999999999E-2</v>
      </c>
      <c r="E14" s="15">
        <f t="shared" si="3"/>
        <v>785.93</v>
      </c>
      <c r="F14" s="16">
        <f t="shared" si="4"/>
        <v>3.5699999999999998E-3</v>
      </c>
      <c r="G14" s="15">
        <f t="shared" si="5"/>
        <v>40808.625</v>
      </c>
      <c r="H14" s="15">
        <f t="shared" si="6"/>
        <v>179191.375</v>
      </c>
    </row>
    <row r="15" spans="2:10">
      <c r="B15" s="11">
        <f t="shared" si="0"/>
        <v>5</v>
      </c>
      <c r="C15" s="13">
        <f t="shared" si="1"/>
        <v>8959.5687500000004</v>
      </c>
      <c r="D15" s="14">
        <f t="shared" si="2"/>
        <v>4.0725312499999999E-2</v>
      </c>
      <c r="E15" s="15">
        <f t="shared" si="3"/>
        <v>746.63</v>
      </c>
      <c r="F15" s="16">
        <f t="shared" si="4"/>
        <v>3.3899999999999998E-3</v>
      </c>
      <c r="G15" s="15">
        <f t="shared" si="5"/>
        <v>49768.193749999999</v>
      </c>
      <c r="H15" s="15">
        <f t="shared" si="6"/>
        <v>170231.80624999999</v>
      </c>
    </row>
    <row r="16" spans="2:10">
      <c r="B16" s="11">
        <f t="shared" si="0"/>
        <v>6</v>
      </c>
      <c r="C16" s="13">
        <f t="shared" si="1"/>
        <v>8511.5903125000004</v>
      </c>
      <c r="D16" s="14">
        <f t="shared" si="2"/>
        <v>3.8689046875000001E-2</v>
      </c>
      <c r="E16" s="15">
        <f t="shared" si="3"/>
        <v>709.3</v>
      </c>
      <c r="F16" s="16">
        <f t="shared" si="4"/>
        <v>3.2200000000000002E-3</v>
      </c>
      <c r="G16" s="15">
        <f t="shared" si="5"/>
        <v>58279.784062499995</v>
      </c>
      <c r="H16" s="15">
        <f t="shared" si="6"/>
        <v>161720.2159375</v>
      </c>
    </row>
    <row r="17" spans="2:8">
      <c r="B17" s="11">
        <f t="shared" si="0"/>
        <v>7</v>
      </c>
      <c r="C17" s="13">
        <f t="shared" si="1"/>
        <v>8086.010796874999</v>
      </c>
      <c r="D17" s="14">
        <f t="shared" si="2"/>
        <v>3.6754594531249997E-2</v>
      </c>
      <c r="E17" s="15">
        <f t="shared" si="3"/>
        <v>673.83</v>
      </c>
      <c r="F17" s="16">
        <f t="shared" si="4"/>
        <v>3.0599999999999998E-3</v>
      </c>
      <c r="G17" s="15">
        <f t="shared" si="5"/>
        <v>66365.79485937499</v>
      </c>
      <c r="H17" s="15">
        <f t="shared" si="6"/>
        <v>153634.20514062501</v>
      </c>
    </row>
    <row r="18" spans="2:8">
      <c r="B18" s="11">
        <f t="shared" si="0"/>
        <v>8</v>
      </c>
      <c r="C18" s="13">
        <f t="shared" si="1"/>
        <v>7681.7102570312491</v>
      </c>
      <c r="D18" s="14">
        <f t="shared" si="2"/>
        <v>3.4916864804687496E-2</v>
      </c>
      <c r="E18" s="15">
        <f t="shared" si="3"/>
        <v>640.14</v>
      </c>
      <c r="F18" s="16">
        <f t="shared" si="4"/>
        <v>2.9099999999999998E-3</v>
      </c>
      <c r="G18" s="15">
        <f t="shared" si="5"/>
        <v>74047.505116406246</v>
      </c>
      <c r="H18" s="15">
        <f t="shared" si="6"/>
        <v>145952.49488359375</v>
      </c>
    </row>
    <row r="19" spans="2:8">
      <c r="B19" s="11">
        <f t="shared" si="0"/>
        <v>9</v>
      </c>
      <c r="C19" s="13">
        <f t="shared" si="1"/>
        <v>7297.6247441796877</v>
      </c>
      <c r="D19" s="14">
        <f t="shared" si="2"/>
        <v>3.3171021564453125E-2</v>
      </c>
      <c r="E19" s="15">
        <f t="shared" si="3"/>
        <v>608.14</v>
      </c>
      <c r="F19" s="16">
        <f t="shared" si="4"/>
        <v>2.7599999999999999E-3</v>
      </c>
      <c r="G19" s="15">
        <f t="shared" si="5"/>
        <v>81345.129860585934</v>
      </c>
      <c r="H19" s="15">
        <f t="shared" si="6"/>
        <v>138654.87013941407</v>
      </c>
    </row>
    <row r="20" spans="2:8">
      <c r="B20" s="11">
        <f t="shared" si="0"/>
        <v>10</v>
      </c>
      <c r="C20" s="13">
        <f t="shared" si="1"/>
        <v>6932.7435069707026</v>
      </c>
      <c r="D20" s="14">
        <f t="shared" si="2"/>
        <v>3.1512470486230466E-2</v>
      </c>
      <c r="E20" s="15">
        <f t="shared" si="3"/>
        <v>577.73</v>
      </c>
      <c r="F20" s="16">
        <f t="shared" si="4"/>
        <v>2.63E-3</v>
      </c>
      <c r="G20" s="15">
        <f t="shared" si="5"/>
        <v>88277.873367556633</v>
      </c>
      <c r="H20" s="15">
        <f t="shared" si="6"/>
        <v>131722.12663244337</v>
      </c>
    </row>
    <row r="21" spans="2:8">
      <c r="B21" s="11">
        <f t="shared" si="0"/>
        <v>11</v>
      </c>
      <c r="C21" s="13">
        <f t="shared" ref="C21:C26" si="7">DDB($C$7,$G$7,$E$6,B21)</f>
        <v>6586.1063316221689</v>
      </c>
      <c r="D21" s="14">
        <f t="shared" ref="D21:D26" si="8">IF(B21="","",C21/$C$7)</f>
        <v>2.993684696191895E-2</v>
      </c>
      <c r="E21" s="15">
        <f t="shared" ref="E21:E26" si="9">IF($B21="","",ROUND(C21/12,2))</f>
        <v>548.84</v>
      </c>
      <c r="F21" s="16">
        <f t="shared" ref="F21:F26" si="10">IF(B21="","",ROUND(D21/12,5))</f>
        <v>2.49E-3</v>
      </c>
      <c r="G21" s="15">
        <f t="shared" ref="G21:G26" si="11">IF(B21="","",C21+G20)</f>
        <v>94863.979699178803</v>
      </c>
      <c r="H21" s="15">
        <f t="shared" ref="H21:H26" si="12">IF(B21="","",$H$10-G21)</f>
        <v>125136.0203008212</v>
      </c>
    </row>
    <row r="22" spans="2:8">
      <c r="B22" s="11">
        <f t="shared" si="0"/>
        <v>12</v>
      </c>
      <c r="C22" s="13">
        <f t="shared" si="7"/>
        <v>6256.8010150410591</v>
      </c>
      <c r="D22" s="14">
        <f t="shared" si="8"/>
        <v>2.8440004613822997E-2</v>
      </c>
      <c r="E22" s="15">
        <f t="shared" si="9"/>
        <v>521.4</v>
      </c>
      <c r="F22" s="16">
        <f t="shared" si="10"/>
        <v>2.3700000000000001E-3</v>
      </c>
      <c r="G22" s="15">
        <f t="shared" si="11"/>
        <v>101120.78071421986</v>
      </c>
      <c r="H22" s="15">
        <f t="shared" si="12"/>
        <v>118879.21928578014</v>
      </c>
    </row>
    <row r="23" spans="2:8">
      <c r="B23" s="11">
        <f t="shared" si="0"/>
        <v>13</v>
      </c>
      <c r="C23" s="13">
        <f t="shared" si="7"/>
        <v>5943.9609642890064</v>
      </c>
      <c r="D23" s="14">
        <f t="shared" si="8"/>
        <v>2.7018004383131847E-2</v>
      </c>
      <c r="E23" s="15">
        <f t="shared" si="9"/>
        <v>495.33</v>
      </c>
      <c r="F23" s="16">
        <f t="shared" si="10"/>
        <v>2.2499999999999998E-3</v>
      </c>
      <c r="G23" s="15">
        <f t="shared" si="11"/>
        <v>107064.74167850887</v>
      </c>
      <c r="H23" s="15">
        <f t="shared" si="12"/>
        <v>112935.25832149113</v>
      </c>
    </row>
    <row r="24" spans="2:8">
      <c r="B24" s="11">
        <f t="shared" si="0"/>
        <v>14</v>
      </c>
      <c r="C24" s="13">
        <f t="shared" si="7"/>
        <v>5646.7629160745564</v>
      </c>
      <c r="D24" s="14">
        <f t="shared" si="8"/>
        <v>2.5667104163975257E-2</v>
      </c>
      <c r="E24" s="15">
        <f t="shared" si="9"/>
        <v>470.56</v>
      </c>
      <c r="F24" s="16">
        <f t="shared" si="10"/>
        <v>2.14E-3</v>
      </c>
      <c r="G24" s="15">
        <f t="shared" si="11"/>
        <v>112711.50459458343</v>
      </c>
      <c r="H24" s="15">
        <f t="shared" si="12"/>
        <v>107288.49540541657</v>
      </c>
    </row>
    <row r="25" spans="2:8">
      <c r="B25" s="11">
        <f t="shared" si="0"/>
        <v>15</v>
      </c>
      <c r="C25" s="13">
        <f t="shared" si="7"/>
        <v>5364.4247702708271</v>
      </c>
      <c r="D25" s="14">
        <f t="shared" si="8"/>
        <v>2.4383748955776486E-2</v>
      </c>
      <c r="E25" s="15">
        <f t="shared" si="9"/>
        <v>447.04</v>
      </c>
      <c r="F25" s="16">
        <f t="shared" si="10"/>
        <v>2.0300000000000001E-3</v>
      </c>
      <c r="G25" s="15">
        <f t="shared" si="11"/>
        <v>118075.92936485425</v>
      </c>
      <c r="H25" s="15">
        <f t="shared" si="12"/>
        <v>101924.07063514575</v>
      </c>
    </row>
    <row r="26" spans="2:8">
      <c r="B26" s="11">
        <f t="shared" si="0"/>
        <v>16</v>
      </c>
      <c r="C26" s="13">
        <f t="shared" si="7"/>
        <v>5096.2035317572872</v>
      </c>
      <c r="D26" s="14">
        <f t="shared" si="8"/>
        <v>2.3164561507987669E-2</v>
      </c>
      <c r="E26" s="15">
        <f t="shared" si="9"/>
        <v>424.68</v>
      </c>
      <c r="F26" s="16">
        <f t="shared" si="10"/>
        <v>1.9300000000000001E-3</v>
      </c>
      <c r="G26" s="15">
        <f t="shared" si="11"/>
        <v>123172.13289661154</v>
      </c>
      <c r="H26" s="15">
        <f t="shared" si="12"/>
        <v>96827.86710338846</v>
      </c>
    </row>
  </sheetData>
  <mergeCells count="7">
    <mergeCell ref="B8:H8"/>
    <mergeCell ref="B1:H1"/>
    <mergeCell ref="E3:H3"/>
    <mergeCell ref="E4:H4"/>
    <mergeCell ref="E5:H5"/>
    <mergeCell ref="G6:H6"/>
    <mergeCell ref="G7:H7"/>
  </mergeCells>
  <phoneticPr fontId="3" type="noConversion"/>
  <dataValidations count="1">
    <dataValidation type="list" allowBlank="1" showInputMessage="1" showErrorMessage="1" sqref="C4">
      <formula1>编号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19"/>
  <sheetViews>
    <sheetView workbookViewId="0">
      <selection activeCell="M16" sqref="M16"/>
    </sheetView>
  </sheetViews>
  <sheetFormatPr defaultRowHeight="13.5"/>
  <cols>
    <col min="1" max="1" width="8.25" customWidth="1"/>
    <col min="2" max="2" width="8.375" customWidth="1"/>
    <col min="3" max="3" width="7.75" customWidth="1"/>
    <col min="4" max="4" width="8.125" customWidth="1"/>
    <col min="5" max="5" width="7.5" customWidth="1"/>
    <col min="7" max="7" width="8.375" customWidth="1"/>
    <col min="8" max="8" width="6.75" customWidth="1"/>
    <col min="9" max="9" width="7.125" customWidth="1"/>
    <col min="10" max="10" width="8.25" customWidth="1"/>
    <col min="11" max="11" width="7.875" customWidth="1"/>
  </cols>
  <sheetData>
    <row r="1" spans="1:12">
      <c r="A1" s="81" t="s">
        <v>134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>
      <c r="A2" s="81" t="s">
        <v>135</v>
      </c>
      <c r="B2" s="81"/>
      <c r="C2" s="81"/>
      <c r="D2" s="81"/>
      <c r="E2" s="81"/>
      <c r="F2" s="81"/>
      <c r="G2" s="81"/>
      <c r="H2" s="81" t="s">
        <v>136</v>
      </c>
      <c r="I2" s="81"/>
      <c r="J2" s="81"/>
      <c r="K2" s="81"/>
    </row>
    <row r="3" spans="1:12">
      <c r="A3" s="79" t="s">
        <v>137</v>
      </c>
      <c r="B3" s="79"/>
      <c r="C3" s="79"/>
      <c r="D3" s="79"/>
      <c r="E3" s="79"/>
      <c r="F3" s="79"/>
      <c r="G3" s="79"/>
      <c r="H3" s="79"/>
      <c r="I3" s="79"/>
      <c r="J3" s="79"/>
      <c r="K3" s="79"/>
    </row>
    <row r="4" spans="1:12" ht="19.5" customHeight="1">
      <c r="A4" s="80" t="s">
        <v>122</v>
      </c>
      <c r="B4" s="80" t="s">
        <v>123</v>
      </c>
      <c r="C4" s="80"/>
      <c r="D4" s="80" t="s">
        <v>126</v>
      </c>
      <c r="E4" s="80" t="s">
        <v>127</v>
      </c>
      <c r="F4" s="80" t="s">
        <v>128</v>
      </c>
      <c r="G4" s="80" t="s">
        <v>129</v>
      </c>
      <c r="H4" s="80" t="s">
        <v>130</v>
      </c>
      <c r="I4" s="80" t="s">
        <v>131</v>
      </c>
      <c r="J4" s="80" t="s">
        <v>132</v>
      </c>
      <c r="K4" s="80" t="s">
        <v>133</v>
      </c>
    </row>
    <row r="5" spans="1:12" ht="19.5">
      <c r="A5" s="80"/>
      <c r="B5" s="17" t="s">
        <v>124</v>
      </c>
      <c r="C5" s="17" t="s">
        <v>125</v>
      </c>
      <c r="D5" s="80"/>
      <c r="E5" s="80"/>
      <c r="F5" s="80"/>
      <c r="G5" s="80"/>
      <c r="H5" s="80"/>
      <c r="I5" s="80"/>
      <c r="J5" s="80"/>
      <c r="K5" s="80"/>
    </row>
    <row r="11" spans="1:12">
      <c r="A11" t="s">
        <v>138</v>
      </c>
    </row>
    <row r="12" spans="1:12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18"/>
    </row>
    <row r="13" spans="1:12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18"/>
    </row>
    <row r="14" spans="1:12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18"/>
    </row>
    <row r="15" spans="1:12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18"/>
    </row>
    <row r="16" spans="1:12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18"/>
    </row>
    <row r="17" spans="1:12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18"/>
    </row>
    <row r="18" spans="1:12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18"/>
    </row>
    <row r="19" spans="1:12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18"/>
    </row>
  </sheetData>
  <mergeCells count="20">
    <mergeCell ref="A12:C19"/>
    <mergeCell ref="D12:F19"/>
    <mergeCell ref="G12:I19"/>
    <mergeCell ref="J12:K19"/>
    <mergeCell ref="H4:H5"/>
    <mergeCell ref="I4:I5"/>
    <mergeCell ref="J4:J5"/>
    <mergeCell ref="K4:K5"/>
    <mergeCell ref="A1:K1"/>
    <mergeCell ref="A2:B2"/>
    <mergeCell ref="H2:I2"/>
    <mergeCell ref="C2:G2"/>
    <mergeCell ref="J2:K2"/>
    <mergeCell ref="A3:K3"/>
    <mergeCell ref="B4:C4"/>
    <mergeCell ref="A4:A5"/>
    <mergeCell ref="D4:D5"/>
    <mergeCell ref="E4:E5"/>
    <mergeCell ref="F4:F5"/>
    <mergeCell ref="G4:G5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52"/>
  <sheetViews>
    <sheetView topLeftCell="A4" zoomScaleNormal="100" workbookViewId="0">
      <selection activeCell="S29" sqref="S29"/>
    </sheetView>
  </sheetViews>
  <sheetFormatPr defaultRowHeight="13.5"/>
  <cols>
    <col min="1" max="1" width="4.875" customWidth="1"/>
    <col min="2" max="2" width="10.75" customWidth="1"/>
    <col min="3" max="3" width="12" customWidth="1"/>
    <col min="4" max="4" width="13.625" customWidth="1"/>
    <col min="5" max="5" width="16.125" customWidth="1"/>
    <col min="6" max="6" width="9.25" customWidth="1"/>
    <col min="7" max="7" width="8.5" customWidth="1"/>
    <col min="8" max="8" width="4.75" customWidth="1"/>
    <col min="9" max="9" width="8.875" customWidth="1"/>
    <col min="10" max="10" width="5.25" customWidth="1"/>
    <col min="11" max="11" width="7.625" customWidth="1"/>
    <col min="12" max="12" width="10.375" customWidth="1"/>
    <col min="13" max="13" width="7.125" customWidth="1"/>
    <col min="14" max="14" width="14.375" customWidth="1"/>
    <col min="15" max="15" width="9.875" customWidth="1"/>
    <col min="17" max="17" width="0.625" customWidth="1"/>
  </cols>
  <sheetData>
    <row r="1" spans="1:17" ht="42.75" customHeight="1" thickBot="1">
      <c r="A1" s="82" t="s">
        <v>140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</row>
    <row r="2" spans="1:17" ht="21" customHeight="1">
      <c r="A2" s="24"/>
      <c r="B2" s="25" t="s">
        <v>141</v>
      </c>
      <c r="C2" s="26">
        <f ca="1">TODAY()</f>
        <v>41397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19"/>
    </row>
    <row r="3" spans="1:17" ht="39" customHeight="1">
      <c r="A3" s="28" t="s">
        <v>0</v>
      </c>
      <c r="B3" s="29" t="s">
        <v>1</v>
      </c>
      <c r="C3" s="29" t="s">
        <v>2</v>
      </c>
      <c r="D3" s="29" t="s">
        <v>3</v>
      </c>
      <c r="E3" s="29" t="s">
        <v>4</v>
      </c>
      <c r="F3" s="29" t="s">
        <v>5</v>
      </c>
      <c r="G3" s="29" t="s">
        <v>6</v>
      </c>
      <c r="H3" s="29" t="s">
        <v>7</v>
      </c>
      <c r="I3" s="29" t="s">
        <v>142</v>
      </c>
      <c r="J3" s="29" t="s">
        <v>9</v>
      </c>
      <c r="K3" s="29" t="s">
        <v>10</v>
      </c>
      <c r="L3" s="29" t="s">
        <v>49</v>
      </c>
      <c r="M3" s="29" t="s">
        <v>11</v>
      </c>
      <c r="N3" s="29" t="s">
        <v>12</v>
      </c>
      <c r="O3" s="30" t="s">
        <v>46</v>
      </c>
      <c r="P3" s="30" t="s">
        <v>47</v>
      </c>
      <c r="Q3" s="20"/>
    </row>
    <row r="4" spans="1:17" ht="13.5" customHeight="1">
      <c r="A4" s="31">
        <v>1</v>
      </c>
      <c r="B4" s="32" t="s">
        <v>50</v>
      </c>
      <c r="C4" s="32" t="s">
        <v>143</v>
      </c>
      <c r="D4" s="32" t="s">
        <v>51</v>
      </c>
      <c r="E4" s="32" t="s">
        <v>14</v>
      </c>
      <c r="F4" s="33">
        <v>35797</v>
      </c>
      <c r="G4" s="32">
        <v>40</v>
      </c>
      <c r="H4" s="32"/>
      <c r="I4" s="34">
        <v>380000</v>
      </c>
      <c r="J4" s="32">
        <v>1</v>
      </c>
      <c r="K4" s="34">
        <f>I4*J4</f>
        <v>380000</v>
      </c>
      <c r="L4" s="32" t="str">
        <f ca="1">IF(AND(YEAR($C$2)=YEAR(F4),MONTH($C$2)=MONTH(F4)),"当月新增",IF((DAYS360(F4,$C$2))/365&lt;=G4,"正常使用","报废"))</f>
        <v>正常使用</v>
      </c>
      <c r="M4" s="35">
        <v>0.2</v>
      </c>
      <c r="N4" s="36">
        <f t="shared" ref="N4:N45" si="0">K4*M4</f>
        <v>76000</v>
      </c>
      <c r="O4" s="37">
        <f ca="1">IF(A4="","",IF(L4="当月新增",0,(YEAR($C$2)-YEAR(F4))*12+MONTH($C$2)-MONTH(F4)-1))</f>
        <v>183</v>
      </c>
      <c r="P4" s="37"/>
      <c r="Q4" s="21"/>
    </row>
    <row r="5" spans="1:17" ht="13.5" customHeight="1">
      <c r="A5" s="31">
        <v>2</v>
      </c>
      <c r="B5" s="32" t="s">
        <v>50</v>
      </c>
      <c r="C5" s="32" t="s">
        <v>15</v>
      </c>
      <c r="D5" s="32" t="s">
        <v>144</v>
      </c>
      <c r="E5" s="32"/>
      <c r="F5" s="33">
        <v>36131</v>
      </c>
      <c r="G5" s="32">
        <v>40</v>
      </c>
      <c r="H5" s="32"/>
      <c r="I5" s="34">
        <v>220000</v>
      </c>
      <c r="J5" s="32">
        <v>1</v>
      </c>
      <c r="K5" s="34">
        <f t="shared" ref="K5:K45" si="1">I5*J5</f>
        <v>220000</v>
      </c>
      <c r="L5" s="32" t="str">
        <f t="shared" ref="L5:L45" ca="1" si="2">IF(AND(YEAR($C$2)=YEAR(F5),MONTH($C$2)=MONTH(F5)),"当月新增",IF((DAYS360(F5,$C$2))/365&lt;=G5,"正常使用","报废"))</f>
        <v>正常使用</v>
      </c>
      <c r="M5" s="35">
        <v>0.2</v>
      </c>
      <c r="N5" s="36">
        <f t="shared" si="0"/>
        <v>44000</v>
      </c>
      <c r="O5" s="37">
        <f t="shared" ref="O5:O45" ca="1" si="3">IF(A5="","",IF(L5="当月新增",0,(YEAR($C$2)-YEAR(F5))*12+MONTH($C$2)-MONTH(F5)-1))</f>
        <v>172</v>
      </c>
      <c r="P5" s="37"/>
      <c r="Q5" s="21"/>
    </row>
    <row r="6" spans="1:17" ht="13.5" customHeight="1">
      <c r="A6" s="31">
        <v>3</v>
      </c>
      <c r="B6" s="32" t="s">
        <v>50</v>
      </c>
      <c r="C6" s="32" t="s">
        <v>15</v>
      </c>
      <c r="D6" s="32" t="s">
        <v>17</v>
      </c>
      <c r="E6" s="32"/>
      <c r="F6" s="33">
        <v>35797</v>
      </c>
      <c r="G6" s="32">
        <v>40</v>
      </c>
      <c r="H6" s="32"/>
      <c r="I6" s="34">
        <v>400000</v>
      </c>
      <c r="J6" s="32">
        <v>1</v>
      </c>
      <c r="K6" s="34">
        <f t="shared" si="1"/>
        <v>400000</v>
      </c>
      <c r="L6" s="32" t="str">
        <f t="shared" ca="1" si="2"/>
        <v>正常使用</v>
      </c>
      <c r="M6" s="35">
        <v>0.2</v>
      </c>
      <c r="N6" s="36">
        <f t="shared" si="0"/>
        <v>80000</v>
      </c>
      <c r="O6" s="37">
        <f t="shared" ca="1" si="3"/>
        <v>183</v>
      </c>
      <c r="P6" s="37"/>
      <c r="Q6" s="22"/>
    </row>
    <row r="7" spans="1:17" ht="13.5" customHeight="1">
      <c r="A7" s="31">
        <v>4</v>
      </c>
      <c r="B7" s="32" t="s">
        <v>50</v>
      </c>
      <c r="C7" s="32" t="s">
        <v>52</v>
      </c>
      <c r="D7" s="32" t="s">
        <v>145</v>
      </c>
      <c r="E7" s="32" t="s">
        <v>146</v>
      </c>
      <c r="F7" s="33">
        <v>37165</v>
      </c>
      <c r="G7" s="32">
        <v>10</v>
      </c>
      <c r="H7" s="32" t="s">
        <v>54</v>
      </c>
      <c r="I7" s="34">
        <v>284920</v>
      </c>
      <c r="J7" s="32">
        <v>2</v>
      </c>
      <c r="K7" s="34">
        <f t="shared" si="1"/>
        <v>569840</v>
      </c>
      <c r="L7" s="32" t="str">
        <f t="shared" ca="1" si="2"/>
        <v>报废</v>
      </c>
      <c r="M7" s="35">
        <v>0.05</v>
      </c>
      <c r="N7" s="36">
        <f t="shared" si="0"/>
        <v>28492</v>
      </c>
      <c r="O7" s="37">
        <f t="shared" ca="1" si="3"/>
        <v>138</v>
      </c>
      <c r="P7" s="37"/>
      <c r="Q7" s="21"/>
    </row>
    <row r="8" spans="1:17" ht="13.5" customHeight="1">
      <c r="A8" s="31">
        <v>5</v>
      </c>
      <c r="B8" s="32" t="s">
        <v>50</v>
      </c>
      <c r="C8" s="32" t="s">
        <v>52</v>
      </c>
      <c r="D8" s="32" t="s">
        <v>147</v>
      </c>
      <c r="E8" s="32" t="s">
        <v>94</v>
      </c>
      <c r="F8" s="33">
        <v>37196</v>
      </c>
      <c r="G8" s="32">
        <v>10</v>
      </c>
      <c r="H8" s="32" t="s">
        <v>54</v>
      </c>
      <c r="I8" s="34">
        <v>188670</v>
      </c>
      <c r="J8" s="32">
        <v>1</v>
      </c>
      <c r="K8" s="34">
        <f t="shared" si="1"/>
        <v>188670</v>
      </c>
      <c r="L8" s="32" t="str">
        <f t="shared" ca="1" si="2"/>
        <v>报废</v>
      </c>
      <c r="M8" s="35">
        <v>0.05</v>
      </c>
      <c r="N8" s="36">
        <f t="shared" si="0"/>
        <v>9433.5</v>
      </c>
      <c r="O8" s="37">
        <f t="shared" ca="1" si="3"/>
        <v>137</v>
      </c>
      <c r="P8" s="37"/>
      <c r="Q8" s="21"/>
    </row>
    <row r="9" spans="1:17">
      <c r="A9" s="31">
        <v>6</v>
      </c>
      <c r="B9" s="32" t="s">
        <v>50</v>
      </c>
      <c r="C9" s="32" t="s">
        <v>56</v>
      </c>
      <c r="D9" s="32" t="s">
        <v>57</v>
      </c>
      <c r="E9" s="32" t="s">
        <v>58</v>
      </c>
      <c r="F9" s="33">
        <v>37136</v>
      </c>
      <c r="G9" s="32">
        <v>10</v>
      </c>
      <c r="H9" s="32" t="s">
        <v>54</v>
      </c>
      <c r="I9" s="32">
        <v>100000</v>
      </c>
      <c r="J9" s="32">
        <v>5</v>
      </c>
      <c r="K9" s="34">
        <f t="shared" si="1"/>
        <v>500000</v>
      </c>
      <c r="L9" s="32" t="str">
        <f t="shared" ca="1" si="2"/>
        <v>报废</v>
      </c>
      <c r="M9" s="35">
        <v>0.05</v>
      </c>
      <c r="N9" s="36">
        <f t="shared" si="0"/>
        <v>25000</v>
      </c>
      <c r="O9" s="37">
        <f t="shared" ca="1" si="3"/>
        <v>139</v>
      </c>
      <c r="P9" s="37"/>
      <c r="Q9" s="21"/>
    </row>
    <row r="10" spans="1:17">
      <c r="A10" s="31">
        <v>7</v>
      </c>
      <c r="B10" s="32" t="s">
        <v>50</v>
      </c>
      <c r="C10" s="32" t="s">
        <v>56</v>
      </c>
      <c r="D10" s="32" t="s">
        <v>59</v>
      </c>
      <c r="E10" s="32" t="s">
        <v>18</v>
      </c>
      <c r="F10" s="33">
        <v>41061</v>
      </c>
      <c r="G10" s="32">
        <v>10</v>
      </c>
      <c r="H10" s="32" t="s">
        <v>19</v>
      </c>
      <c r="I10" s="32">
        <v>2265</v>
      </c>
      <c r="J10" s="32">
        <v>2</v>
      </c>
      <c r="K10" s="34">
        <f t="shared" si="1"/>
        <v>4530</v>
      </c>
      <c r="L10" s="32" t="str">
        <f t="shared" ca="1" si="2"/>
        <v>正常使用</v>
      </c>
      <c r="M10" s="35">
        <v>0.05</v>
      </c>
      <c r="N10" s="36">
        <f t="shared" si="0"/>
        <v>226.5</v>
      </c>
      <c r="O10" s="37">
        <f t="shared" ca="1" si="3"/>
        <v>10</v>
      </c>
      <c r="P10" s="37"/>
      <c r="Q10" s="21"/>
    </row>
    <row r="11" spans="1:17">
      <c r="A11" s="31">
        <v>8</v>
      </c>
      <c r="B11" s="32" t="s">
        <v>50</v>
      </c>
      <c r="C11" s="32" t="s">
        <v>56</v>
      </c>
      <c r="D11" s="32" t="s">
        <v>60</v>
      </c>
      <c r="E11" s="32" t="s">
        <v>20</v>
      </c>
      <c r="F11" s="33">
        <v>38261</v>
      </c>
      <c r="G11" s="32">
        <v>10</v>
      </c>
      <c r="H11" s="32" t="s">
        <v>19</v>
      </c>
      <c r="I11" s="32">
        <v>1980</v>
      </c>
      <c r="J11" s="32">
        <v>2</v>
      </c>
      <c r="K11" s="34">
        <f t="shared" si="1"/>
        <v>3960</v>
      </c>
      <c r="L11" s="32" t="str">
        <f t="shared" ca="1" si="2"/>
        <v>正常使用</v>
      </c>
      <c r="M11" s="35">
        <v>0.05</v>
      </c>
      <c r="N11" s="36">
        <f t="shared" si="0"/>
        <v>198</v>
      </c>
      <c r="O11" s="37">
        <f t="shared" ca="1" si="3"/>
        <v>102</v>
      </c>
      <c r="P11" s="37"/>
      <c r="Q11" s="21"/>
    </row>
    <row r="12" spans="1:17">
      <c r="A12" s="31">
        <v>9</v>
      </c>
      <c r="B12" s="32" t="s">
        <v>50</v>
      </c>
      <c r="C12" s="32" t="s">
        <v>21</v>
      </c>
      <c r="D12" s="32" t="s">
        <v>61</v>
      </c>
      <c r="E12" s="32" t="s">
        <v>22</v>
      </c>
      <c r="F12" s="33">
        <v>38839</v>
      </c>
      <c r="G12" s="32">
        <v>5</v>
      </c>
      <c r="H12" s="32" t="s">
        <v>23</v>
      </c>
      <c r="I12" s="34">
        <v>39338</v>
      </c>
      <c r="J12" s="32">
        <v>5</v>
      </c>
      <c r="K12" s="34">
        <f t="shared" si="1"/>
        <v>196690</v>
      </c>
      <c r="L12" s="32" t="str">
        <f t="shared" ca="1" si="2"/>
        <v>报废</v>
      </c>
      <c r="M12" s="35">
        <v>0.05</v>
      </c>
      <c r="N12" s="36">
        <f t="shared" si="0"/>
        <v>9834.5</v>
      </c>
      <c r="O12" s="37">
        <f t="shared" ca="1" si="3"/>
        <v>83</v>
      </c>
      <c r="P12" s="37"/>
      <c r="Q12" s="21"/>
    </row>
    <row r="13" spans="1:17">
      <c r="A13" s="31">
        <v>10</v>
      </c>
      <c r="B13" s="32" t="s">
        <v>50</v>
      </c>
      <c r="C13" s="32" t="s">
        <v>21</v>
      </c>
      <c r="D13" s="32" t="s">
        <v>62</v>
      </c>
      <c r="E13" s="32" t="s">
        <v>24</v>
      </c>
      <c r="F13" s="33">
        <v>37378</v>
      </c>
      <c r="G13" s="32">
        <v>5</v>
      </c>
      <c r="H13" s="32" t="s">
        <v>19</v>
      </c>
      <c r="I13" s="34">
        <v>1520</v>
      </c>
      <c r="J13" s="32">
        <v>4</v>
      </c>
      <c r="K13" s="34">
        <f t="shared" si="1"/>
        <v>6080</v>
      </c>
      <c r="L13" s="32" t="str">
        <f t="shared" ca="1" si="2"/>
        <v>报废</v>
      </c>
      <c r="M13" s="35">
        <v>0.05</v>
      </c>
      <c r="N13" s="36">
        <f t="shared" si="0"/>
        <v>304</v>
      </c>
      <c r="O13" s="37">
        <f t="shared" ca="1" si="3"/>
        <v>131</v>
      </c>
      <c r="P13" s="37"/>
      <c r="Q13" s="21"/>
    </row>
    <row r="14" spans="1:17">
      <c r="A14" s="31">
        <v>11</v>
      </c>
      <c r="B14" s="32" t="s">
        <v>50</v>
      </c>
      <c r="C14" s="32" t="s">
        <v>21</v>
      </c>
      <c r="D14" s="32" t="s">
        <v>25</v>
      </c>
      <c r="E14" s="32"/>
      <c r="F14" s="33">
        <v>39388</v>
      </c>
      <c r="G14" s="32">
        <v>5</v>
      </c>
      <c r="H14" s="32" t="s">
        <v>19</v>
      </c>
      <c r="I14" s="32">
        <v>5250</v>
      </c>
      <c r="J14" s="32">
        <v>2</v>
      </c>
      <c r="K14" s="34">
        <f t="shared" si="1"/>
        <v>10500</v>
      </c>
      <c r="L14" s="32" t="str">
        <f t="shared" ca="1" si="2"/>
        <v>报废</v>
      </c>
      <c r="M14" s="35">
        <v>0.05</v>
      </c>
      <c r="N14" s="36">
        <f t="shared" si="0"/>
        <v>525</v>
      </c>
      <c r="O14" s="37">
        <f t="shared" ca="1" si="3"/>
        <v>65</v>
      </c>
      <c r="P14" s="37"/>
      <c r="Q14" s="21"/>
    </row>
    <row r="15" spans="1:17">
      <c r="A15" s="31">
        <v>12</v>
      </c>
      <c r="B15" s="32" t="s">
        <v>50</v>
      </c>
      <c r="C15" s="32" t="s">
        <v>21</v>
      </c>
      <c r="D15" s="32" t="s">
        <v>148</v>
      </c>
      <c r="E15" s="32"/>
      <c r="F15" s="33">
        <v>40452</v>
      </c>
      <c r="G15" s="32">
        <v>5</v>
      </c>
      <c r="H15" s="32" t="s">
        <v>19</v>
      </c>
      <c r="I15" s="32">
        <v>2980</v>
      </c>
      <c r="J15" s="32">
        <v>4</v>
      </c>
      <c r="K15" s="34">
        <f t="shared" si="1"/>
        <v>11920</v>
      </c>
      <c r="L15" s="32" t="str">
        <f t="shared" ca="1" si="2"/>
        <v>正常使用</v>
      </c>
      <c r="M15" s="35">
        <v>0.05</v>
      </c>
      <c r="N15" s="36">
        <f t="shared" si="0"/>
        <v>596</v>
      </c>
      <c r="O15" s="37">
        <f t="shared" ca="1" si="3"/>
        <v>30</v>
      </c>
      <c r="P15" s="37"/>
      <c r="Q15" s="21"/>
    </row>
    <row r="16" spans="1:17">
      <c r="A16" s="31">
        <v>13</v>
      </c>
      <c r="B16" s="32" t="s">
        <v>64</v>
      </c>
      <c r="C16" s="32" t="s">
        <v>56</v>
      </c>
      <c r="D16" s="32" t="s">
        <v>65</v>
      </c>
      <c r="E16" s="32" t="s">
        <v>26</v>
      </c>
      <c r="F16" s="33">
        <v>35125</v>
      </c>
      <c r="G16" s="32">
        <v>14</v>
      </c>
      <c r="H16" s="32" t="s">
        <v>19</v>
      </c>
      <c r="I16" s="34">
        <v>3950</v>
      </c>
      <c r="J16" s="32">
        <v>1</v>
      </c>
      <c r="K16" s="34">
        <f t="shared" si="1"/>
        <v>3950</v>
      </c>
      <c r="L16" s="32" t="str">
        <f t="shared" ca="1" si="2"/>
        <v>报废</v>
      </c>
      <c r="M16" s="35">
        <v>0.05</v>
      </c>
      <c r="N16" s="36">
        <f t="shared" si="0"/>
        <v>197.5</v>
      </c>
      <c r="O16" s="37">
        <f t="shared" ca="1" si="3"/>
        <v>205</v>
      </c>
      <c r="P16" s="37"/>
      <c r="Q16" s="21"/>
    </row>
    <row r="17" spans="1:17">
      <c r="A17" s="31">
        <v>14</v>
      </c>
      <c r="B17" s="32" t="s">
        <v>64</v>
      </c>
      <c r="C17" s="32" t="s">
        <v>56</v>
      </c>
      <c r="D17" s="32" t="s">
        <v>66</v>
      </c>
      <c r="E17" s="32" t="s">
        <v>27</v>
      </c>
      <c r="F17" s="33">
        <v>35370</v>
      </c>
      <c r="G17" s="32">
        <v>14</v>
      </c>
      <c r="H17" s="32" t="s">
        <v>19</v>
      </c>
      <c r="I17" s="34">
        <v>21920</v>
      </c>
      <c r="J17" s="32">
        <v>1</v>
      </c>
      <c r="K17" s="34">
        <f t="shared" si="1"/>
        <v>21920</v>
      </c>
      <c r="L17" s="32" t="str">
        <f t="shared" ca="1" si="2"/>
        <v>报废</v>
      </c>
      <c r="M17" s="35">
        <v>0.05</v>
      </c>
      <c r="N17" s="36">
        <f t="shared" si="0"/>
        <v>1096</v>
      </c>
      <c r="O17" s="37">
        <f t="shared" ca="1" si="3"/>
        <v>197</v>
      </c>
      <c r="P17" s="37"/>
      <c r="Q17" s="21"/>
    </row>
    <row r="18" spans="1:17">
      <c r="A18" s="31">
        <v>15</v>
      </c>
      <c r="B18" s="32" t="s">
        <v>64</v>
      </c>
      <c r="C18" s="32" t="s">
        <v>56</v>
      </c>
      <c r="D18" s="32" t="s">
        <v>67</v>
      </c>
      <c r="E18" s="32" t="s">
        <v>28</v>
      </c>
      <c r="F18" s="33">
        <v>35887</v>
      </c>
      <c r="G18" s="32">
        <v>14</v>
      </c>
      <c r="H18" s="32" t="s">
        <v>19</v>
      </c>
      <c r="I18" s="34">
        <v>10130</v>
      </c>
      <c r="J18" s="32">
        <v>1</v>
      </c>
      <c r="K18" s="34">
        <f t="shared" si="1"/>
        <v>10130</v>
      </c>
      <c r="L18" s="32" t="str">
        <f t="shared" ca="1" si="2"/>
        <v>报废</v>
      </c>
      <c r="M18" s="35">
        <v>0.05</v>
      </c>
      <c r="N18" s="36">
        <f t="shared" si="0"/>
        <v>506.5</v>
      </c>
      <c r="O18" s="37">
        <f t="shared" ca="1" si="3"/>
        <v>180</v>
      </c>
      <c r="P18" s="37"/>
      <c r="Q18" s="21"/>
    </row>
    <row r="19" spans="1:17">
      <c r="A19" s="31">
        <v>16</v>
      </c>
      <c r="B19" s="32" t="s">
        <v>64</v>
      </c>
      <c r="C19" s="32" t="s">
        <v>21</v>
      </c>
      <c r="D19" s="32" t="s">
        <v>68</v>
      </c>
      <c r="E19" s="32"/>
      <c r="F19" s="33">
        <v>38231</v>
      </c>
      <c r="G19" s="32">
        <v>5</v>
      </c>
      <c r="H19" s="32" t="s">
        <v>19</v>
      </c>
      <c r="I19" s="34">
        <v>8236</v>
      </c>
      <c r="J19" s="32">
        <v>2</v>
      </c>
      <c r="K19" s="34">
        <f t="shared" si="1"/>
        <v>16472</v>
      </c>
      <c r="L19" s="32" t="str">
        <f t="shared" ca="1" si="2"/>
        <v>报废</v>
      </c>
      <c r="M19" s="35">
        <v>0.05</v>
      </c>
      <c r="N19" s="36">
        <f t="shared" si="0"/>
        <v>823.6</v>
      </c>
      <c r="O19" s="37">
        <f t="shared" ca="1" si="3"/>
        <v>103</v>
      </c>
      <c r="P19" s="37"/>
      <c r="Q19" s="21"/>
    </row>
    <row r="20" spans="1:17">
      <c r="A20" s="31">
        <v>17</v>
      </c>
      <c r="B20" s="32" t="s">
        <v>64</v>
      </c>
      <c r="C20" s="32" t="s">
        <v>21</v>
      </c>
      <c r="D20" s="32" t="s">
        <v>69</v>
      </c>
      <c r="E20" s="32" t="s">
        <v>29</v>
      </c>
      <c r="F20" s="33">
        <v>39174</v>
      </c>
      <c r="G20" s="32">
        <v>5</v>
      </c>
      <c r="H20" s="32" t="s">
        <v>23</v>
      </c>
      <c r="I20" s="34">
        <v>6000</v>
      </c>
      <c r="J20" s="32">
        <v>2</v>
      </c>
      <c r="K20" s="34">
        <f t="shared" si="1"/>
        <v>12000</v>
      </c>
      <c r="L20" s="32" t="str">
        <f t="shared" ca="1" si="2"/>
        <v>报废</v>
      </c>
      <c r="M20" s="35">
        <v>0.05</v>
      </c>
      <c r="N20" s="36">
        <f t="shared" si="0"/>
        <v>600</v>
      </c>
      <c r="O20" s="37">
        <f t="shared" ca="1" si="3"/>
        <v>72</v>
      </c>
      <c r="P20" s="37"/>
      <c r="Q20" s="21"/>
    </row>
    <row r="21" spans="1:17">
      <c r="A21" s="31">
        <v>18</v>
      </c>
      <c r="B21" s="32" t="s">
        <v>64</v>
      </c>
      <c r="C21" s="32" t="s">
        <v>21</v>
      </c>
      <c r="D21" s="32" t="s">
        <v>70</v>
      </c>
      <c r="E21" s="32" t="s">
        <v>149</v>
      </c>
      <c r="F21" s="33">
        <v>39174</v>
      </c>
      <c r="G21" s="32">
        <v>5</v>
      </c>
      <c r="H21" s="32" t="s">
        <v>23</v>
      </c>
      <c r="I21" s="34">
        <v>4400</v>
      </c>
      <c r="J21" s="32">
        <v>2</v>
      </c>
      <c r="K21" s="34">
        <f t="shared" si="1"/>
        <v>8800</v>
      </c>
      <c r="L21" s="32" t="str">
        <f t="shared" ca="1" si="2"/>
        <v>报废</v>
      </c>
      <c r="M21" s="35">
        <v>0.05</v>
      </c>
      <c r="N21" s="36">
        <f t="shared" si="0"/>
        <v>440</v>
      </c>
      <c r="O21" s="37">
        <f t="shared" ca="1" si="3"/>
        <v>72</v>
      </c>
      <c r="P21" s="37"/>
      <c r="Q21" s="21"/>
    </row>
    <row r="22" spans="1:17">
      <c r="A22" s="31">
        <v>19</v>
      </c>
      <c r="B22" s="32" t="s">
        <v>71</v>
      </c>
      <c r="C22" s="32" t="s">
        <v>15</v>
      </c>
      <c r="D22" s="32" t="s">
        <v>31</v>
      </c>
      <c r="E22" s="32"/>
      <c r="F22" s="33">
        <v>35431</v>
      </c>
      <c r="G22" s="32">
        <v>40</v>
      </c>
      <c r="H22" s="32"/>
      <c r="I22" s="34">
        <v>125000</v>
      </c>
      <c r="J22" s="32">
        <v>1</v>
      </c>
      <c r="K22" s="34">
        <f t="shared" si="1"/>
        <v>125000</v>
      </c>
      <c r="L22" s="32" t="str">
        <f t="shared" ca="1" si="2"/>
        <v>正常使用</v>
      </c>
      <c r="M22" s="35">
        <v>0.2</v>
      </c>
      <c r="N22" s="36">
        <f t="shared" si="0"/>
        <v>25000</v>
      </c>
      <c r="O22" s="37">
        <f t="shared" ca="1" si="3"/>
        <v>195</v>
      </c>
      <c r="P22" s="37"/>
      <c r="Q22" s="21"/>
    </row>
    <row r="23" spans="1:17">
      <c r="A23" s="31">
        <v>20</v>
      </c>
      <c r="B23" s="32" t="s">
        <v>71</v>
      </c>
      <c r="C23" s="32" t="s">
        <v>15</v>
      </c>
      <c r="D23" s="32" t="s">
        <v>93</v>
      </c>
      <c r="E23" s="32"/>
      <c r="F23" s="33">
        <v>35978</v>
      </c>
      <c r="G23" s="32">
        <v>40</v>
      </c>
      <c r="H23" s="32"/>
      <c r="I23" s="34">
        <v>13432</v>
      </c>
      <c r="J23" s="32">
        <v>1</v>
      </c>
      <c r="K23" s="34">
        <f t="shared" si="1"/>
        <v>13432</v>
      </c>
      <c r="L23" s="32" t="str">
        <f t="shared" ca="1" si="2"/>
        <v>正常使用</v>
      </c>
      <c r="M23" s="35">
        <v>0.2</v>
      </c>
      <c r="N23" s="36">
        <f t="shared" si="0"/>
        <v>2686.4</v>
      </c>
      <c r="O23" s="37">
        <f t="shared" ca="1" si="3"/>
        <v>177</v>
      </c>
      <c r="P23" s="37"/>
      <c r="Q23" s="21"/>
    </row>
    <row r="24" spans="1:17">
      <c r="A24" s="31">
        <v>21</v>
      </c>
      <c r="B24" s="32" t="s">
        <v>71</v>
      </c>
      <c r="C24" s="32" t="s">
        <v>15</v>
      </c>
      <c r="D24" s="32" t="s">
        <v>72</v>
      </c>
      <c r="E24" s="32"/>
      <c r="F24" s="33">
        <v>35796</v>
      </c>
      <c r="G24" s="32">
        <v>40</v>
      </c>
      <c r="H24" s="32"/>
      <c r="I24" s="34">
        <v>43408</v>
      </c>
      <c r="J24" s="32">
        <v>1</v>
      </c>
      <c r="K24" s="34">
        <f t="shared" si="1"/>
        <v>43408</v>
      </c>
      <c r="L24" s="32" t="str">
        <f t="shared" ca="1" si="2"/>
        <v>正常使用</v>
      </c>
      <c r="M24" s="35">
        <v>0.2</v>
      </c>
      <c r="N24" s="36">
        <f t="shared" si="0"/>
        <v>8681.6</v>
      </c>
      <c r="O24" s="37">
        <f t="shared" ca="1" si="3"/>
        <v>183</v>
      </c>
      <c r="P24" s="37"/>
      <c r="Q24" s="21"/>
    </row>
    <row r="25" spans="1:17">
      <c r="A25" s="31">
        <v>22</v>
      </c>
      <c r="B25" s="32" t="s">
        <v>71</v>
      </c>
      <c r="C25" s="32" t="s">
        <v>56</v>
      </c>
      <c r="D25" s="32" t="s">
        <v>73</v>
      </c>
      <c r="E25" s="32"/>
      <c r="F25" s="33">
        <v>35432</v>
      </c>
      <c r="G25" s="32">
        <v>14</v>
      </c>
      <c r="H25" s="32" t="s">
        <v>74</v>
      </c>
      <c r="I25" s="34">
        <v>3080</v>
      </c>
      <c r="J25" s="32">
        <v>1</v>
      </c>
      <c r="K25" s="34">
        <f t="shared" si="1"/>
        <v>3080</v>
      </c>
      <c r="L25" s="32" t="str">
        <f t="shared" ca="1" si="2"/>
        <v>报废</v>
      </c>
      <c r="M25" s="35">
        <v>0.05</v>
      </c>
      <c r="N25" s="36">
        <f t="shared" si="0"/>
        <v>154</v>
      </c>
      <c r="O25" s="37">
        <f t="shared" ca="1" si="3"/>
        <v>195</v>
      </c>
      <c r="P25" s="37"/>
      <c r="Q25" s="21"/>
    </row>
    <row r="26" spans="1:17">
      <c r="A26" s="31">
        <v>23</v>
      </c>
      <c r="B26" s="32" t="s">
        <v>71</v>
      </c>
      <c r="C26" s="32" t="s">
        <v>56</v>
      </c>
      <c r="D26" s="32" t="s">
        <v>75</v>
      </c>
      <c r="E26" s="32"/>
      <c r="F26" s="33">
        <v>41061</v>
      </c>
      <c r="G26" s="32">
        <v>14</v>
      </c>
      <c r="H26" s="32" t="s">
        <v>74</v>
      </c>
      <c r="I26" s="32">
        <v>25576</v>
      </c>
      <c r="J26" s="32">
        <v>10</v>
      </c>
      <c r="K26" s="34">
        <f t="shared" si="1"/>
        <v>255760</v>
      </c>
      <c r="L26" s="32" t="str">
        <f t="shared" ca="1" si="2"/>
        <v>正常使用</v>
      </c>
      <c r="M26" s="35">
        <v>0.05</v>
      </c>
      <c r="N26" s="36">
        <f t="shared" si="0"/>
        <v>12788</v>
      </c>
      <c r="O26" s="37">
        <f t="shared" ca="1" si="3"/>
        <v>10</v>
      </c>
      <c r="P26" s="37"/>
      <c r="Q26" s="21"/>
    </row>
    <row r="27" spans="1:17">
      <c r="A27" s="31">
        <v>24</v>
      </c>
      <c r="B27" s="32" t="s">
        <v>71</v>
      </c>
      <c r="C27" s="32" t="s">
        <v>56</v>
      </c>
      <c r="D27" s="32" t="s">
        <v>150</v>
      </c>
      <c r="E27" s="32" t="s">
        <v>32</v>
      </c>
      <c r="F27" s="33">
        <v>35796</v>
      </c>
      <c r="G27" s="32">
        <v>14</v>
      </c>
      <c r="H27" s="32"/>
      <c r="I27" s="34">
        <v>2472</v>
      </c>
      <c r="J27" s="32">
        <v>2</v>
      </c>
      <c r="K27" s="34">
        <f t="shared" si="1"/>
        <v>4944</v>
      </c>
      <c r="L27" s="32" t="str">
        <f t="shared" ca="1" si="2"/>
        <v>报废</v>
      </c>
      <c r="M27" s="35">
        <v>0.05</v>
      </c>
      <c r="N27" s="36">
        <f t="shared" si="0"/>
        <v>247.20000000000002</v>
      </c>
      <c r="O27" s="37">
        <f t="shared" ca="1" si="3"/>
        <v>183</v>
      </c>
      <c r="P27" s="37"/>
      <c r="Q27" s="21"/>
    </row>
    <row r="28" spans="1:17">
      <c r="A28" s="31">
        <v>25</v>
      </c>
      <c r="B28" s="32" t="s">
        <v>71</v>
      </c>
      <c r="C28" s="32" t="s">
        <v>56</v>
      </c>
      <c r="D28" s="32" t="s">
        <v>77</v>
      </c>
      <c r="E28" s="32" t="s">
        <v>151</v>
      </c>
      <c r="F28" s="33">
        <v>35796</v>
      </c>
      <c r="G28" s="32">
        <v>14</v>
      </c>
      <c r="H28" s="32" t="s">
        <v>19</v>
      </c>
      <c r="I28" s="34">
        <v>2704</v>
      </c>
      <c r="J28" s="32">
        <v>1</v>
      </c>
      <c r="K28" s="34">
        <f t="shared" si="1"/>
        <v>2704</v>
      </c>
      <c r="L28" s="32" t="str">
        <f t="shared" ca="1" si="2"/>
        <v>报废</v>
      </c>
      <c r="M28" s="35">
        <v>0.05</v>
      </c>
      <c r="N28" s="36">
        <f t="shared" si="0"/>
        <v>135.20000000000002</v>
      </c>
      <c r="O28" s="37">
        <f t="shared" ca="1" si="3"/>
        <v>183</v>
      </c>
      <c r="P28" s="37"/>
      <c r="Q28" s="21"/>
    </row>
    <row r="29" spans="1:17">
      <c r="A29" s="31">
        <v>26</v>
      </c>
      <c r="B29" s="32" t="s">
        <v>78</v>
      </c>
      <c r="C29" s="32" t="s">
        <v>15</v>
      </c>
      <c r="D29" s="32" t="s">
        <v>34</v>
      </c>
      <c r="E29" s="32"/>
      <c r="F29" s="33">
        <v>38353</v>
      </c>
      <c r="G29" s="32">
        <v>40</v>
      </c>
      <c r="H29" s="32"/>
      <c r="I29" s="34">
        <v>1219100</v>
      </c>
      <c r="J29" s="32">
        <v>1</v>
      </c>
      <c r="K29" s="34">
        <f t="shared" si="1"/>
        <v>1219100</v>
      </c>
      <c r="L29" s="32" t="str">
        <f t="shared" ca="1" si="2"/>
        <v>正常使用</v>
      </c>
      <c r="M29" s="35">
        <v>0.2</v>
      </c>
      <c r="N29" s="36">
        <f t="shared" si="0"/>
        <v>243820</v>
      </c>
      <c r="O29" s="37">
        <f t="shared" ca="1" si="3"/>
        <v>99</v>
      </c>
      <c r="P29" s="37">
        <f t="shared" ref="P29:P45" ca="1" si="4">IF(L29="报废",0,IF(AND(YEAR(F29)&lt;YEAR($C$2),YEAR($C$2)&lt;(YEAR(F29)+G29)),12,12-MONTH(F29)))</f>
        <v>12</v>
      </c>
      <c r="Q29" s="21"/>
    </row>
    <row r="30" spans="1:17">
      <c r="A30" s="31">
        <v>27</v>
      </c>
      <c r="B30" s="32" t="s">
        <v>78</v>
      </c>
      <c r="C30" s="32" t="s">
        <v>15</v>
      </c>
      <c r="D30" s="32" t="s">
        <v>79</v>
      </c>
      <c r="E30" s="32"/>
      <c r="F30" s="33">
        <v>38353</v>
      </c>
      <c r="G30" s="32">
        <v>40</v>
      </c>
      <c r="H30" s="32"/>
      <c r="I30" s="34">
        <v>1998900</v>
      </c>
      <c r="J30" s="32">
        <v>1</v>
      </c>
      <c r="K30" s="34">
        <f t="shared" si="1"/>
        <v>1998900</v>
      </c>
      <c r="L30" s="32" t="str">
        <f t="shared" ca="1" si="2"/>
        <v>正常使用</v>
      </c>
      <c r="M30" s="35">
        <v>0.2</v>
      </c>
      <c r="N30" s="36">
        <f t="shared" si="0"/>
        <v>399780</v>
      </c>
      <c r="O30" s="37">
        <f t="shared" ca="1" si="3"/>
        <v>99</v>
      </c>
      <c r="P30" s="37">
        <f t="shared" ca="1" si="4"/>
        <v>12</v>
      </c>
      <c r="Q30" s="21"/>
    </row>
    <row r="31" spans="1:17">
      <c r="A31" s="31">
        <v>28</v>
      </c>
      <c r="B31" s="32" t="s">
        <v>78</v>
      </c>
      <c r="C31" s="32" t="s">
        <v>15</v>
      </c>
      <c r="D31" s="32" t="s">
        <v>80</v>
      </c>
      <c r="E31" s="32"/>
      <c r="F31" s="33">
        <v>38353</v>
      </c>
      <c r="G31" s="32">
        <v>40</v>
      </c>
      <c r="H31" s="32"/>
      <c r="I31" s="34">
        <v>196400</v>
      </c>
      <c r="J31" s="32">
        <v>1</v>
      </c>
      <c r="K31" s="34">
        <f t="shared" si="1"/>
        <v>196400</v>
      </c>
      <c r="L31" s="32" t="str">
        <f t="shared" ca="1" si="2"/>
        <v>正常使用</v>
      </c>
      <c r="M31" s="35">
        <v>0.2</v>
      </c>
      <c r="N31" s="36">
        <f t="shared" si="0"/>
        <v>39280</v>
      </c>
      <c r="O31" s="37">
        <f t="shared" ca="1" si="3"/>
        <v>99</v>
      </c>
      <c r="P31" s="37">
        <f t="shared" ca="1" si="4"/>
        <v>12</v>
      </c>
      <c r="Q31" s="21"/>
    </row>
    <row r="32" spans="1:17">
      <c r="A32" s="31">
        <v>29</v>
      </c>
      <c r="B32" s="32" t="s">
        <v>78</v>
      </c>
      <c r="C32" s="32" t="s">
        <v>56</v>
      </c>
      <c r="D32" s="32" t="s">
        <v>81</v>
      </c>
      <c r="E32" s="32" t="s">
        <v>35</v>
      </c>
      <c r="F32" s="33">
        <v>38535</v>
      </c>
      <c r="G32" s="32">
        <v>14</v>
      </c>
      <c r="H32" s="32" t="s">
        <v>19</v>
      </c>
      <c r="I32" s="34">
        <v>2020</v>
      </c>
      <c r="J32" s="32">
        <v>5</v>
      </c>
      <c r="K32" s="34">
        <f t="shared" si="1"/>
        <v>10100</v>
      </c>
      <c r="L32" s="32" t="str">
        <f t="shared" ca="1" si="2"/>
        <v>正常使用</v>
      </c>
      <c r="M32" s="35">
        <v>0.05</v>
      </c>
      <c r="N32" s="36">
        <f t="shared" si="0"/>
        <v>505</v>
      </c>
      <c r="O32" s="37">
        <f t="shared" ca="1" si="3"/>
        <v>93</v>
      </c>
      <c r="P32" s="37">
        <f t="shared" ca="1" si="4"/>
        <v>12</v>
      </c>
      <c r="Q32" s="21"/>
    </row>
    <row r="33" spans="1:17">
      <c r="A33" s="31">
        <v>30</v>
      </c>
      <c r="B33" s="32" t="s">
        <v>78</v>
      </c>
      <c r="C33" s="32" t="s">
        <v>56</v>
      </c>
      <c r="D33" s="32" t="s">
        <v>82</v>
      </c>
      <c r="E33" s="32" t="s">
        <v>36</v>
      </c>
      <c r="F33" s="33">
        <v>38535</v>
      </c>
      <c r="G33" s="32">
        <v>14</v>
      </c>
      <c r="H33" s="32" t="s">
        <v>37</v>
      </c>
      <c r="I33" s="34">
        <v>10700</v>
      </c>
      <c r="J33" s="32">
        <v>1</v>
      </c>
      <c r="K33" s="34">
        <f t="shared" si="1"/>
        <v>10700</v>
      </c>
      <c r="L33" s="32" t="str">
        <f t="shared" ca="1" si="2"/>
        <v>正常使用</v>
      </c>
      <c r="M33" s="35">
        <v>0.05</v>
      </c>
      <c r="N33" s="36">
        <f t="shared" si="0"/>
        <v>535</v>
      </c>
      <c r="O33" s="37">
        <f t="shared" ca="1" si="3"/>
        <v>93</v>
      </c>
      <c r="P33" s="37">
        <f t="shared" ca="1" si="4"/>
        <v>12</v>
      </c>
      <c r="Q33" s="21"/>
    </row>
    <row r="34" spans="1:17">
      <c r="A34" s="31">
        <v>31</v>
      </c>
      <c r="B34" s="32" t="s">
        <v>78</v>
      </c>
      <c r="C34" s="32" t="s">
        <v>56</v>
      </c>
      <c r="D34" s="32" t="s">
        <v>83</v>
      </c>
      <c r="E34" s="32" t="s">
        <v>38</v>
      </c>
      <c r="F34" s="33">
        <v>38535</v>
      </c>
      <c r="G34" s="32">
        <v>14</v>
      </c>
      <c r="H34" s="32" t="s">
        <v>19</v>
      </c>
      <c r="I34" s="34">
        <v>4670</v>
      </c>
      <c r="J34" s="32">
        <v>1</v>
      </c>
      <c r="K34" s="34">
        <f t="shared" si="1"/>
        <v>4670</v>
      </c>
      <c r="L34" s="32" t="str">
        <f t="shared" ca="1" si="2"/>
        <v>正常使用</v>
      </c>
      <c r="M34" s="35">
        <v>0.05</v>
      </c>
      <c r="N34" s="36">
        <f t="shared" si="0"/>
        <v>233.5</v>
      </c>
      <c r="O34" s="37">
        <f t="shared" ca="1" si="3"/>
        <v>93</v>
      </c>
      <c r="P34" s="37">
        <f t="shared" ca="1" si="4"/>
        <v>12</v>
      </c>
      <c r="Q34" s="21"/>
    </row>
    <row r="35" spans="1:17">
      <c r="A35" s="31">
        <v>32</v>
      </c>
      <c r="B35" s="32" t="s">
        <v>78</v>
      </c>
      <c r="C35" s="32" t="s">
        <v>56</v>
      </c>
      <c r="D35" s="32" t="s">
        <v>83</v>
      </c>
      <c r="E35" s="32" t="s">
        <v>39</v>
      </c>
      <c r="F35" s="33">
        <v>38535</v>
      </c>
      <c r="G35" s="32">
        <v>14</v>
      </c>
      <c r="H35" s="32" t="s">
        <v>19</v>
      </c>
      <c r="I35" s="34">
        <v>4670</v>
      </c>
      <c r="J35" s="32">
        <v>1</v>
      </c>
      <c r="K35" s="34">
        <f t="shared" si="1"/>
        <v>4670</v>
      </c>
      <c r="L35" s="32" t="str">
        <f t="shared" ca="1" si="2"/>
        <v>正常使用</v>
      </c>
      <c r="M35" s="35">
        <v>0.05</v>
      </c>
      <c r="N35" s="36">
        <f t="shared" si="0"/>
        <v>233.5</v>
      </c>
      <c r="O35" s="37">
        <f t="shared" ca="1" si="3"/>
        <v>93</v>
      </c>
      <c r="P35" s="37">
        <f t="shared" ca="1" si="4"/>
        <v>12</v>
      </c>
      <c r="Q35" s="21"/>
    </row>
    <row r="36" spans="1:17">
      <c r="A36" s="31">
        <v>33</v>
      </c>
      <c r="B36" s="32" t="s">
        <v>78</v>
      </c>
      <c r="C36" s="32" t="s">
        <v>56</v>
      </c>
      <c r="D36" s="32" t="s">
        <v>83</v>
      </c>
      <c r="E36" s="32" t="s">
        <v>40</v>
      </c>
      <c r="F36" s="33">
        <v>38535</v>
      </c>
      <c r="G36" s="32">
        <v>14</v>
      </c>
      <c r="H36" s="32" t="s">
        <v>19</v>
      </c>
      <c r="I36" s="34">
        <v>4670</v>
      </c>
      <c r="J36" s="32">
        <v>1</v>
      </c>
      <c r="K36" s="34">
        <f t="shared" si="1"/>
        <v>4670</v>
      </c>
      <c r="L36" s="32" t="str">
        <f t="shared" ca="1" si="2"/>
        <v>正常使用</v>
      </c>
      <c r="M36" s="35">
        <v>0.05</v>
      </c>
      <c r="N36" s="36">
        <f t="shared" si="0"/>
        <v>233.5</v>
      </c>
      <c r="O36" s="37">
        <f t="shared" ca="1" si="3"/>
        <v>93</v>
      </c>
      <c r="P36" s="37">
        <f t="shared" ca="1" si="4"/>
        <v>12</v>
      </c>
      <c r="Q36" s="21"/>
    </row>
    <row r="37" spans="1:17">
      <c r="A37" s="31">
        <v>34</v>
      </c>
      <c r="B37" s="32" t="s">
        <v>78</v>
      </c>
      <c r="C37" s="32" t="s">
        <v>21</v>
      </c>
      <c r="D37" s="32" t="s">
        <v>41</v>
      </c>
      <c r="E37" s="32">
        <v>4230</v>
      </c>
      <c r="F37" s="33">
        <v>38353</v>
      </c>
      <c r="G37" s="32">
        <v>5</v>
      </c>
      <c r="H37" s="32" t="s">
        <v>19</v>
      </c>
      <c r="I37" s="34">
        <v>13920</v>
      </c>
      <c r="J37" s="32">
        <v>2</v>
      </c>
      <c r="K37" s="34">
        <f t="shared" si="1"/>
        <v>27840</v>
      </c>
      <c r="L37" s="32" t="str">
        <f t="shared" ca="1" si="2"/>
        <v>报废</v>
      </c>
      <c r="M37" s="35">
        <v>0.05</v>
      </c>
      <c r="N37" s="36">
        <f t="shared" si="0"/>
        <v>1392</v>
      </c>
      <c r="O37" s="37">
        <f t="shared" ca="1" si="3"/>
        <v>99</v>
      </c>
      <c r="P37" s="37">
        <f t="shared" ca="1" si="4"/>
        <v>0</v>
      </c>
      <c r="Q37" s="21"/>
    </row>
    <row r="38" spans="1:17">
      <c r="A38" s="31">
        <v>35</v>
      </c>
      <c r="B38" s="32" t="s">
        <v>78</v>
      </c>
      <c r="C38" s="32" t="s">
        <v>21</v>
      </c>
      <c r="D38" s="32" t="s">
        <v>84</v>
      </c>
      <c r="E38" s="32" t="s">
        <v>42</v>
      </c>
      <c r="F38" s="33">
        <v>38353</v>
      </c>
      <c r="G38" s="32">
        <v>4</v>
      </c>
      <c r="H38" s="32" t="s">
        <v>19</v>
      </c>
      <c r="I38" s="34">
        <v>30220</v>
      </c>
      <c r="J38" s="32">
        <v>2</v>
      </c>
      <c r="K38" s="34">
        <f t="shared" si="1"/>
        <v>60440</v>
      </c>
      <c r="L38" s="32" t="str">
        <f t="shared" ca="1" si="2"/>
        <v>报废</v>
      </c>
      <c r="M38" s="35">
        <v>0.05</v>
      </c>
      <c r="N38" s="36">
        <f t="shared" si="0"/>
        <v>3022</v>
      </c>
      <c r="O38" s="37">
        <f t="shared" ca="1" si="3"/>
        <v>99</v>
      </c>
      <c r="P38" s="37">
        <f t="shared" ca="1" si="4"/>
        <v>0</v>
      </c>
      <c r="Q38" s="21"/>
    </row>
    <row r="39" spans="1:17">
      <c r="A39" s="31">
        <v>36</v>
      </c>
      <c r="B39" s="32" t="s">
        <v>78</v>
      </c>
      <c r="C39" s="32" t="s">
        <v>21</v>
      </c>
      <c r="D39" s="32" t="s">
        <v>85</v>
      </c>
      <c r="E39" s="32"/>
      <c r="F39" s="33">
        <v>38353</v>
      </c>
      <c r="G39" s="32">
        <v>4</v>
      </c>
      <c r="H39" s="32" t="s">
        <v>19</v>
      </c>
      <c r="I39" s="34">
        <v>570</v>
      </c>
      <c r="J39" s="32">
        <v>1</v>
      </c>
      <c r="K39" s="34">
        <f t="shared" si="1"/>
        <v>570</v>
      </c>
      <c r="L39" s="32" t="str">
        <f t="shared" ca="1" si="2"/>
        <v>报废</v>
      </c>
      <c r="M39" s="35">
        <v>0.05</v>
      </c>
      <c r="N39" s="36">
        <f t="shared" si="0"/>
        <v>28.5</v>
      </c>
      <c r="O39" s="37">
        <f t="shared" ca="1" si="3"/>
        <v>99</v>
      </c>
      <c r="P39" s="37">
        <f t="shared" ca="1" si="4"/>
        <v>0</v>
      </c>
      <c r="Q39" s="21"/>
    </row>
    <row r="40" spans="1:17">
      <c r="A40" s="31">
        <v>37</v>
      </c>
      <c r="B40" s="32" t="s">
        <v>86</v>
      </c>
      <c r="C40" s="32" t="s">
        <v>56</v>
      </c>
      <c r="D40" s="32" t="s">
        <v>87</v>
      </c>
      <c r="E40" s="32"/>
      <c r="F40" s="33">
        <v>39053</v>
      </c>
      <c r="G40" s="32">
        <v>14</v>
      </c>
      <c r="H40" s="32" t="s">
        <v>19</v>
      </c>
      <c r="I40" s="34">
        <v>90000</v>
      </c>
      <c r="J40" s="32">
        <v>1</v>
      </c>
      <c r="K40" s="34">
        <f>I40*J40</f>
        <v>90000</v>
      </c>
      <c r="L40" s="32" t="str">
        <f t="shared" ca="1" si="2"/>
        <v>正常使用</v>
      </c>
      <c r="M40" s="35">
        <v>0.05</v>
      </c>
      <c r="N40" s="36">
        <f t="shared" si="0"/>
        <v>4500</v>
      </c>
      <c r="O40" s="37">
        <f t="shared" ca="1" si="3"/>
        <v>76</v>
      </c>
      <c r="P40" s="37">
        <f t="shared" ca="1" si="4"/>
        <v>12</v>
      </c>
      <c r="Q40" s="21"/>
    </row>
    <row r="41" spans="1:17">
      <c r="A41" s="31">
        <v>38</v>
      </c>
      <c r="B41" s="32" t="s">
        <v>86</v>
      </c>
      <c r="C41" s="32" t="s">
        <v>56</v>
      </c>
      <c r="D41" s="32" t="s">
        <v>88</v>
      </c>
      <c r="E41" s="32"/>
      <c r="F41" s="33">
        <v>39053</v>
      </c>
      <c r="G41" s="32">
        <v>14</v>
      </c>
      <c r="H41" s="32" t="s">
        <v>19</v>
      </c>
      <c r="I41" s="34">
        <v>9000</v>
      </c>
      <c r="J41" s="32">
        <v>1</v>
      </c>
      <c r="K41" s="34">
        <f t="shared" si="1"/>
        <v>9000</v>
      </c>
      <c r="L41" s="32" t="str">
        <f t="shared" ca="1" si="2"/>
        <v>正常使用</v>
      </c>
      <c r="M41" s="35">
        <v>0.05</v>
      </c>
      <c r="N41" s="36">
        <f t="shared" si="0"/>
        <v>450</v>
      </c>
      <c r="O41" s="37">
        <f t="shared" ca="1" si="3"/>
        <v>76</v>
      </c>
      <c r="P41" s="37">
        <f t="shared" ca="1" si="4"/>
        <v>12</v>
      </c>
      <c r="Q41" s="21"/>
    </row>
    <row r="42" spans="1:17">
      <c r="A42" s="31">
        <v>39</v>
      </c>
      <c r="B42" s="32" t="s">
        <v>86</v>
      </c>
      <c r="C42" s="32" t="s">
        <v>56</v>
      </c>
      <c r="D42" s="32" t="s">
        <v>89</v>
      </c>
      <c r="E42" s="32"/>
      <c r="F42" s="33">
        <v>38718</v>
      </c>
      <c r="G42" s="32">
        <v>14</v>
      </c>
      <c r="H42" s="32"/>
      <c r="I42" s="34">
        <v>930000</v>
      </c>
      <c r="J42" s="32">
        <v>1</v>
      </c>
      <c r="K42" s="34">
        <f t="shared" si="1"/>
        <v>930000</v>
      </c>
      <c r="L42" s="32" t="str">
        <f t="shared" ca="1" si="2"/>
        <v>正常使用</v>
      </c>
      <c r="M42" s="35">
        <v>0.05</v>
      </c>
      <c r="N42" s="36">
        <f t="shared" si="0"/>
        <v>46500</v>
      </c>
      <c r="O42" s="37">
        <f t="shared" ca="1" si="3"/>
        <v>87</v>
      </c>
      <c r="P42" s="37">
        <f t="shared" ca="1" si="4"/>
        <v>12</v>
      </c>
      <c r="Q42" s="21"/>
    </row>
    <row r="43" spans="1:17">
      <c r="A43" s="31">
        <v>40</v>
      </c>
      <c r="B43" s="32" t="s">
        <v>86</v>
      </c>
      <c r="C43" s="32" t="s">
        <v>15</v>
      </c>
      <c r="D43" s="32" t="s">
        <v>90</v>
      </c>
      <c r="E43" s="32" t="s">
        <v>43</v>
      </c>
      <c r="F43" s="33">
        <v>35977</v>
      </c>
      <c r="G43" s="32">
        <v>40</v>
      </c>
      <c r="H43" s="32"/>
      <c r="I43" s="34">
        <v>61800</v>
      </c>
      <c r="J43" s="32">
        <v>1</v>
      </c>
      <c r="K43" s="34">
        <f t="shared" si="1"/>
        <v>61800</v>
      </c>
      <c r="L43" s="32" t="str">
        <f t="shared" ca="1" si="2"/>
        <v>正常使用</v>
      </c>
      <c r="M43" s="35">
        <v>0.2</v>
      </c>
      <c r="N43" s="36">
        <f t="shared" si="0"/>
        <v>12360</v>
      </c>
      <c r="O43" s="37">
        <f t="shared" ca="1" si="3"/>
        <v>177</v>
      </c>
      <c r="P43" s="37">
        <f t="shared" ca="1" si="4"/>
        <v>12</v>
      </c>
      <c r="Q43" s="21"/>
    </row>
    <row r="44" spans="1:17">
      <c r="A44" s="31">
        <v>41</v>
      </c>
      <c r="B44" s="32" t="s">
        <v>86</v>
      </c>
      <c r="C44" s="32" t="s">
        <v>15</v>
      </c>
      <c r="D44" s="32" t="s">
        <v>91</v>
      </c>
      <c r="E44" s="32" t="s">
        <v>44</v>
      </c>
      <c r="F44" s="33">
        <v>35977</v>
      </c>
      <c r="G44" s="32">
        <v>40</v>
      </c>
      <c r="H44" s="32"/>
      <c r="I44" s="34">
        <v>30000</v>
      </c>
      <c r="J44" s="32">
        <v>1</v>
      </c>
      <c r="K44" s="34">
        <f t="shared" si="1"/>
        <v>30000</v>
      </c>
      <c r="L44" s="32" t="str">
        <f t="shared" ca="1" si="2"/>
        <v>正常使用</v>
      </c>
      <c r="M44" s="35">
        <v>0.2</v>
      </c>
      <c r="N44" s="36">
        <f t="shared" si="0"/>
        <v>6000</v>
      </c>
      <c r="O44" s="37">
        <f t="shared" ca="1" si="3"/>
        <v>177</v>
      </c>
      <c r="P44" s="37">
        <f t="shared" ca="1" si="4"/>
        <v>12</v>
      </c>
      <c r="Q44" s="21"/>
    </row>
    <row r="45" spans="1:17">
      <c r="A45" s="31">
        <v>42</v>
      </c>
      <c r="B45" s="32" t="s">
        <v>86</v>
      </c>
      <c r="C45" s="32" t="s">
        <v>15</v>
      </c>
      <c r="D45" s="32" t="s">
        <v>92</v>
      </c>
      <c r="E45" s="32" t="s">
        <v>45</v>
      </c>
      <c r="F45" s="33">
        <v>35066</v>
      </c>
      <c r="G45" s="32">
        <v>40</v>
      </c>
      <c r="H45" s="32"/>
      <c r="I45" s="34">
        <v>130000</v>
      </c>
      <c r="J45" s="32">
        <v>1</v>
      </c>
      <c r="K45" s="34">
        <f t="shared" si="1"/>
        <v>130000</v>
      </c>
      <c r="L45" s="32" t="str">
        <f t="shared" ca="1" si="2"/>
        <v>正常使用</v>
      </c>
      <c r="M45" s="35">
        <v>0.2</v>
      </c>
      <c r="N45" s="36">
        <f t="shared" si="0"/>
        <v>26000</v>
      </c>
      <c r="O45" s="37">
        <f t="shared" ca="1" si="3"/>
        <v>207</v>
      </c>
      <c r="P45" s="37">
        <f t="shared" ca="1" si="4"/>
        <v>12</v>
      </c>
      <c r="Q45" s="21"/>
    </row>
    <row r="46" spans="1:17" ht="14.25" thickBot="1">
      <c r="A46" s="38"/>
      <c r="B46" s="39"/>
      <c r="C46" s="39"/>
      <c r="D46" s="39"/>
      <c r="E46" s="39"/>
      <c r="F46" s="40"/>
      <c r="G46" s="39"/>
      <c r="H46" s="39"/>
      <c r="I46" s="39"/>
      <c r="J46" s="39"/>
      <c r="K46" s="41"/>
      <c r="L46" s="39"/>
      <c r="M46" s="39"/>
      <c r="N46" s="41"/>
      <c r="O46" s="42"/>
      <c r="P46" s="42"/>
      <c r="Q46" s="23"/>
    </row>
    <row r="47" spans="1:1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52" spans="15:15">
      <c r="O52" s="1"/>
    </row>
  </sheetData>
  <autoFilter ref="A3:P45"/>
  <mergeCells count="1">
    <mergeCell ref="A1:N1"/>
  </mergeCells>
  <phoneticPr fontId="3" type="noConversion"/>
  <conditionalFormatting sqref="L1:L1048576">
    <cfRule type="cellIs" dxfId="0" priority="1" operator="equal">
      <formula>"报废"</formula>
    </cfRule>
  </conditionalFormatting>
  <dataValidations count="2">
    <dataValidation type="list" allowBlank="1" showInputMessage="1" showErrorMessage="1" sqref="C4:C46">
      <formula1>"机器设备,房屋及建筑物,运输设备,其他"</formula1>
    </dataValidation>
    <dataValidation type="list" allowBlank="1" showInputMessage="1" showErrorMessage="1" sqref="B4:B46">
      <formula1>"管理部门,一车间,二车间,辅助车间,化验中心"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固定资产清单</vt:lpstr>
      <vt:lpstr>余额法提计折旧表</vt:lpstr>
      <vt:lpstr>年限总和法提计折旧表</vt:lpstr>
      <vt:lpstr>双倍余额递减法提计折旧表</vt:lpstr>
      <vt:lpstr>Sheet2</vt:lpstr>
      <vt:lpstr>固定资产查询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雨林木风</cp:lastModifiedBy>
  <dcterms:created xsi:type="dcterms:W3CDTF">2012-06-12T02:13:29Z</dcterms:created>
  <dcterms:modified xsi:type="dcterms:W3CDTF">2013-05-03T08:45:28Z</dcterms:modified>
</cp:coreProperties>
</file>