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slicers/slicer2.xml" ContentType="application/vnd.ms-excel.slicer+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charts/chart20.xml" ContentType="application/vnd.openxmlformats-officedocument.drawingml.chart+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slicers/slicer3.xml" ContentType="application/vnd.ms-excel.slicer+xml"/>
  <Override PartName="/xl/charts/chart21.xml" ContentType="application/vnd.openxmlformats-officedocument.drawingml.chart+xml"/>
  <Override PartName="/xl/charts/style17.xml" ContentType="application/vnd.ms-office.chartstyle+xml"/>
  <Override PartName="/xl/charts/colors17.xml" ContentType="application/vnd.ms-office.chartcolorstyle+xml"/>
  <Override PartName="/xl/charts/chart22.xml" ContentType="application/vnd.openxmlformats-officedocument.drawingml.chart+xml"/>
  <Override PartName="/xl/charts/style18.xml" ContentType="application/vnd.ms-office.chartstyle+xml"/>
  <Override PartName="/xl/charts/colors18.xml" ContentType="application/vnd.ms-office.chartcolorstyle+xml"/>
  <Override PartName="/xl/charts/chart23.xml" ContentType="application/vnd.openxmlformats-officedocument.drawingml.chart+xml"/>
  <Override PartName="/xl/charts/style19.xml" ContentType="application/vnd.ms-office.chartstyle+xml"/>
  <Override PartName="/xl/charts/colors19.xml" ContentType="application/vnd.ms-office.chartcolorstyle+xml"/>
  <Override PartName="/xl/charts/chart24.xml" ContentType="application/vnd.openxmlformats-officedocument.drawingml.chart+xml"/>
  <Override PartName="/xl/charts/chart25.xml" ContentType="application/vnd.openxmlformats-officedocument.drawingml.chart+xml"/>
  <Override PartName="/xl/charts/style20.xml" ContentType="application/vnd.ms-office.chartstyle+xml"/>
  <Override PartName="/xl/charts/colors20.xml" ContentType="application/vnd.ms-office.chartcolorstyle+xml"/>
  <Override PartName="/xl/charts/chart26.xml" ContentType="application/vnd.openxmlformats-officedocument.drawingml.chart+xml"/>
  <Override PartName="/xl/charts/style21.xml" ContentType="application/vnd.ms-office.chartstyle+xml"/>
  <Override PartName="/xl/charts/colors21.xml" ContentType="application/vnd.ms-office.chartcolorstyle+xml"/>
  <Override PartName="/xl/charts/chart27.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Project\Excel_tutorial\"/>
    </mc:Choice>
  </mc:AlternateContent>
  <bookViews>
    <workbookView xWindow="0" yWindow="0" windowWidth="20490" windowHeight="7620" tabRatio="802"/>
  </bookViews>
  <sheets>
    <sheet name="SUMMARY REPORT" sheetId="1" r:id="rId1"/>
    <sheet name="STOCK CONTROL" sheetId="4" r:id="rId2"/>
    <sheet name="FIFO LOGISTICS" sheetId="5" r:id="rId3"/>
    <sheet name="Processing" sheetId="2" r:id="rId4"/>
    <sheet name="Data" sheetId="6" r:id="rId5"/>
    <sheet name="Resources" sheetId="3" r:id="rId6"/>
    <sheet name="Control" sheetId="7" r:id="rId7"/>
  </sheets>
  <definedNames>
    <definedName name="mydata">Data!$A$1:$AZ$49</definedName>
    <definedName name="Slicer_Name_Month">#N/A</definedName>
    <definedName name="Slicer_Year">#N/A</definedName>
  </definedNames>
  <calcPr calcId="162913"/>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E2" i="2"/>
  <c r="E1" i="2"/>
  <c r="F1" i="2"/>
  <c r="P49" i="2"/>
  <c r="AB48" i="2"/>
  <c r="P56" i="2"/>
  <c r="P19" i="2"/>
  <c r="AC57" i="2"/>
  <c r="AB54" i="2"/>
  <c r="AB55" i="2"/>
  <c r="O19" i="2"/>
  <c r="P58" i="2"/>
  <c r="P51" i="2"/>
  <c r="AC53" i="2"/>
  <c r="AC55" i="2"/>
  <c r="AB50" i="2"/>
  <c r="P55" i="2"/>
  <c r="AC59" i="2"/>
  <c r="P50" i="2"/>
  <c r="P57" i="2"/>
  <c r="AC50" i="2"/>
  <c r="P53" i="2"/>
  <c r="AC52" i="2"/>
  <c r="AC48" i="2"/>
  <c r="X54" i="2"/>
  <c r="AL54" i="2"/>
  <c r="D23" i="2"/>
  <c r="AL52" i="2"/>
  <c r="X50" i="2"/>
  <c r="D30" i="2"/>
  <c r="D29" i="2"/>
  <c r="AL53" i="2"/>
  <c r="W54" i="2"/>
  <c r="AL50" i="2"/>
  <c r="D21" i="2"/>
  <c r="D20" i="2"/>
  <c r="AB53" i="2"/>
  <c r="M19" i="2"/>
  <c r="AC56" i="2"/>
  <c r="P54" i="2"/>
  <c r="L19" i="2"/>
  <c r="AB51" i="2"/>
  <c r="N19" i="2"/>
  <c r="AB59" i="2"/>
  <c r="AC49" i="2"/>
  <c r="AC51" i="2"/>
  <c r="P52" i="2"/>
  <c r="AB58" i="2"/>
  <c r="P48" i="2"/>
  <c r="AB56" i="2"/>
  <c r="AC54" i="2"/>
  <c r="P59" i="2"/>
  <c r="AB52" i="2"/>
  <c r="AB49" i="2"/>
  <c r="AB57" i="2"/>
  <c r="AC58" i="2"/>
  <c r="AL48" i="2"/>
  <c r="AL51" i="2"/>
  <c r="D26" i="2"/>
  <c r="D22" i="2"/>
  <c r="AL49" i="2"/>
  <c r="D25" i="2"/>
  <c r="D27" i="2"/>
  <c r="AL55" i="2"/>
  <c r="W50" i="2"/>
  <c r="D24" i="2"/>
  <c r="D19" i="2"/>
  <c r="D28" i="2"/>
  <c r="AM50" i="2"/>
  <c r="C27" i="2"/>
  <c r="C19" i="2"/>
  <c r="AM52" i="2"/>
  <c r="C25" i="2"/>
  <c r="AM48" i="2"/>
  <c r="AM53" i="2"/>
  <c r="C21" i="2"/>
  <c r="C20" i="2"/>
  <c r="AM49" i="2"/>
  <c r="C28" i="2"/>
  <c r="C22" i="2"/>
  <c r="C24" i="2"/>
  <c r="C26" i="2"/>
  <c r="AM51" i="2"/>
  <c r="C29" i="2"/>
  <c r="AM54" i="2"/>
  <c r="C23" i="2"/>
  <c r="C30" i="2"/>
  <c r="AM55" i="2"/>
  <c r="AM56" i="2" l="1"/>
  <c r="AL56" i="2"/>
  <c r="W48" i="2"/>
  <c r="W52" i="2"/>
  <c r="AA48" i="2"/>
  <c r="AA54" i="2"/>
  <c r="AA52" i="2"/>
  <c r="AA51" i="2"/>
  <c r="AA55" i="2"/>
  <c r="AA58" i="2"/>
  <c r="AA50" i="2"/>
  <c r="AA56" i="2"/>
  <c r="AA53" i="2"/>
  <c r="AA59" i="2"/>
  <c r="AA57" i="2"/>
  <c r="AA49" i="2"/>
  <c r="O50" i="2"/>
  <c r="M49" i="2"/>
  <c r="O57" i="2"/>
  <c r="M50" i="2"/>
  <c r="N50" i="2"/>
  <c r="O51" i="2"/>
  <c r="M58" i="2"/>
  <c r="M55" i="2"/>
  <c r="M48" i="2"/>
  <c r="O58" i="2"/>
  <c r="N48" i="2"/>
  <c r="O54" i="2"/>
  <c r="N49" i="2"/>
  <c r="M56" i="2"/>
  <c r="O52" i="2"/>
  <c r="M54" i="2"/>
  <c r="O48" i="2"/>
  <c r="N56" i="2"/>
  <c r="O53" i="2"/>
  <c r="M52" i="2"/>
  <c r="N54" i="2"/>
  <c r="M53" i="2"/>
  <c r="N51" i="2"/>
  <c r="N52" i="2"/>
  <c r="O55" i="2"/>
  <c r="O56" i="2"/>
  <c r="N53" i="2"/>
  <c r="M51" i="2"/>
  <c r="N55" i="2"/>
  <c r="N59" i="2"/>
  <c r="M57" i="2"/>
  <c r="N58" i="2"/>
  <c r="N57" i="2"/>
  <c r="O49" i="2"/>
  <c r="O59" i="2"/>
  <c r="M59" i="2"/>
  <c r="I17" i="2"/>
  <c r="I15" i="2"/>
  <c r="J17" i="2"/>
  <c r="AA60" i="2" l="1"/>
  <c r="Y49" i="2"/>
  <c r="Y57" i="2"/>
  <c r="Y56" i="2"/>
  <c r="Y50" i="2"/>
  <c r="Y58" i="2"/>
  <c r="Y51" i="2"/>
  <c r="Y59" i="2"/>
  <c r="Y48" i="2"/>
  <c r="Y52" i="2"/>
  <c r="Y53" i="2"/>
  <c r="Y55" i="2"/>
  <c r="Y54" i="2"/>
  <c r="R48" i="2"/>
  <c r="R56" i="2"/>
  <c r="R55" i="2"/>
  <c r="R54" i="2"/>
  <c r="R53" i="2"/>
  <c r="R52" i="2"/>
  <c r="R59" i="2"/>
  <c r="R51" i="2"/>
  <c r="R50" i="2"/>
  <c r="R58" i="2"/>
  <c r="R57" i="2"/>
  <c r="R49" i="2"/>
  <c r="Q48" i="2"/>
  <c r="Q56" i="2"/>
  <c r="Q55" i="2"/>
  <c r="Q54" i="2"/>
  <c r="Q53" i="2"/>
  <c r="Q52" i="2"/>
  <c r="Q59" i="2"/>
  <c r="Q51" i="2"/>
  <c r="Q58" i="2"/>
  <c r="Q50" i="2"/>
  <c r="Q57" i="2"/>
  <c r="Q49" i="2"/>
  <c r="X52" i="2" l="1"/>
  <c r="X48" i="2"/>
  <c r="M27" i="2"/>
  <c r="B28" i="2"/>
  <c r="C49" i="2"/>
  <c r="T36" i="2"/>
  <c r="L29" i="2"/>
  <c r="F57" i="2"/>
  <c r="A25" i="2"/>
  <c r="L28" i="2"/>
  <c r="E38" i="2"/>
  <c r="Q37" i="2"/>
  <c r="D57" i="2"/>
  <c r="F43" i="2"/>
  <c r="Q41" i="2"/>
  <c r="R38" i="2"/>
  <c r="R40" i="2"/>
  <c r="N25" i="2"/>
  <c r="A21" i="2"/>
  <c r="R35" i="2"/>
  <c r="F48" i="2"/>
  <c r="R36" i="2"/>
  <c r="Q23" i="2"/>
  <c r="E35" i="2"/>
  <c r="N26" i="2"/>
  <c r="F52" i="2"/>
  <c r="C50" i="2"/>
  <c r="E41" i="2"/>
  <c r="A26" i="2"/>
  <c r="A28" i="2"/>
  <c r="P43" i="2"/>
  <c r="Q38" i="2"/>
  <c r="AA24" i="2"/>
  <c r="B30" i="2"/>
  <c r="Q35" i="2"/>
  <c r="P23" i="2"/>
  <c r="Z30" i="2"/>
  <c r="B26" i="2"/>
  <c r="Z20" i="2"/>
  <c r="AA22" i="2"/>
  <c r="AA21" i="2"/>
  <c r="O28" i="2"/>
  <c r="E51" i="2"/>
  <c r="F37" i="2"/>
  <c r="T43" i="2"/>
  <c r="F36" i="2"/>
  <c r="S42" i="2"/>
  <c r="P39" i="2"/>
  <c r="F55" i="2"/>
  <c r="C52" i="2"/>
  <c r="F59" i="2"/>
  <c r="A29" i="2"/>
  <c r="Z26" i="2"/>
  <c r="O33" i="2"/>
  <c r="F56" i="2"/>
  <c r="M22" i="2"/>
  <c r="P35" i="2"/>
  <c r="B25" i="2"/>
  <c r="B29" i="2"/>
  <c r="Q29" i="2"/>
  <c r="E54" i="2"/>
  <c r="C54" i="2"/>
  <c r="C53" i="2"/>
  <c r="E34" i="2"/>
  <c r="Q19" i="2"/>
  <c r="Q26" i="2"/>
  <c r="Q44" i="2"/>
  <c r="F58" i="2"/>
  <c r="B27" i="2"/>
  <c r="S41" i="2"/>
  <c r="Q36" i="2"/>
  <c r="E58" i="2"/>
  <c r="P30" i="2"/>
  <c r="Z25" i="2"/>
  <c r="N22" i="2"/>
  <c r="A19" i="2"/>
  <c r="E57" i="2"/>
  <c r="D56" i="2"/>
  <c r="C51" i="2"/>
  <c r="O34" i="2"/>
  <c r="E53" i="2"/>
  <c r="T39" i="2"/>
  <c r="D55" i="2"/>
  <c r="C58" i="2"/>
  <c r="F49" i="2"/>
  <c r="P24" i="2"/>
  <c r="P40" i="2"/>
  <c r="L20" i="2"/>
  <c r="O29" i="2"/>
  <c r="C55" i="2"/>
  <c r="P37" i="2"/>
  <c r="L30" i="2"/>
  <c r="R37" i="2"/>
  <c r="AA26" i="2"/>
  <c r="L22" i="2"/>
  <c r="F44" i="2"/>
  <c r="R33" i="2"/>
  <c r="P28" i="2"/>
  <c r="S34" i="2"/>
  <c r="C59" i="2"/>
  <c r="L23" i="2"/>
  <c r="E36" i="2"/>
  <c r="P20" i="2"/>
  <c r="B19" i="2"/>
  <c r="AA30" i="2"/>
  <c r="F51" i="2"/>
  <c r="R34" i="2"/>
  <c r="O39" i="2"/>
  <c r="N20" i="2"/>
  <c r="O25" i="2"/>
  <c r="R44" i="2"/>
  <c r="Z21" i="2"/>
  <c r="Q30" i="2"/>
  <c r="B20" i="2"/>
  <c r="P25" i="2"/>
  <c r="E55" i="2"/>
  <c r="F50" i="2"/>
  <c r="O20" i="2"/>
  <c r="Z27" i="2"/>
  <c r="Q24" i="2"/>
  <c r="Z28" i="2"/>
  <c r="L25" i="2"/>
  <c r="Z23" i="2"/>
  <c r="P34" i="2"/>
  <c r="S37" i="2"/>
  <c r="R39" i="2"/>
  <c r="P33" i="2"/>
  <c r="AA25" i="2"/>
  <c r="T42" i="2"/>
  <c r="D54" i="2"/>
  <c r="A27" i="2"/>
  <c r="F42" i="2"/>
  <c r="P42" i="2"/>
  <c r="S36" i="2"/>
  <c r="P44" i="2"/>
  <c r="N28" i="2"/>
  <c r="O42" i="2"/>
  <c r="Q20" i="2"/>
  <c r="O40" i="2"/>
  <c r="O24" i="2"/>
  <c r="Z22" i="2"/>
  <c r="T40" i="2"/>
  <c r="A22" i="2"/>
  <c r="Q39" i="2"/>
  <c r="AA23" i="2"/>
  <c r="P41" i="2"/>
  <c r="Q25" i="2"/>
  <c r="P38" i="2"/>
  <c r="P27" i="2"/>
  <c r="N27" i="2"/>
  <c r="N29" i="2"/>
  <c r="P29" i="2"/>
  <c r="O30" i="2"/>
  <c r="D58" i="2"/>
  <c r="B24" i="2"/>
  <c r="AA29" i="2"/>
  <c r="O44" i="2"/>
  <c r="A30" i="2"/>
  <c r="Z24" i="2"/>
  <c r="T41" i="2"/>
  <c r="Q43" i="2"/>
  <c r="E43" i="2"/>
  <c r="S43" i="2"/>
  <c r="O36" i="2"/>
  <c r="O26" i="2"/>
  <c r="F39" i="2"/>
  <c r="F54" i="2"/>
  <c r="M29" i="2"/>
  <c r="S33" i="2"/>
  <c r="E40" i="2"/>
  <c r="Q22" i="2"/>
  <c r="A23" i="2"/>
  <c r="AA20" i="2"/>
  <c r="Q27" i="2"/>
  <c r="E52" i="2"/>
  <c r="Q42" i="2"/>
  <c r="O37" i="2"/>
  <c r="P22" i="2"/>
  <c r="N23" i="2"/>
  <c r="E50" i="2"/>
  <c r="E49" i="2"/>
  <c r="E37" i="2"/>
  <c r="Q21" i="2"/>
  <c r="D59" i="2"/>
  <c r="D52" i="2"/>
  <c r="T44" i="2"/>
  <c r="M26" i="2"/>
  <c r="F53" i="2"/>
  <c r="M24" i="2"/>
  <c r="A24" i="2"/>
  <c r="S44" i="2"/>
  <c r="E33" i="2"/>
  <c r="N21" i="2"/>
  <c r="R41" i="2"/>
  <c r="O22" i="2"/>
  <c r="C15" i="2"/>
  <c r="C40" i="2"/>
  <c r="N6" i="2"/>
  <c r="AF35" i="2"/>
  <c r="M2" i="2"/>
  <c r="N10" i="2"/>
  <c r="D16" i="2"/>
  <c r="F13" i="2"/>
  <c r="A4" i="2"/>
  <c r="C13" i="2"/>
  <c r="M7" i="2"/>
  <c r="M10" i="2"/>
  <c r="M3" i="2"/>
  <c r="N4" i="2"/>
  <c r="D13" i="2"/>
  <c r="M8" i="2"/>
  <c r="M4" i="2"/>
  <c r="C14" i="2"/>
  <c r="B10" i="2"/>
  <c r="N5" i="2"/>
  <c r="B8" i="2"/>
  <c r="A10" i="2"/>
  <c r="C38" i="2"/>
  <c r="AF37" i="2"/>
  <c r="C56" i="2"/>
  <c r="T33" i="2"/>
  <c r="R43" i="2"/>
  <c r="E48" i="2"/>
  <c r="T34" i="2"/>
  <c r="M20" i="2"/>
  <c r="O21" i="2"/>
  <c r="S39" i="2"/>
  <c r="P36" i="2"/>
  <c r="D49" i="2"/>
  <c r="O35" i="2"/>
  <c r="O23" i="2"/>
  <c r="AA19" i="2"/>
  <c r="E56" i="2"/>
  <c r="F33" i="2"/>
  <c r="C57" i="2"/>
  <c r="B22" i="2"/>
  <c r="F34" i="2"/>
  <c r="B21" i="2"/>
  <c r="F41" i="2"/>
  <c r="M28" i="2"/>
  <c r="S40" i="2"/>
  <c r="O43" i="2"/>
  <c r="L21" i="2"/>
  <c r="T37" i="2"/>
  <c r="E44" i="2"/>
  <c r="AA28" i="2"/>
  <c r="B23" i="2"/>
  <c r="D50" i="2"/>
  <c r="N24" i="2"/>
  <c r="M30" i="2"/>
  <c r="N30" i="2"/>
  <c r="R42" i="2"/>
  <c r="A20" i="2"/>
  <c r="E39" i="2"/>
  <c r="T38" i="2"/>
  <c r="M21" i="2"/>
  <c r="Q33" i="2"/>
  <c r="D48" i="2"/>
  <c r="L24" i="2"/>
  <c r="F40" i="2"/>
  <c r="Z19" i="2"/>
  <c r="D53" i="2"/>
  <c r="M23" i="2"/>
  <c r="O38" i="2"/>
  <c r="P26" i="2"/>
  <c r="Q40" i="2"/>
  <c r="Z29" i="2"/>
  <c r="Q34" i="2"/>
  <c r="T35" i="2"/>
  <c r="F38" i="2"/>
  <c r="S38" i="2"/>
  <c r="P21" i="2"/>
  <c r="D51" i="2"/>
  <c r="O27" i="2"/>
  <c r="S35" i="2"/>
  <c r="Q28" i="2"/>
  <c r="L26" i="2"/>
  <c r="E42" i="2"/>
  <c r="C48" i="2"/>
  <c r="O41" i="2"/>
  <c r="M25" i="2"/>
  <c r="AA27" i="2"/>
  <c r="L27" i="2"/>
  <c r="F35" i="2"/>
  <c r="E59" i="2"/>
  <c r="G13" i="2"/>
  <c r="A6" i="2"/>
  <c r="C16" i="2"/>
  <c r="AG37" i="2"/>
  <c r="B6" i="2"/>
  <c r="AF33" i="2"/>
  <c r="N9" i="2"/>
  <c r="D15" i="2"/>
  <c r="N1" i="2"/>
  <c r="N2" i="2"/>
  <c r="M9" i="2"/>
  <c r="B40" i="2"/>
  <c r="AG33" i="2"/>
  <c r="M6" i="2"/>
  <c r="B38" i="2"/>
  <c r="B4" i="2"/>
  <c r="M1" i="2"/>
  <c r="N3" i="2"/>
  <c r="M5" i="2"/>
  <c r="N8" i="2"/>
  <c r="AG35" i="2"/>
  <c r="D14" i="2"/>
  <c r="A8" i="2"/>
  <c r="N7" i="2"/>
  <c r="B33" i="2" l="1"/>
  <c r="V39" i="2"/>
  <c r="U37" i="2"/>
  <c r="W38" i="2"/>
  <c r="U38" i="2"/>
  <c r="V38" i="2"/>
  <c r="G35" i="2"/>
  <c r="G38" i="2"/>
  <c r="W35" i="2"/>
  <c r="G36" i="2"/>
  <c r="V41" i="2"/>
  <c r="B16" i="2"/>
  <c r="V44" i="2"/>
  <c r="V33" i="2"/>
  <c r="W43" i="2"/>
  <c r="U36" i="2"/>
  <c r="V42" i="2"/>
  <c r="G41" i="2"/>
  <c r="U41" i="2"/>
  <c r="W39" i="2"/>
  <c r="W41" i="2"/>
  <c r="V36" i="2"/>
  <c r="W40" i="2"/>
  <c r="G43" i="2"/>
  <c r="U43" i="2"/>
  <c r="B15" i="2"/>
  <c r="B35" i="2"/>
  <c r="G34" i="2"/>
  <c r="W42" i="2"/>
  <c r="W34" i="2"/>
  <c r="G33" i="2"/>
  <c r="V43" i="2"/>
  <c r="H13" i="2"/>
  <c r="G39" i="2"/>
  <c r="G44" i="2"/>
  <c r="W36" i="2"/>
  <c r="B13" i="2"/>
  <c r="G37" i="2"/>
  <c r="W33" i="2"/>
  <c r="G42" i="2"/>
  <c r="U34" i="2"/>
  <c r="V34" i="2"/>
  <c r="U35" i="2"/>
  <c r="W37" i="2"/>
  <c r="B14" i="2"/>
  <c r="U40" i="2"/>
  <c r="U42" i="2"/>
  <c r="U44" i="2"/>
  <c r="V35" i="2"/>
  <c r="V37" i="2"/>
  <c r="U39" i="2"/>
  <c r="V40" i="2"/>
  <c r="U33" i="2"/>
  <c r="W44" i="2"/>
  <c r="G40" i="2"/>
  <c r="AD35" i="2"/>
  <c r="H50" i="2"/>
  <c r="H51" i="2"/>
  <c r="Q6" i="2"/>
  <c r="AD37" i="2"/>
  <c r="G53" i="2"/>
  <c r="G52" i="2"/>
  <c r="H55" i="2"/>
  <c r="H56" i="2"/>
  <c r="Q5" i="2"/>
  <c r="G51" i="2"/>
  <c r="G58" i="2"/>
  <c r="H57" i="2"/>
  <c r="H53" i="2"/>
  <c r="Q3" i="2"/>
  <c r="H52" i="2"/>
  <c r="Q4" i="2"/>
  <c r="G48" i="2"/>
  <c r="G50" i="2"/>
  <c r="H49" i="2"/>
  <c r="Q1" i="2"/>
  <c r="Q2" i="2"/>
  <c r="H48" i="2"/>
  <c r="G55" i="2"/>
  <c r="G59" i="2"/>
  <c r="H58" i="2"/>
  <c r="Q9" i="2"/>
  <c r="Q10" i="2"/>
  <c r="AD33" i="2"/>
  <c r="G54" i="2"/>
  <c r="G57" i="2"/>
  <c r="H54" i="2"/>
  <c r="Q8" i="2"/>
  <c r="G56" i="2"/>
  <c r="G49" i="2"/>
  <c r="H59" i="2"/>
  <c r="Q7" i="2"/>
  <c r="R27" i="2"/>
  <c r="R20" i="2"/>
  <c r="R21" i="2"/>
  <c r="G30" i="2"/>
  <c r="S27" i="2"/>
  <c r="T30" i="2"/>
  <c r="R22" i="2"/>
  <c r="R29" i="2"/>
  <c r="G27" i="2"/>
  <c r="G19" i="2"/>
  <c r="S22" i="2"/>
  <c r="G29" i="2"/>
  <c r="T29" i="2"/>
  <c r="I27" i="2"/>
  <c r="J27" i="2" s="1"/>
  <c r="C4" i="2"/>
  <c r="G28" i="2"/>
  <c r="S25" i="2"/>
  <c r="G26" i="2"/>
  <c r="S26" i="2"/>
  <c r="G21" i="2"/>
  <c r="S29" i="2"/>
  <c r="R23" i="2"/>
  <c r="S28" i="2"/>
  <c r="I28" i="2"/>
  <c r="J28" i="2" s="1"/>
  <c r="R25" i="2"/>
  <c r="G25" i="2"/>
  <c r="S30" i="2"/>
  <c r="T20" i="2"/>
  <c r="S19" i="2"/>
  <c r="T26" i="2"/>
  <c r="C8" i="2"/>
  <c r="T22" i="2"/>
  <c r="T24" i="2"/>
  <c r="S20" i="2"/>
  <c r="T19" i="2"/>
  <c r="C6" i="2"/>
  <c r="S21" i="2"/>
  <c r="S23" i="2"/>
  <c r="I22" i="2"/>
  <c r="J22" i="2" s="1"/>
  <c r="I24" i="2"/>
  <c r="J24" i="2" s="1"/>
  <c r="I19" i="2"/>
  <c r="I26" i="2"/>
  <c r="J26" i="2" s="1"/>
  <c r="T25" i="2"/>
  <c r="T28" i="2"/>
  <c r="T23" i="2"/>
  <c r="G22" i="2"/>
  <c r="G23" i="2"/>
  <c r="R19" i="2"/>
  <c r="I21" i="2"/>
  <c r="J21" i="2" s="1"/>
  <c r="I20" i="2"/>
  <c r="J20" i="2" s="1"/>
  <c r="I30" i="2"/>
  <c r="J30" i="2" s="1"/>
  <c r="I29" i="2"/>
  <c r="J29" i="2" s="1"/>
  <c r="I23" i="2"/>
  <c r="J23" i="2" s="1"/>
  <c r="S24" i="2"/>
  <c r="T27" i="2"/>
  <c r="G20" i="2"/>
  <c r="G24" i="2"/>
  <c r="C10" i="2"/>
  <c r="I25" i="2"/>
  <c r="J25" i="2" s="1"/>
  <c r="T21" i="2"/>
  <c r="R24" i="2"/>
  <c r="R30" i="2"/>
  <c r="R26" i="2"/>
  <c r="R28" i="2"/>
  <c r="G45" i="2" l="1"/>
  <c r="J19" i="2"/>
  <c r="U19" i="2"/>
  <c r="AB26" i="2"/>
  <c r="AC26" i="2"/>
  <c r="AC29" i="2"/>
  <c r="AB29" i="2"/>
  <c r="AB20" i="2"/>
  <c r="AC20" i="2"/>
  <c r="AB28" i="2"/>
  <c r="AC28" i="2"/>
  <c r="AC30" i="2"/>
  <c r="AB30" i="2"/>
  <c r="AC19" i="2"/>
  <c r="AB19" i="2"/>
  <c r="AC22" i="2"/>
  <c r="AB22" i="2"/>
  <c r="AC21" i="2"/>
  <c r="AB21" i="2"/>
  <c r="AB27" i="2"/>
  <c r="AC27" i="2"/>
  <c r="AB25" i="2"/>
  <c r="AC25" i="2"/>
  <c r="Z53" i="2"/>
  <c r="AC24" i="2"/>
  <c r="AB24" i="2"/>
  <c r="AC23" i="2"/>
  <c r="AB23" i="2"/>
  <c r="Z56" i="2"/>
  <c r="Z52" i="2"/>
  <c r="Z58" i="2"/>
  <c r="Z54" i="2"/>
  <c r="Z55" i="2"/>
  <c r="Z51" i="2"/>
  <c r="Z59" i="2"/>
  <c r="Z49" i="2"/>
  <c r="Z48" i="2"/>
  <c r="Z57" i="2"/>
  <c r="Z50" i="2"/>
  <c r="U48" i="2"/>
  <c r="T58" i="2"/>
  <c r="S58" i="2"/>
  <c r="S54" i="2"/>
  <c r="T54" i="2"/>
  <c r="T59" i="2"/>
  <c r="S59" i="2"/>
  <c r="T49" i="2"/>
  <c r="S49" i="2"/>
  <c r="S55" i="2"/>
  <c r="T55" i="2"/>
  <c r="T52" i="2"/>
  <c r="S52" i="2"/>
  <c r="T48" i="2"/>
  <c r="S48" i="2"/>
  <c r="S53" i="2"/>
  <c r="T53" i="2"/>
  <c r="T51" i="2"/>
  <c r="S51" i="2"/>
  <c r="T50" i="2"/>
  <c r="S50" i="2"/>
  <c r="T57" i="2"/>
  <c r="S57" i="2"/>
  <c r="S56" i="2"/>
  <c r="T56" i="2"/>
  <c r="S1" i="2"/>
  <c r="M33" i="2" s="1"/>
  <c r="S6" i="2"/>
  <c r="S8" i="2"/>
  <c r="S9" i="2"/>
  <c r="S7" i="2"/>
  <c r="S4" i="2"/>
  <c r="M36" i="2" s="1"/>
  <c r="S5" i="2"/>
  <c r="M37" i="2" s="1"/>
  <c r="S3" i="2"/>
  <c r="M35" i="2" s="1"/>
  <c r="S2" i="2"/>
  <c r="S10" i="2"/>
  <c r="K48" i="2"/>
  <c r="AA33" i="2"/>
  <c r="I53" i="2"/>
  <c r="J53" i="2"/>
  <c r="I57" i="2"/>
  <c r="J57" i="2"/>
  <c r="I56" i="2"/>
  <c r="J56" i="2"/>
  <c r="J59" i="2"/>
  <c r="I59" i="2"/>
  <c r="J51" i="2"/>
  <c r="I51" i="2"/>
  <c r="J58" i="2"/>
  <c r="I58" i="2"/>
  <c r="I54" i="2"/>
  <c r="J54" i="2"/>
  <c r="I55" i="2"/>
  <c r="J55" i="2"/>
  <c r="J52" i="2"/>
  <c r="I52" i="2"/>
  <c r="J49" i="2"/>
  <c r="I49" i="2"/>
  <c r="J50" i="2"/>
  <c r="I50" i="2"/>
  <c r="J48" i="2"/>
  <c r="I48" i="2"/>
  <c r="X43" i="2"/>
  <c r="Y43" i="2"/>
  <c r="Z43" i="2"/>
  <c r="Y38" i="2"/>
  <c r="Z38" i="2"/>
  <c r="X38" i="2"/>
  <c r="X36" i="2"/>
  <c r="Z36" i="2"/>
  <c r="Y36" i="2"/>
  <c r="Y41" i="2"/>
  <c r="Z41" i="2"/>
  <c r="X41" i="2"/>
  <c r="Y39" i="2"/>
  <c r="Z39" i="2"/>
  <c r="X39" i="2"/>
  <c r="Z40" i="2"/>
  <c r="Y40" i="2"/>
  <c r="X40" i="2"/>
  <c r="X42" i="2"/>
  <c r="Y42" i="2"/>
  <c r="Z42" i="2"/>
  <c r="Y37" i="2"/>
  <c r="Z37" i="2"/>
  <c r="X37" i="2"/>
  <c r="Z44" i="2"/>
  <c r="X44" i="2"/>
  <c r="Y44" i="2"/>
  <c r="X34" i="2"/>
  <c r="Y34" i="2"/>
  <c r="Z34" i="2"/>
  <c r="X35" i="2"/>
  <c r="Y35" i="2"/>
  <c r="Z35" i="2"/>
  <c r="Y33" i="2"/>
  <c r="Z33" i="2"/>
  <c r="X33" i="2"/>
  <c r="H38" i="2"/>
  <c r="H41" i="2"/>
  <c r="H37" i="2"/>
  <c r="H42" i="2"/>
  <c r="H36" i="2"/>
  <c r="H43" i="2"/>
  <c r="H39" i="2"/>
  <c r="H34" i="2"/>
  <c r="H44" i="2"/>
  <c r="H40" i="2"/>
  <c r="H35" i="2"/>
  <c r="H33" i="2"/>
  <c r="U24" i="2"/>
  <c r="V24" i="2"/>
  <c r="W24" i="2"/>
  <c r="U28" i="2"/>
  <c r="V28" i="2"/>
  <c r="W28" i="2"/>
  <c r="U27" i="2"/>
  <c r="W27" i="2"/>
  <c r="V27" i="2"/>
  <c r="U23" i="2"/>
  <c r="V23" i="2"/>
  <c r="W23" i="2"/>
  <c r="V22" i="2"/>
  <c r="W22" i="2"/>
  <c r="U22" i="2"/>
  <c r="V25" i="2"/>
  <c r="W25" i="2"/>
  <c r="U25" i="2"/>
  <c r="W30" i="2"/>
  <c r="U30" i="2"/>
  <c r="V30" i="2"/>
  <c r="V29" i="2"/>
  <c r="U29" i="2"/>
  <c r="W29" i="2"/>
  <c r="W20" i="2"/>
  <c r="U20" i="2"/>
  <c r="V20" i="2"/>
  <c r="V26" i="2"/>
  <c r="W26" i="2"/>
  <c r="U26" i="2"/>
  <c r="W21" i="2"/>
  <c r="U21" i="2"/>
  <c r="V21" i="2"/>
  <c r="V19" i="2"/>
  <c r="W19" i="2"/>
  <c r="I31" i="2"/>
  <c r="X19" i="2" s="1"/>
  <c r="AE37" i="2"/>
  <c r="AE35" i="2"/>
  <c r="AE33" i="2"/>
  <c r="H45" i="2" l="1"/>
  <c r="H19" i="2"/>
  <c r="H30" i="2"/>
  <c r="H23" i="2"/>
  <c r="H27" i="2"/>
  <c r="H22" i="2"/>
  <c r="H29" i="2"/>
  <c r="H21" i="2"/>
  <c r="H26" i="2"/>
  <c r="H25" i="2"/>
  <c r="H28" i="2"/>
  <c r="H24" i="2"/>
  <c r="H20" i="2"/>
  <c r="AD48" i="2"/>
  <c r="R3" i="2" a="1"/>
  <c r="R3" i="2" s="1"/>
  <c r="K35" i="2" s="1"/>
  <c r="R7" i="2" a="1"/>
  <c r="R7" i="2" s="1"/>
  <c r="R10" i="2" a="1"/>
  <c r="R10" i="2" s="1"/>
  <c r="R6" i="2" a="1"/>
  <c r="R6" i="2" s="1"/>
  <c r="R1" i="2" a="1"/>
  <c r="R1" i="2" s="1"/>
  <c r="K33" i="2" s="1"/>
  <c r="R8" i="2" a="1"/>
  <c r="R8" i="2" s="1"/>
  <c r="R9" i="2" a="1"/>
  <c r="R9" i="2" s="1"/>
  <c r="R5" i="2" a="1"/>
  <c r="R5" i="2" s="1"/>
  <c r="K37" i="2" s="1"/>
  <c r="R4" i="2" a="1"/>
  <c r="R4" i="2" s="1"/>
  <c r="K36" i="2" s="1"/>
  <c r="R2" i="2" a="1"/>
  <c r="R2" i="2" s="1"/>
  <c r="K34" i="2" s="1"/>
  <c r="M34" i="2"/>
  <c r="M38" i="2" s="1"/>
  <c r="AE20" i="2"/>
  <c r="AF19" i="2"/>
  <c r="AE19" i="2"/>
  <c r="L34" i="2"/>
  <c r="L35" i="2"/>
  <c r="L36" i="2"/>
  <c r="L37" i="2"/>
  <c r="L33" i="2"/>
  <c r="AD49" i="2" l="1"/>
  <c r="AC31" i="2"/>
  <c r="AB31" i="2"/>
  <c r="K49" i="2"/>
  <c r="U49" i="2"/>
  <c r="AA34" i="2"/>
  <c r="X20" i="2"/>
  <c r="Z60" i="2" s="1" a="1"/>
  <c r="Z60" i="2" s="1"/>
  <c r="C35" i="2"/>
  <c r="C33" i="2"/>
  <c r="T60" i="2" l="1" a="1"/>
  <c r="T60" i="2" s="1"/>
  <c r="S60" i="2" a="1"/>
  <c r="S60" i="2" s="1"/>
  <c r="J60" i="2" a="1"/>
  <c r="J60" i="2" s="1"/>
  <c r="U45" i="2" a="1"/>
  <c r="U45" i="2" s="1"/>
  <c r="V45" i="2" a="1"/>
  <c r="V45" i="2" s="1"/>
  <c r="W45" i="2" a="1"/>
  <c r="W45" i="2" s="1"/>
  <c r="I60" i="2" a="1"/>
  <c r="I60" i="2" s="1"/>
  <c r="W31" i="2" a="1"/>
  <c r="W31" i="2" s="1"/>
  <c r="V31" i="2" a="1"/>
  <c r="V31" i="2" s="1"/>
  <c r="U31" i="2" a="1"/>
  <c r="U31" i="2" s="1"/>
  <c r="AA31" i="2"/>
  <c r="I13" i="2"/>
  <c r="D10" i="2"/>
  <c r="E8" i="2"/>
  <c r="F8" i="2" s="1"/>
  <c r="D8" i="2"/>
  <c r="G8" i="2" s="1"/>
  <c r="E6" i="2"/>
  <c r="F6" i="2" s="1"/>
  <c r="D6" i="2"/>
  <c r="G6" i="2" s="1"/>
  <c r="E4" i="2"/>
  <c r="F4" i="2" s="1"/>
  <c r="D4" i="2"/>
  <c r="G4" i="2" s="1"/>
  <c r="C2" i="2" l="1"/>
  <c r="D2" i="2" s="1"/>
  <c r="A2" i="2"/>
  <c r="B2" i="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<sst xmlns="http://schemas.openxmlformats.org/spreadsheetml/2006/main" count="462" uniqueCount="161">
  <si>
    <t>JAN</t>
  </si>
  <si>
    <t>FEB</t>
  </si>
  <si>
    <t>MAR</t>
  </si>
  <si>
    <t>APR</t>
  </si>
  <si>
    <t>MAY</t>
  </si>
  <si>
    <t>JUN</t>
  </si>
  <si>
    <t>JUL</t>
  </si>
  <si>
    <t>AUG</t>
  </si>
  <si>
    <t>SEP</t>
  </si>
  <si>
    <t>OCT</t>
  </si>
  <si>
    <t>NOV</t>
  </si>
  <si>
    <t>DEC</t>
  </si>
  <si>
    <t>Sales</t>
  </si>
  <si>
    <t>Dia</t>
  </si>
  <si>
    <t>Stock Balances</t>
  </si>
  <si>
    <t>North</t>
  </si>
  <si>
    <t>Northeast</t>
  </si>
  <si>
    <t>East</t>
  </si>
  <si>
    <t>Southeast</t>
  </si>
  <si>
    <t>South</t>
  </si>
  <si>
    <t>Southwest</t>
  </si>
  <si>
    <t>West</t>
  </si>
  <si>
    <t>Northwest</t>
  </si>
  <si>
    <t>Year</t>
  </si>
  <si>
    <t>Month</t>
  </si>
  <si>
    <t>Name Month</t>
  </si>
  <si>
    <t>Sales Plan</t>
  </si>
  <si>
    <t>Conversion</t>
  </si>
  <si>
    <t>Margin</t>
  </si>
  <si>
    <t>KPI</t>
  </si>
  <si>
    <t>Sales M</t>
  </si>
  <si>
    <t>Sales N</t>
  </si>
  <si>
    <t>Lower</t>
  </si>
  <si>
    <t>Middle</t>
  </si>
  <si>
    <t>High</t>
  </si>
  <si>
    <t>Price Levels</t>
  </si>
  <si>
    <t>ROI</t>
  </si>
  <si>
    <t>Sales N L2</t>
  </si>
  <si>
    <t>Sales M L2</t>
  </si>
  <si>
    <t>FaceBook</t>
  </si>
  <si>
    <t>Instagram</t>
  </si>
  <si>
    <t>Shopify</t>
  </si>
  <si>
    <t>Online Store</t>
  </si>
  <si>
    <t>Niche Market</t>
  </si>
  <si>
    <t>Mass Market</t>
  </si>
  <si>
    <t>Markets</t>
  </si>
  <si>
    <t>Coverage</t>
  </si>
  <si>
    <t>Row Labels</t>
  </si>
  <si>
    <t>Grand Total</t>
  </si>
  <si>
    <t>Sum of Sales</t>
  </si>
  <si>
    <t>Sum of Lower</t>
  </si>
  <si>
    <t>Sum of Middle</t>
  </si>
  <si>
    <t>Sum of High</t>
  </si>
  <si>
    <t>Average of ROI</t>
  </si>
  <si>
    <t>Average of Coverage</t>
  </si>
  <si>
    <t>Average of FaceBook</t>
  </si>
  <si>
    <t>Average of Instagram</t>
  </si>
  <si>
    <t>Average of Online Store</t>
  </si>
  <si>
    <t>Average of Shopify</t>
  </si>
  <si>
    <t>Average of Sales Plan</t>
  </si>
  <si>
    <t>Average of KPI</t>
  </si>
  <si>
    <t>Average of Conversion</t>
  </si>
  <si>
    <t>Average of Margin</t>
  </si>
  <si>
    <t>data</t>
  </si>
  <si>
    <t>NM Change</t>
  </si>
  <si>
    <t>MM Change</t>
  </si>
  <si>
    <t>x</t>
  </si>
  <si>
    <t>y</t>
  </si>
  <si>
    <t>Mark1</t>
  </si>
  <si>
    <t>Mark2</t>
  </si>
  <si>
    <t>Lower L2</t>
  </si>
  <si>
    <t>Middle L2</t>
  </si>
  <si>
    <t>High L2</t>
  </si>
  <si>
    <t>Lower N</t>
  </si>
  <si>
    <t>Middle N</t>
  </si>
  <si>
    <t>High N</t>
  </si>
  <si>
    <t>Lower M</t>
  </si>
  <si>
    <t>Middle M</t>
  </si>
  <si>
    <t>High M</t>
  </si>
  <si>
    <t>Lower Fill</t>
  </si>
  <si>
    <t>Middle Fill</t>
  </si>
  <si>
    <t>High Fill</t>
  </si>
  <si>
    <t>Mark</t>
  </si>
  <si>
    <t>MM</t>
  </si>
  <si>
    <t>NM</t>
  </si>
  <si>
    <t>Channels</t>
  </si>
  <si>
    <t>Warehouse Load</t>
  </si>
  <si>
    <t>Shipped Orders</t>
  </si>
  <si>
    <t>Product 1</t>
  </si>
  <si>
    <t>Product 2</t>
  </si>
  <si>
    <t>Product 3</t>
  </si>
  <si>
    <t>Product 4</t>
  </si>
  <si>
    <t>Product 5</t>
  </si>
  <si>
    <t>Product 6</t>
  </si>
  <si>
    <t>Product 7</t>
  </si>
  <si>
    <t>Product 8</t>
  </si>
  <si>
    <t>Product 9</t>
  </si>
  <si>
    <t>Inventory Cost</t>
  </si>
  <si>
    <t>Inventory Turnover</t>
  </si>
  <si>
    <t>Warehouse Payback</t>
  </si>
  <si>
    <t>Consumption</t>
  </si>
  <si>
    <t>Coming</t>
  </si>
  <si>
    <t>Returns</t>
  </si>
  <si>
    <t>Shelf Life Exceeded</t>
  </si>
  <si>
    <t>Disposal</t>
  </si>
  <si>
    <t>Sum of Stock Balances</t>
  </si>
  <si>
    <t>Average of Warehouse Load</t>
  </si>
  <si>
    <t>Average of Shipped Orders</t>
  </si>
  <si>
    <t>L2</t>
  </si>
  <si>
    <t>Sum of Inventory Cost</t>
  </si>
  <si>
    <t>Sum of Inventory Turnover</t>
  </si>
  <si>
    <t>Sum of Warehouse Payback</t>
  </si>
  <si>
    <t>Average of Consumption</t>
  </si>
  <si>
    <t>Average of Coming</t>
  </si>
  <si>
    <t>Average of Returns</t>
  </si>
  <si>
    <t>S L2</t>
  </si>
  <si>
    <t>D L2</t>
  </si>
  <si>
    <t>Sum of Shelf Life Exceeded</t>
  </si>
  <si>
    <t>Sum of Disposal</t>
  </si>
  <si>
    <t>Sum of Product 1</t>
  </si>
  <si>
    <t>Sum of Product 2</t>
  </si>
  <si>
    <t>Sum of Product 3</t>
  </si>
  <si>
    <t>Sum of Product 4</t>
  </si>
  <si>
    <t>Sum of Product 5</t>
  </si>
  <si>
    <t>Sum of Product 6</t>
  </si>
  <si>
    <t>Sum of Product 7</t>
  </si>
  <si>
    <t>Sum of Product 8</t>
  </si>
  <si>
    <t>Sum of Product 9</t>
  </si>
  <si>
    <t>Product 0</t>
  </si>
  <si>
    <t>Sum of Product 0</t>
  </si>
  <si>
    <t>Logistic Load</t>
  </si>
  <si>
    <t>Transport Downtime</t>
  </si>
  <si>
    <t>Supply</t>
  </si>
  <si>
    <t>Shipment</t>
  </si>
  <si>
    <t>Logistics Costs</t>
  </si>
  <si>
    <t>indent</t>
  </si>
  <si>
    <t>Sum of Supply</t>
  </si>
  <si>
    <t>Sum of Shipment</t>
  </si>
  <si>
    <t>SupplyL2</t>
  </si>
  <si>
    <t>ShipmentL2</t>
  </si>
  <si>
    <t>`</t>
  </si>
  <si>
    <t>Costs L2</t>
  </si>
  <si>
    <t>Sum of Logistics Costs</t>
  </si>
  <si>
    <t>Average of Logistic Load</t>
  </si>
  <si>
    <t>Average of Transport Downtime</t>
  </si>
  <si>
    <t>Sum of Northwest</t>
  </si>
  <si>
    <t>Sum of West</t>
  </si>
  <si>
    <t>Sum of Southwest</t>
  </si>
  <si>
    <t>Sum of South</t>
  </si>
  <si>
    <t>Sum of Southeast</t>
  </si>
  <si>
    <t>Sum of East</t>
  </si>
  <si>
    <t>Sum of Northeast</t>
  </si>
  <si>
    <t>Sum of North</t>
  </si>
  <si>
    <t>◼️</t>
  </si>
  <si>
    <t>█</t>
  </si>
  <si>
    <t>TOTAL:</t>
  </si>
  <si>
    <t>MAX</t>
  </si>
  <si>
    <t>Scaling Potential</t>
  </si>
  <si>
    <t>Market Share</t>
  </si>
  <si>
    <t>Top-5 Products Ranking</t>
  </si>
  <si>
    <t>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</si>
</sst>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font>
      <sz val="11"/>
      <color theme="1"/>
      <name val="Aptos Narrow"/>
      <family val="2"/>
      <scheme val="minor"/>
    </font>
    <font>
      <sz val="11"/>
      <color theme="1"/>
      <name val="Aptos Narrow"/>
      <family val="2"/>
      <scheme val="minor"/>
    </font>
    <font>
      <sz val="11"/>
      <color theme="1"/>
      <name val="Calibri"/>
      <family val="2"/>
      <charset val="204"/>
    </font>
    <font>
      <sz val="8"/>
      <name val="Aptos Narrow"/>
      <family val="2"/>
      <scheme val="minor"/>
    </font>
    <font>
      <b/>
      <sz val="11"/>
      <color theme="1"/>
      <name val="Aptos Narrow"/>
      <family val="2"/>
      <scheme val="minor"/>
    </font>
    <font>
      <b/>
      <sz val="11"/>
      <color theme="1"/>
      <name val="Aptos Narrow"/>
      <family val="2"/>
      <charset val="204"/>
      <scheme val="minor"/>
    </font>
    <font>
      <sz val="11"/>
      <color theme="1"/>
      <name val="Aptos Narrow"/>
      <family val="2"/>
      <charset val="1"/>
      <scheme val="minor"/>
    </font>
    <font>
      <b/>
      <sz val="9"/>
      <color theme="1"/>
      <name val="Bahnschrift"/>
      <family val="2"/>
      <charset val="204"/>
    </font>
  </fonts>
  <fills count="4">
    <fill>
      <patternFill patternType="none"/>
    </fill>
    <fill>
      <patternFill patternType="gray125"/>
    </fill>
    <fill>
      <patternFill patternType="solid">
        <fgColor theme="1"/>
        <bgColor indexed="64"/>
      </patternFill>
    </fill>
    <fill>
      <patternFill patternType="solid">
        <fgColor theme="0" tint="-0.49998474074526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6" fillId="0" borderId="0"/>
  </cellStyleXfs>
  <cellXfs count="28">
    <xf numFmtId="0" fontId="0" fillId="0" borderId="0" xfId="0"/>
    <xf numFmtId="0" fontId="0" fillId="2" borderId="0" xfId="0" applyFill="1"/>
    <xf numFmtId="9" fontId="0" fillId="0" borderId="0" xfId="1" applyFont="1"/>
    <xf numFmtId="9" fontId="0" fillId="0" borderId="0" xfId="0" applyNumberFormat="1"/>
    <xf numFmtId="0" fontId="0" fillId="0" borderId="0" xfId="0" applyAlignment="1">
      <alignment horizontal="center"/>
    </xf>
    <xf numFmtId="0" fontId="2" fillId="2" borderId="0" xfId="0" applyFont="1" applyFill="1"/>
    <xf numFmtId="10" fontId="0" fillId="0" borderId="0" xfId="0" applyNumberFormat="1"/>
    <xf numFmtId="0" fontId="5"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xf>
    <xf numFmtId="164" fontId="0" fillId="0" borderId="0" xfId="1" applyNumberFormat="1" applyFont="1"/>
    <xf numFmtId="0" fontId="4" fillId="0" borderId="0" xfId="0" applyFont="1" applyAlignment="1">
      <alignment horizontal="center"/>
    </xf>
    <xf numFmtId="3" fontId="4" fillId="0" borderId="0" xfId="0" applyNumberFormat="1" applyFont="1" applyAlignment="1">
      <alignment horizontal="center" vertical="center"/>
    </xf>
    <xf numFmtId="0" fontId="4" fillId="0" borderId="0" xfId="0" applyFont="1" applyAlignment="1">
      <alignment horizontal="center" vertical="center" wrapText="1"/>
    </xf>
    <xf numFmtId="9" fontId="4" fillId="0" borderId="0" xfId="0" applyNumberFormat="1" applyFont="1" applyAlignment="1">
      <alignment horizontal="center" vertical="center"/>
    </xf>
    <xf numFmtId="0" fontId="0" fillId="0" borderId="0" xfId="0" pivotButton="1"/>
    <xf numFmtId="0" fontId="0" fillId="0" borderId="0" xfId="0" applyAlignment="1">
      <alignment horizontal="left"/>
    </xf>
    <xf numFmtId="0" fontId="0" fillId="3" borderId="0" xfId="0" applyFill="1"/>
    <xf numFmtId="0" fontId="7" fillId="0" borderId="0" xfId="2" applyFont="1" applyAlignment="1">
      <alignment horizontal="center" vertical="center"/>
    </xf>
    <xf numFmtId="0" fontId="0" fillId="0" borderId="0" xfId="0" applyAlignment="1">
      <alignment horizontal="left" vertical="center"/>
    </xf>
    <xf numFmtId="0" fontId="4" fillId="0" borderId="0" xfId="0" applyFont="1"/>
    <xf numFmtId="0" fontId="0" fillId="0" borderId="0" xfId="0" applyAlignment="1">
      <alignment horizontal="center" vertical="center"/>
    </xf>
    <xf numFmtId="3" fontId="0" fillId="0" borderId="0" xfId="0" applyNumberFormat="1"/>
    <xf numFmtId="3" fontId="0" fillId="0" borderId="0" xfId="1" applyNumberFormat="1" applyFont="1"/>
    <xf numFmtId="0" fontId="0" fillId="0" borderId="0" xfId="0" applyAlignment="1">
      <alignment horizontal="right"/>
    </xf>
    <xf numFmtId="0" fontId="0" fillId="0" borderId="0" xfId="0" applyNumberFormat="1"/>
    <xf numFmtId="0" fontId="0" fillId="0" borderId="0" xfId="0" applyAlignment="1">
      <alignment horizontal="center"/>
    </xf>
    <xf numFmtId="0" fontId="4" fillId="0" borderId="0" xfId="0" applyFont="1" applyAlignment="1">
      <alignment horizontal="center" vertical="center"/>
    </xf>
  </cellXfs>
  <cellStyles count="3">
    <cellStyle name="Normal" xfId="0" builtinId="0"/>
    <cellStyle name="Normal 2" xfId="2"/>
    <cellStyle name="Percent" xfId="1" builtinId="5"/>
  </cellStyles>
  <dxfs count="24">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b/>
        <color theme="1"/>
      </font>
      <border>
        <bottom style="thin">
          <color theme="4"/>
        </bottom>
        <vertical/>
        <horizontal/>
      </border>
    </dxf>
    <dxf>
      <font>
        <sz val="10"/>
        <color theme="4" tint="0.79998168889431442"/>
      </font>
      <fill>
        <patternFill>
          <bgColor rgb="FF181C28"/>
        </patternFill>
      </fill>
      <border diagonalUp="0" diagonalDown="0">
        <left/>
        <right/>
        <top/>
        <bottom/>
        <vertical/>
        <horizontal/>
      </border>
    </dxf>
    <dxf>
      <font>
        <b/>
        <color theme="1"/>
      </font>
      <border>
        <bottom style="thin">
          <color theme="4"/>
        </bottom>
        <vertical/>
        <horizontal/>
      </border>
    </dxf>
    <dxf>
      <font>
        <color theme="1"/>
      </font>
      <fill>
        <patternFill patternType="solid">
          <fgColor auto="1"/>
          <bgColor theme="1"/>
        </patternFill>
      </fill>
      <border diagonalUp="0" diagonalDown="0">
        <left/>
        <right/>
        <top/>
        <bottom/>
        <vertical/>
        <horizontal/>
      </border>
    </dxf>
  </dxfs>
  <tableStyles count="2" defaultTableStyle="TableStyleMedium2" defaultPivotStyle="PivotStyleLight16">
    <tableStyle name="SlicerStyleLight1 2" pivot="0" table="0" count="10">
      <tableStyleElement type="wholeTable" dxfId="23"/>
      <tableStyleElement type="headerRow" dxfId="22"/>
    </tableStyle>
    <tableStyle name="SlicerStyleLight1 3" pivot="0" table="0" count="10">
      <tableStyleElement type="wholeTable" dxfId="21"/>
      <tableStyleElement type="headerRow" dxfId="20"/>
    </tableStyle>
  </tableStyles>
  <colors>
    <mruColors>
      <color rgb="FFD36FF9"/>
      <color rgb="FF1DE1EB"/>
      <color rgb="FFC1E5F5"/>
      <color rgb="FF33B9FF"/>
      <color rgb="FF44DEEE"/>
      <color rgb="FF21E6DF"/>
      <color rgb="FF0B3041"/>
      <color rgb="FF9F7EF8"/>
      <color rgb="FF1E81AE"/>
      <color rgb="FF145876"/>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9"/>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9"/>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9"/>
            <color theme="4" tint="0.79998168889431442"/>
          </font>
          <fill>
            <patternFill patternType="solid">
              <fgColor theme="4" tint="0.59999389629810485"/>
              <bgColor rgb="FF181C28"/>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9"/>
            <color theme="0" tint="-0.499984740745262"/>
          </font>
          <fill>
            <patternFill patternType="solid">
              <fgColor rgb="FFFFFFFF"/>
              <bgColor rgb="FF181C28"/>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21E6DF"/>
          </font>
          <fill>
            <gradientFill degree="90">
              <stop position="0">
                <color rgb="FF475A69"/>
              </stop>
              <stop position="1">
                <color rgb="FF33404B"/>
              </stop>
            </gradientFill>
          </fill>
          <border>
            <left style="thin">
              <color theme="1" tint="0.34998626667073579"/>
            </left>
            <right style="thin">
              <color theme="1" tint="0.34998626667073579"/>
            </right>
            <top style="thin">
              <color theme="1" tint="0.34998626667073579"/>
            </top>
            <bottom style="thin">
              <color theme="1" tint="0.3499862666707357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499984740745262"/>
          </font>
          <fill>
            <gradientFill degree="90">
              <stop position="0">
                <color rgb="FF2A353E"/>
              </stop>
              <stop position="1">
                <color rgb="FF171E23"/>
              </stop>
            </gradientFill>
          </fill>
          <border>
            <left style="thin">
              <color theme="1" tint="0.14996795556505021"/>
            </left>
            <right style="thin">
              <color theme="1" tint="0.14996795556505021"/>
            </right>
            <top style="thin">
              <color theme="1" tint="0.14996795556505021"/>
            </top>
            <bottom style="thin">
              <color theme="1" tint="0.14996795556505021"/>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6.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a:effectLst>
              <a:outerShdw blurRad="50800" dist="38100" dir="8100000" algn="tr" rotWithShape="0">
                <a:prstClr val="black">
                  <a:alpha val="40000"/>
                </a:prstClr>
              </a:outerShdw>
            </a:effectLst>
          </c:spPr>
          <c:dPt>
            <c:idx val="0"/>
            <c:bubble3D val="0"/>
            <c:spPr>
              <a:gradFill>
                <a:gsLst>
                  <a:gs pos="82000">
                    <a:srgbClr val="D36FF9"/>
                  </a:gs>
                  <a:gs pos="18000">
                    <a:srgbClr val="F3ABFD"/>
                  </a:gs>
                </a:gsLst>
                <a:lin ang="2400000" scaled="0"/>
              </a:gra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1-AFED-4156-94D7-9FEAB5403C0B}"/>
              </c:ext>
            </c:extLst>
          </c:dPt>
          <c:dPt>
            <c:idx val="1"/>
            <c:bubble3D val="0"/>
            <c:spPr>
              <a:solidFill>
                <a:schemeClr val="bg1"/>
              </a:soli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3-AFED-4156-94D7-9FEAB5403C0B}"/>
              </c:ext>
            </c:extLst>
          </c:dPt>
          <c:dPt>
            <c:idx val="2"/>
            <c:bubble3D val="0"/>
            <c:spPr>
              <a:gradFill>
                <a:gsLst>
                  <a:gs pos="82000">
                    <a:srgbClr val="D36FF9"/>
                  </a:gs>
                  <a:gs pos="18000">
                    <a:srgbClr val="F3ABFD"/>
                  </a:gs>
                </a:gsLst>
                <a:lin ang="2400000" scaled="0"/>
              </a:gra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5-AFED-4156-94D7-9FEAB5403C0B}"/>
              </c:ext>
            </c:extLst>
          </c:dPt>
          <c:dPt>
            <c:idx val="3"/>
            <c:bubble3D val="0"/>
            <c:spPr>
              <a:no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7-AFED-4156-94D7-9FEAB5403C0B}"/>
              </c:ext>
            </c:extLst>
          </c:dPt>
          <c:val>
            <c:numRef>
              <c:f>Processing!$D$8:$G$8</c:f>
              <c:numCache>
                <c:formatCode>0%</c:formatCode>
                <c:ptCount val="4"/>
                <c:pt idx="0">
                  <c:v>0.69708333333333328</c:v>
                </c:pt>
                <c:pt idx="1">
                  <c:v>0</c:v>
                </c:pt>
                <c:pt idx="2">
                  <c:v>0</c:v>
                </c:pt>
                <c:pt idx="3">
                  <c:v>0.30291666666666672</c:v>
                </c:pt>
              </c:numCache>
            </c:numRef>
          </c:val>
          <c:extLst>
            <c:ext xmlns:c16="http://schemas.microsoft.com/office/drawing/2014/chart" uri="{C3380CC4-5D6E-409C-BE32-E72D297353CC}">
              <c16:uniqueId val="{00000008-AFED-4156-94D7-9FEAB5403C0B}"/>
            </c:ext>
          </c:extLst>
        </c:ser>
        <c:dLbls>
          <c:showLegendKey val="0"/>
          <c:showVal val="0"/>
          <c:showCatName val="0"/>
          <c:showSerName val="0"/>
          <c:showPercent val="0"/>
          <c:showBubbleSize val="0"/>
          <c:showLeaderLines val="1"/>
        </c:dLbls>
        <c:firstSliceAng val="3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a:effectLst>
              <a:outerShdw blurRad="50800" dist="38100" dir="8100000" algn="tr" rotWithShape="0">
                <a:prstClr val="black">
                  <a:alpha val="40000"/>
                </a:prstClr>
              </a:outerShdw>
            </a:effectLst>
          </c:spPr>
          <c:dPt>
            <c:idx val="0"/>
            <c:bubble3D val="0"/>
            <c:spPr>
              <a:gradFill>
                <a:gsLst>
                  <a:gs pos="82000">
                    <a:srgbClr val="D36FF9"/>
                  </a:gs>
                  <a:gs pos="18000">
                    <a:srgbClr val="9F7EF8"/>
                  </a:gs>
                </a:gsLst>
                <a:lin ang="2400000" scaled="0"/>
              </a:gra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1-9129-413E-A6B4-C8EDE7BB585F}"/>
              </c:ext>
            </c:extLst>
          </c:dPt>
          <c:dPt>
            <c:idx val="1"/>
            <c:bubble3D val="0"/>
            <c:spPr>
              <a:solidFill>
                <a:schemeClr val="bg1"/>
              </a:soli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3-9129-413E-A6B4-C8EDE7BB585F}"/>
              </c:ext>
            </c:extLst>
          </c:dPt>
          <c:dPt>
            <c:idx val="2"/>
            <c:bubble3D val="0"/>
            <c:spPr>
              <a:gradFill>
                <a:gsLst>
                  <a:gs pos="82000">
                    <a:srgbClr val="D36FF9"/>
                  </a:gs>
                  <a:gs pos="18000">
                    <a:srgbClr val="9F7EF8"/>
                  </a:gs>
                </a:gsLst>
                <a:lin ang="2400000" scaled="0"/>
              </a:gra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5-9129-413E-A6B4-C8EDE7BB585F}"/>
              </c:ext>
            </c:extLst>
          </c:dPt>
          <c:dPt>
            <c:idx val="3"/>
            <c:bubble3D val="0"/>
            <c:spPr>
              <a:no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7-9129-413E-A6B4-C8EDE7BB585F}"/>
              </c:ext>
            </c:extLst>
          </c:dPt>
          <c:val>
            <c:numRef>
              <c:f>Processing!$D$6:$G$6</c:f>
              <c:numCache>
                <c:formatCode>0%</c:formatCode>
                <c:ptCount val="4"/>
                <c:pt idx="0">
                  <c:v>0.86499999999999999</c:v>
                </c:pt>
                <c:pt idx="1">
                  <c:v>0</c:v>
                </c:pt>
                <c:pt idx="2">
                  <c:v>0</c:v>
                </c:pt>
                <c:pt idx="3">
                  <c:v>0.13500000000000001</c:v>
                </c:pt>
              </c:numCache>
            </c:numRef>
          </c:val>
          <c:extLst>
            <c:ext xmlns:c16="http://schemas.microsoft.com/office/drawing/2014/chart" uri="{C3380CC4-5D6E-409C-BE32-E72D297353CC}">
              <c16:uniqueId val="{00000008-9129-413E-A6B4-C8EDE7BB585F}"/>
            </c:ext>
          </c:extLst>
        </c:ser>
        <c:dLbls>
          <c:showLegendKey val="0"/>
          <c:showVal val="0"/>
          <c:showCatName val="0"/>
          <c:showSerName val="0"/>
          <c:showPercent val="0"/>
          <c:showBubbleSize val="0"/>
          <c:showLeaderLines val="1"/>
        </c:dLbls>
        <c:firstSliceAng val="3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a:effectLst>
              <a:outerShdw blurRad="50800" dist="38100" dir="8100000" algn="tr" rotWithShape="0">
                <a:prstClr val="black">
                  <a:alpha val="40000"/>
                </a:prstClr>
              </a:outerShdw>
            </a:effectLst>
          </c:spPr>
          <c:dPt>
            <c:idx val="0"/>
            <c:bubble3D val="0"/>
            <c:spPr>
              <a:gradFill>
                <a:gsLst>
                  <a:gs pos="88000">
                    <a:srgbClr val="21E6DF"/>
                  </a:gs>
                  <a:gs pos="21000">
                    <a:srgbClr val="9F7EF8"/>
                  </a:gs>
                </a:gsLst>
                <a:lin ang="2400000" scaled="0"/>
              </a:gra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1-F87D-443B-9A3D-2C4B5532E246}"/>
              </c:ext>
            </c:extLst>
          </c:dPt>
          <c:dPt>
            <c:idx val="1"/>
            <c:bubble3D val="0"/>
            <c:spPr>
              <a:solidFill>
                <a:schemeClr val="bg1"/>
              </a:soli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3-F87D-443B-9A3D-2C4B5532E246}"/>
              </c:ext>
            </c:extLst>
          </c:dPt>
          <c:dPt>
            <c:idx val="2"/>
            <c:bubble3D val="0"/>
            <c:spPr>
              <a:gradFill>
                <a:gsLst>
                  <a:gs pos="88000">
                    <a:srgbClr val="21E6DF"/>
                  </a:gs>
                  <a:gs pos="21000">
                    <a:srgbClr val="9F7EF8"/>
                  </a:gs>
                </a:gsLst>
                <a:lin ang="2400000" scaled="0"/>
              </a:gra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5-F87D-443B-9A3D-2C4B5532E246}"/>
              </c:ext>
            </c:extLst>
          </c:dPt>
          <c:dPt>
            <c:idx val="3"/>
            <c:bubble3D val="0"/>
            <c:spPr>
              <a:no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7-F87D-443B-9A3D-2C4B5532E246}"/>
              </c:ext>
            </c:extLst>
          </c:dPt>
          <c:val>
            <c:numRef>
              <c:f>Processing!$D$4:$G$4</c:f>
              <c:numCache>
                <c:formatCode>0%</c:formatCode>
                <c:ptCount val="4"/>
                <c:pt idx="0">
                  <c:v>0.97666666666666668</c:v>
                </c:pt>
                <c:pt idx="1">
                  <c:v>0</c:v>
                </c:pt>
                <c:pt idx="2">
                  <c:v>0</c:v>
                </c:pt>
                <c:pt idx="3">
                  <c:v>2.3333333333333317E-2</c:v>
                </c:pt>
              </c:numCache>
            </c:numRef>
          </c:val>
          <c:extLst>
            <c:ext xmlns:c16="http://schemas.microsoft.com/office/drawing/2014/chart" uri="{C3380CC4-5D6E-409C-BE32-E72D297353CC}">
              <c16:uniqueId val="{00000008-F87D-443B-9A3D-2C4B5532E246}"/>
            </c:ext>
          </c:extLst>
        </c:ser>
        <c:dLbls>
          <c:showLegendKey val="0"/>
          <c:showVal val="0"/>
          <c:showCatName val="0"/>
          <c:showSerName val="0"/>
          <c:showPercent val="0"/>
          <c:showBubbleSize val="0"/>
          <c:showLeaderLines val="1"/>
        </c:dLbls>
        <c:firstSliceAng val="3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a:effectLst>
              <a:outerShdw blurRad="50800" dist="38100" dir="8100000" algn="tr" rotWithShape="0">
                <a:prstClr val="black">
                  <a:alpha val="40000"/>
                </a:prstClr>
              </a:outerShdw>
            </a:effectLst>
          </c:spPr>
          <c:dPt>
            <c:idx val="0"/>
            <c:bubble3D val="0"/>
            <c:spPr>
              <a:gradFill>
                <a:gsLst>
                  <a:gs pos="88000">
                    <a:srgbClr val="8AF2F0"/>
                  </a:gs>
                  <a:gs pos="21000">
                    <a:srgbClr val="9F7EF8"/>
                  </a:gs>
                </a:gsLst>
                <a:lin ang="2400000" scaled="0"/>
              </a:gra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1-285B-4226-9469-8AAB39E1C702}"/>
              </c:ext>
            </c:extLst>
          </c:dPt>
          <c:dPt>
            <c:idx val="1"/>
            <c:bubble3D val="0"/>
            <c:spPr>
              <a:no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3-285B-4226-9469-8AAB39E1C702}"/>
              </c:ext>
            </c:extLst>
          </c:dPt>
          <c:val>
            <c:numRef>
              <c:f>Processing!$C$10:$D$10</c:f>
              <c:numCache>
                <c:formatCode>0%</c:formatCode>
                <c:ptCount val="2"/>
                <c:pt idx="0">
                  <c:v>0.33499999999999996</c:v>
                </c:pt>
                <c:pt idx="1">
                  <c:v>0.66500000000000004</c:v>
                </c:pt>
              </c:numCache>
            </c:numRef>
          </c:val>
          <c:extLst>
            <c:ext xmlns:c16="http://schemas.microsoft.com/office/drawing/2014/chart" uri="{C3380CC4-5D6E-409C-BE32-E72D297353CC}">
              <c16:uniqueId val="{00000008-285B-4226-9469-8AAB39E1C702}"/>
            </c:ext>
          </c:extLst>
        </c:ser>
        <c:dLbls>
          <c:showLegendKey val="0"/>
          <c:showVal val="0"/>
          <c:showCatName val="0"/>
          <c:showSerName val="0"/>
          <c:showPercent val="0"/>
          <c:showBubbleSize val="0"/>
          <c:showLeaderLines val="1"/>
        </c:dLbls>
        <c:firstSliceAng val="3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77777777777776E-2"/>
          <c:y val="2.0833333333333332E-2"/>
          <c:w val="0.95138888888888884"/>
          <c:h val="0.95138888888888884"/>
        </c:manualLayout>
      </c:layout>
      <c:doughnutChart>
        <c:varyColors val="1"/>
        <c:ser>
          <c:idx val="1"/>
          <c:order val="0"/>
          <c:spPr>
            <a:noFill/>
            <a:ln w="12700">
              <a:noFill/>
            </a:ln>
          </c:spPr>
          <c:dPt>
            <c:idx val="0"/>
            <c:bubble3D val="0"/>
            <c:spPr>
              <a:noFill/>
              <a:ln w="12700">
                <a:noFill/>
              </a:ln>
              <a:effectLst/>
            </c:spPr>
            <c:extLst>
              <c:ext xmlns:c16="http://schemas.microsoft.com/office/drawing/2014/chart" uri="{C3380CC4-5D6E-409C-BE32-E72D297353CC}">
                <c16:uniqueId val="{00000001-5F19-4229-B6D7-A797233CD9E2}"/>
              </c:ext>
            </c:extLst>
          </c:dPt>
          <c:dPt>
            <c:idx val="1"/>
            <c:bubble3D val="0"/>
            <c:spPr>
              <a:noFill/>
              <a:ln w="12700">
                <a:noFill/>
              </a:ln>
              <a:effectLst/>
            </c:spPr>
            <c:extLst>
              <c:ext xmlns:c16="http://schemas.microsoft.com/office/drawing/2014/chart" uri="{C3380CC4-5D6E-409C-BE32-E72D297353CC}">
                <c16:uniqueId val="{00000003-5F19-4229-B6D7-A797233CD9E2}"/>
              </c:ext>
            </c:extLst>
          </c:dPt>
          <c:dPt>
            <c:idx val="2"/>
            <c:bubble3D val="0"/>
            <c:spPr>
              <a:noFill/>
              <a:ln w="12700">
                <a:noFill/>
              </a:ln>
              <a:effectLst/>
            </c:spPr>
            <c:extLst>
              <c:ext xmlns:c16="http://schemas.microsoft.com/office/drawing/2014/chart" uri="{C3380CC4-5D6E-409C-BE32-E72D297353CC}">
                <c16:uniqueId val="{00000005-5F19-4229-B6D7-A797233CD9E2}"/>
              </c:ext>
            </c:extLst>
          </c:dPt>
          <c:dPt>
            <c:idx val="3"/>
            <c:bubble3D val="0"/>
            <c:spPr>
              <a:noFill/>
              <a:ln w="12700">
                <a:noFill/>
              </a:ln>
              <a:effectLst/>
            </c:spPr>
            <c:extLst>
              <c:ext xmlns:c16="http://schemas.microsoft.com/office/drawing/2014/chart" uri="{C3380CC4-5D6E-409C-BE32-E72D297353CC}">
                <c16:uniqueId val="{00000007-5F19-4229-B6D7-A797233CD9E2}"/>
              </c:ext>
            </c:extLst>
          </c:dPt>
          <c:val>
            <c:numRef>
              <c:f>Processing!$B$13:$B$16</c:f>
              <c:numCache>
                <c:formatCode>0%</c:formatCode>
                <c:ptCount val="4"/>
                <c:pt idx="0">
                  <c:v>0.24833333333333329</c:v>
                </c:pt>
                <c:pt idx="1">
                  <c:v>0.21666666666666673</c:v>
                </c:pt>
                <c:pt idx="2">
                  <c:v>0.28333333333333333</c:v>
                </c:pt>
                <c:pt idx="3">
                  <c:v>0.25166666666666671</c:v>
                </c:pt>
              </c:numCache>
            </c:numRef>
          </c:val>
          <c:extLst>
            <c:ext xmlns:c16="http://schemas.microsoft.com/office/drawing/2014/chart" uri="{C3380CC4-5D6E-409C-BE32-E72D297353CC}">
              <c16:uniqueId val="{00000009-9051-42A8-931E-F682ED5FAD8B}"/>
            </c:ext>
          </c:extLst>
        </c:ser>
        <c:dLbls>
          <c:showLegendKey val="0"/>
          <c:showVal val="0"/>
          <c:showCatName val="0"/>
          <c:showSerName val="0"/>
          <c:showPercent val="0"/>
          <c:showBubbleSize val="0"/>
          <c:showLeaderLines val="1"/>
        </c:dLbls>
        <c:firstSliceAng val="0"/>
        <c:holeSize val="50"/>
      </c:doughnutChart>
      <c:doughnutChart>
        <c:varyColors val="1"/>
        <c:ser>
          <c:idx val="2"/>
          <c:order val="1"/>
          <c:spPr>
            <a:noFill/>
            <a:ln w="9525">
              <a:solidFill>
                <a:schemeClr val="accent1">
                  <a:lumMod val="40000"/>
                  <a:lumOff val="60000"/>
                  <a:alpha val="50000"/>
                </a:schemeClr>
              </a:solidFill>
              <a:prstDash val="solid"/>
            </a:ln>
          </c:spPr>
          <c:dPt>
            <c:idx val="0"/>
            <c:bubble3D val="0"/>
            <c:spPr>
              <a:noFill/>
              <a:ln w="9525">
                <a:solidFill>
                  <a:schemeClr val="accent1">
                    <a:lumMod val="40000"/>
                    <a:lumOff val="60000"/>
                    <a:alpha val="50000"/>
                  </a:schemeClr>
                </a:solidFill>
                <a:prstDash val="solid"/>
              </a:ln>
              <a:effectLst/>
            </c:spPr>
            <c:extLst>
              <c:ext xmlns:c16="http://schemas.microsoft.com/office/drawing/2014/chart" uri="{C3380CC4-5D6E-409C-BE32-E72D297353CC}">
                <c16:uniqueId val="{00000009-5F19-4229-B6D7-A797233CD9E2}"/>
              </c:ext>
            </c:extLst>
          </c:dPt>
          <c:dPt>
            <c:idx val="1"/>
            <c:bubble3D val="0"/>
            <c:spPr>
              <a:noFill/>
              <a:ln w="9525">
                <a:solidFill>
                  <a:schemeClr val="accent1">
                    <a:lumMod val="40000"/>
                    <a:lumOff val="60000"/>
                    <a:alpha val="50000"/>
                  </a:schemeClr>
                </a:solidFill>
                <a:prstDash val="solid"/>
              </a:ln>
              <a:effectLst/>
            </c:spPr>
            <c:extLst>
              <c:ext xmlns:c16="http://schemas.microsoft.com/office/drawing/2014/chart" uri="{C3380CC4-5D6E-409C-BE32-E72D297353CC}">
                <c16:uniqueId val="{0000000B-5F19-4229-B6D7-A797233CD9E2}"/>
              </c:ext>
            </c:extLst>
          </c:dPt>
          <c:dPt>
            <c:idx val="2"/>
            <c:bubble3D val="0"/>
            <c:spPr>
              <a:noFill/>
              <a:ln w="9525">
                <a:solidFill>
                  <a:schemeClr val="accent1">
                    <a:lumMod val="40000"/>
                    <a:lumOff val="60000"/>
                    <a:alpha val="50000"/>
                  </a:schemeClr>
                </a:solidFill>
                <a:prstDash val="solid"/>
              </a:ln>
              <a:effectLst/>
            </c:spPr>
            <c:extLst>
              <c:ext xmlns:c16="http://schemas.microsoft.com/office/drawing/2014/chart" uri="{C3380CC4-5D6E-409C-BE32-E72D297353CC}">
                <c16:uniqueId val="{0000000D-5F19-4229-B6D7-A797233CD9E2}"/>
              </c:ext>
            </c:extLst>
          </c:dPt>
          <c:dPt>
            <c:idx val="3"/>
            <c:bubble3D val="0"/>
            <c:spPr>
              <a:noFill/>
              <a:ln w="9525">
                <a:solidFill>
                  <a:schemeClr val="accent1">
                    <a:lumMod val="40000"/>
                    <a:lumOff val="60000"/>
                    <a:alpha val="50000"/>
                  </a:schemeClr>
                </a:solidFill>
                <a:prstDash val="solid"/>
              </a:ln>
              <a:effectLst/>
            </c:spPr>
            <c:extLst>
              <c:ext xmlns:c16="http://schemas.microsoft.com/office/drawing/2014/chart" uri="{C3380CC4-5D6E-409C-BE32-E72D297353CC}">
                <c16:uniqueId val="{0000000F-5F19-4229-B6D7-A797233CD9E2}"/>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Processing!$B$13:$B$16</c:f>
              <c:numCache>
                <c:formatCode>0%</c:formatCode>
                <c:ptCount val="4"/>
                <c:pt idx="0">
                  <c:v>0.24833333333333329</c:v>
                </c:pt>
                <c:pt idx="1">
                  <c:v>0.21666666666666673</c:v>
                </c:pt>
                <c:pt idx="2">
                  <c:v>0.28333333333333333</c:v>
                </c:pt>
                <c:pt idx="3">
                  <c:v>0.25166666666666671</c:v>
                </c:pt>
              </c:numCache>
            </c:numRef>
          </c:val>
          <c:extLst>
            <c:ext xmlns:c16="http://schemas.microsoft.com/office/drawing/2014/chart" uri="{C3380CC4-5D6E-409C-BE32-E72D297353CC}">
              <c16:uniqueId val="{0000000A-9051-42A8-931E-F682ED5FAD8B}"/>
            </c:ext>
          </c:extLst>
        </c:ser>
        <c:ser>
          <c:idx val="0"/>
          <c:order val="2"/>
          <c:spPr>
            <a:ln>
              <a:noFill/>
            </a:ln>
            <a:effectLst>
              <a:outerShdw blurRad="50800" dist="38100" dir="13500000" algn="br" rotWithShape="0">
                <a:prstClr val="black">
                  <a:alpha val="40000"/>
                </a:prstClr>
              </a:outerShdw>
            </a:effectLst>
          </c:spPr>
          <c:dPt>
            <c:idx val="0"/>
            <c:bubble3D val="0"/>
            <c:spPr>
              <a:solidFill>
                <a:srgbClr val="CC66F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1-9051-42A8-931E-F682ED5FAD8B}"/>
              </c:ext>
            </c:extLst>
          </c:dPt>
          <c:dPt>
            <c:idx val="1"/>
            <c:bubble3D val="0"/>
            <c:spPr>
              <a:solidFill>
                <a:srgbClr val="7133F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3-9051-42A8-931E-F682ED5FAD8B}"/>
              </c:ext>
            </c:extLst>
          </c:dPt>
          <c:dPt>
            <c:idx val="2"/>
            <c:bubble3D val="0"/>
            <c:spPr>
              <a:solidFill>
                <a:srgbClr val="00FFF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5-9051-42A8-931E-F682ED5FAD8B}"/>
              </c:ext>
            </c:extLst>
          </c:dPt>
          <c:dPt>
            <c:idx val="3"/>
            <c:bubble3D val="0"/>
            <c:spPr>
              <a:solidFill>
                <a:srgbClr val="33B9F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7-9051-42A8-931E-F682ED5FAD8B}"/>
              </c:ext>
            </c:extLst>
          </c:dPt>
          <c:val>
            <c:numRef>
              <c:f>Processing!$B$13:$B$16</c:f>
              <c:numCache>
                <c:formatCode>0%</c:formatCode>
                <c:ptCount val="4"/>
                <c:pt idx="0">
                  <c:v>0.24833333333333329</c:v>
                </c:pt>
                <c:pt idx="1">
                  <c:v>0.21666666666666673</c:v>
                </c:pt>
                <c:pt idx="2">
                  <c:v>0.28333333333333333</c:v>
                </c:pt>
                <c:pt idx="3">
                  <c:v>0.25166666666666671</c:v>
                </c:pt>
              </c:numCache>
            </c:numRef>
          </c:val>
          <c:extLst>
            <c:ext xmlns:c16="http://schemas.microsoft.com/office/drawing/2014/chart" uri="{C3380CC4-5D6E-409C-BE32-E72D297353CC}">
              <c16:uniqueId val="{00000008-9051-42A8-931E-F682ED5FAD8B}"/>
            </c:ext>
          </c:extLst>
        </c:ser>
        <c:dLbls>
          <c:showLegendKey val="0"/>
          <c:showVal val="0"/>
          <c:showCatName val="0"/>
          <c:showSerName val="0"/>
          <c:showPercent val="0"/>
          <c:showBubbleSize val="0"/>
          <c:showLeaderLines val="1"/>
        </c:dLbls>
        <c:firstSliceAng val="45"/>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a:effectLst/>
          </c:spPr>
          <c:dPt>
            <c:idx val="0"/>
            <c:bubble3D val="0"/>
            <c:spPr>
              <a:solidFill>
                <a:srgbClr val="FD00F7"/>
              </a:solidFill>
              <a:ln w="19050">
                <a:noFill/>
              </a:ln>
              <a:effectLst/>
            </c:spPr>
            <c:extLst>
              <c:ext xmlns:c16="http://schemas.microsoft.com/office/drawing/2014/chart" uri="{C3380CC4-5D6E-409C-BE32-E72D297353CC}">
                <c16:uniqueId val="{00000001-01E4-43E2-A993-9524F58B0666}"/>
              </c:ext>
            </c:extLst>
          </c:dPt>
          <c:dPt>
            <c:idx val="1"/>
            <c:bubble3D val="0"/>
            <c:spPr>
              <a:noFill/>
              <a:ln w="19050">
                <a:noFill/>
              </a:ln>
              <a:effectLst/>
            </c:spPr>
            <c:extLst>
              <c:ext xmlns:c16="http://schemas.microsoft.com/office/drawing/2014/chart" uri="{C3380CC4-5D6E-409C-BE32-E72D297353CC}">
                <c16:uniqueId val="{00000003-01E4-43E2-A993-9524F58B0666}"/>
              </c:ext>
            </c:extLst>
          </c:dPt>
          <c:val>
            <c:numRef>
              <c:f>Processing!$H$13:$I$13</c:f>
              <c:numCache>
                <c:formatCode>0%</c:formatCode>
                <c:ptCount val="2"/>
                <c:pt idx="0">
                  <c:v>0.64749999999999996</c:v>
                </c:pt>
                <c:pt idx="1">
                  <c:v>0.35250000000000004</c:v>
                </c:pt>
              </c:numCache>
            </c:numRef>
          </c:val>
          <c:extLst>
            <c:ext xmlns:c16="http://schemas.microsoft.com/office/drawing/2014/chart" uri="{C3380CC4-5D6E-409C-BE32-E72D297353CC}">
              <c16:uniqueId val="{00000004-01E4-43E2-A993-9524F58B0666}"/>
            </c:ext>
          </c:extLst>
        </c:ser>
        <c:dLbls>
          <c:showLegendKey val="0"/>
          <c:showVal val="0"/>
          <c:showCatName val="0"/>
          <c:showSerName val="0"/>
          <c:showPercent val="0"/>
          <c:showBubbleSize val="0"/>
          <c:showLeaderLines val="1"/>
        </c:dLbls>
        <c:firstSliceAng val="45"/>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Processing!$H$18</c:f>
              <c:strCache>
                <c:ptCount val="1"/>
                <c:pt idx="0">
                  <c:v>1.2</c:v>
                </c:pt>
              </c:strCache>
            </c:strRef>
          </c:tx>
          <c:spPr>
            <a:solidFill>
              <a:srgbClr val="33404B"/>
            </a:solidFill>
            <a:ln>
              <a:noFill/>
            </a:ln>
            <a:effectLst/>
          </c:spPr>
          <c:invertIfNegative val="0"/>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Processing!$H$19:$H$30</c:f>
              <c:numCache>
                <c:formatCode>0%</c:formatCode>
                <c:ptCount val="12"/>
                <c:pt idx="0">
                  <c:v>0.44579999999999997</c:v>
                </c:pt>
                <c:pt idx="1">
                  <c:v>0.44579999999999997</c:v>
                </c:pt>
                <c:pt idx="2">
                  <c:v>0.44579999999999997</c:v>
                </c:pt>
                <c:pt idx="3">
                  <c:v>0.44579999999999997</c:v>
                </c:pt>
                <c:pt idx="4">
                  <c:v>0.44579999999999997</c:v>
                </c:pt>
                <c:pt idx="5">
                  <c:v>0.44579999999999997</c:v>
                </c:pt>
                <c:pt idx="6">
                  <c:v>0.44579999999999997</c:v>
                </c:pt>
                <c:pt idx="7">
                  <c:v>0.44579999999999997</c:v>
                </c:pt>
                <c:pt idx="8">
                  <c:v>0.44579999999999997</c:v>
                </c:pt>
                <c:pt idx="9">
                  <c:v>0.44579999999999997</c:v>
                </c:pt>
                <c:pt idx="10">
                  <c:v>0.44579999999999997</c:v>
                </c:pt>
                <c:pt idx="11">
                  <c:v>0.44579999999999997</c:v>
                </c:pt>
              </c:numCache>
            </c:numRef>
          </c:val>
          <c:extLst>
            <c:ext xmlns:c16="http://schemas.microsoft.com/office/drawing/2014/chart" uri="{C3380CC4-5D6E-409C-BE32-E72D297353CC}">
              <c16:uniqueId val="{00000000-2D0E-4536-A940-9473134017B3}"/>
            </c:ext>
          </c:extLst>
        </c:ser>
        <c:ser>
          <c:idx val="3"/>
          <c:order val="1"/>
          <c:tx>
            <c:strRef>
              <c:f>Processing!$G$18</c:f>
              <c:strCache>
                <c:ptCount val="1"/>
                <c:pt idx="0">
                  <c:v>data</c:v>
                </c:pt>
              </c:strCache>
            </c:strRef>
          </c:tx>
          <c:spPr>
            <a:gradFill>
              <a:gsLst>
                <a:gs pos="0">
                  <a:srgbClr val="475A69"/>
                </a:gs>
                <a:gs pos="100000">
                  <a:srgbClr val="33404B"/>
                </a:gs>
              </a:gsLst>
              <a:lin ang="5400000" scaled="1"/>
            </a:gradFill>
            <a:ln>
              <a:noFill/>
            </a:ln>
            <a:effectLst>
              <a:outerShdw blurRad="50800" dist="38100" dir="13500000" algn="br" rotWithShape="0">
                <a:prstClr val="black">
                  <a:alpha val="40000"/>
                </a:prstClr>
              </a:outerShdw>
            </a:effectLst>
          </c:spPr>
          <c:invertIfNegative val="0"/>
          <c:val>
            <c:numRef>
              <c:f>Processing!$G$19:$G$30</c:f>
              <c:numCache>
                <c:formatCode>0%</c:formatCode>
                <c:ptCount val="12"/>
                <c:pt idx="0">
                  <c:v>0.28900000000000003</c:v>
                </c:pt>
                <c:pt idx="1">
                  <c:v>0.31899999999999995</c:v>
                </c:pt>
                <c:pt idx="2">
                  <c:v>0.20750000000000002</c:v>
                </c:pt>
                <c:pt idx="3">
                  <c:v>0.16649999999999998</c:v>
                </c:pt>
                <c:pt idx="4">
                  <c:v>0.21300000000000002</c:v>
                </c:pt>
                <c:pt idx="5">
                  <c:v>0.20650000000000002</c:v>
                </c:pt>
                <c:pt idx="6">
                  <c:v>0.29000000000000004</c:v>
                </c:pt>
                <c:pt idx="7">
                  <c:v>0.20550000000000002</c:v>
                </c:pt>
                <c:pt idx="8">
                  <c:v>0.28400000000000003</c:v>
                </c:pt>
                <c:pt idx="9">
                  <c:v>0.34250000000000003</c:v>
                </c:pt>
                <c:pt idx="10">
                  <c:v>0.28799999999999998</c:v>
                </c:pt>
                <c:pt idx="11">
                  <c:v>0.3715</c:v>
                </c:pt>
              </c:numCache>
            </c:numRef>
          </c:val>
          <c:extLst>
            <c:ext xmlns:c16="http://schemas.microsoft.com/office/drawing/2014/chart" uri="{C3380CC4-5D6E-409C-BE32-E72D297353CC}">
              <c16:uniqueId val="{00000000-2981-4A43-81ED-2A82FD83B4D1}"/>
            </c:ext>
          </c:extLst>
        </c:ser>
        <c:ser>
          <c:idx val="1"/>
          <c:order val="2"/>
          <c:tx>
            <c:strRef>
              <c:f>Processing!$I$18</c:f>
              <c:strCache>
                <c:ptCount val="1"/>
                <c:pt idx="0">
                  <c:v>ROI</c:v>
                </c:pt>
              </c:strCache>
            </c:strRef>
          </c:tx>
          <c:spPr>
            <a:gradFill>
              <a:gsLst>
                <a:gs pos="12000">
                  <a:srgbClr val="21E6DF"/>
                </a:gs>
                <a:gs pos="86000">
                  <a:srgbClr val="9F7EF8"/>
                </a:gs>
              </a:gsLst>
              <a:lin ang="2400000" scaled="0"/>
            </a:gradFill>
            <a:ln>
              <a:noFill/>
            </a:ln>
            <a:effectLst>
              <a:outerShdw blurRad="50800" dist="38100" dir="13500000" algn="br" rotWithShape="0">
                <a:prstClr val="black">
                  <a:alpha val="40000"/>
                </a:prstClr>
              </a:outerShdw>
            </a:effectLst>
          </c:spPr>
          <c:invertIfNegative val="0"/>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Processing!$I$19:$I$30</c:f>
              <c:numCache>
                <c:formatCode>0%</c:formatCode>
                <c:ptCount val="12"/>
                <c:pt idx="0">
                  <c:v>0.28900000000000003</c:v>
                </c:pt>
                <c:pt idx="1">
                  <c:v>0.31899999999999995</c:v>
                </c:pt>
                <c:pt idx="2">
                  <c:v>0.20750000000000002</c:v>
                </c:pt>
                <c:pt idx="3">
                  <c:v>0.16649999999999998</c:v>
                </c:pt>
                <c:pt idx="4">
                  <c:v>0.21300000000000002</c:v>
                </c:pt>
                <c:pt idx="5">
                  <c:v>0.20650000000000002</c:v>
                </c:pt>
                <c:pt idx="6">
                  <c:v>0.29000000000000004</c:v>
                </c:pt>
                <c:pt idx="7">
                  <c:v>0.20550000000000002</c:v>
                </c:pt>
                <c:pt idx="8">
                  <c:v>0.28400000000000003</c:v>
                </c:pt>
                <c:pt idx="9">
                  <c:v>0.34250000000000003</c:v>
                </c:pt>
                <c:pt idx="10">
                  <c:v>0.28799999999999998</c:v>
                </c:pt>
                <c:pt idx="11">
                  <c:v>0.3715</c:v>
                </c:pt>
              </c:numCache>
            </c:numRef>
          </c:val>
          <c:extLst>
            <c:ext xmlns:c16="http://schemas.microsoft.com/office/drawing/2014/chart" uri="{C3380CC4-5D6E-409C-BE32-E72D297353CC}">
              <c16:uniqueId val="{00000001-2D0E-4536-A940-9473134017B3}"/>
            </c:ext>
          </c:extLst>
        </c:ser>
        <c:ser>
          <c:idx val="2"/>
          <c:order val="3"/>
          <c:spPr>
            <a:gradFill>
              <a:gsLst>
                <a:gs pos="13000">
                  <a:srgbClr val="D36FF9"/>
                </a:gs>
                <a:gs pos="86000">
                  <a:srgbClr val="9F7EF8"/>
                </a:gs>
              </a:gsLst>
              <a:lin ang="2400000" scaled="0"/>
            </a:gradFill>
            <a:ln>
              <a:noFill/>
            </a:ln>
            <a:effectLst>
              <a:outerShdw blurRad="50800" dist="38100" dir="13500000" algn="br" rotWithShape="0">
                <a:prstClr val="black">
                  <a:alpha val="40000"/>
                </a:prstClr>
              </a:outerShdw>
            </a:effectLst>
          </c:spPr>
          <c:invertIfNegative val="0"/>
          <c:val>
            <c:numRef>
              <c:f>Processing!$J$19:$J$30</c:f>
              <c:numCache>
                <c:formatCode>0%</c:formatCode>
                <c:ptCount val="12"/>
                <c:pt idx="0">
                  <c:v>0</c:v>
                </c:pt>
                <c:pt idx="1">
                  <c:v>0.33399999999999996</c:v>
                </c:pt>
                <c:pt idx="2">
                  <c:v>0</c:v>
                </c:pt>
                <c:pt idx="3">
                  <c:v>0</c:v>
                </c:pt>
                <c:pt idx="4">
                  <c:v>0.26400000000000001</c:v>
                </c:pt>
                <c:pt idx="5">
                  <c:v>0.25600000000000001</c:v>
                </c:pt>
                <c:pt idx="6">
                  <c:v>0</c:v>
                </c:pt>
                <c:pt idx="7">
                  <c:v>0.22</c:v>
                </c:pt>
                <c:pt idx="8">
                  <c:v>0</c:v>
                </c:pt>
                <c:pt idx="9">
                  <c:v>0</c:v>
                </c:pt>
                <c:pt idx="10">
                  <c:v>0.36399999999999999</c:v>
                </c:pt>
                <c:pt idx="11">
                  <c:v>0</c:v>
                </c:pt>
              </c:numCache>
            </c:numRef>
          </c:val>
          <c:extLst>
            <c:ext xmlns:c16="http://schemas.microsoft.com/office/drawing/2014/chart" uri="{C3380CC4-5D6E-409C-BE32-E72D297353CC}">
              <c16:uniqueId val="{00000002-2D0E-4536-A940-9473134017B3}"/>
            </c:ext>
          </c:extLst>
        </c:ser>
        <c:dLbls>
          <c:showLegendKey val="0"/>
          <c:showVal val="0"/>
          <c:showCatName val="0"/>
          <c:showSerName val="0"/>
          <c:showPercent val="0"/>
          <c:showBubbleSize val="0"/>
        </c:dLbls>
        <c:gapWidth val="107"/>
        <c:overlap val="100"/>
        <c:axId val="1119615855"/>
        <c:axId val="1119617775"/>
      </c:barChart>
      <c:catAx>
        <c:axId val="111961585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119617775"/>
        <c:crosses val="autoZero"/>
        <c:auto val="1"/>
        <c:lblAlgn val="ctr"/>
        <c:lblOffset val="100"/>
        <c:noMultiLvlLbl val="0"/>
      </c:catAx>
      <c:valAx>
        <c:axId val="111961777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11196158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67570720326626"/>
          <c:y val="7.8347578347578342E-2"/>
          <c:w val="0.86094863142107236"/>
          <c:h val="0.75699239518137151"/>
        </c:manualLayout>
      </c:layout>
      <c:areaChart>
        <c:grouping val="standard"/>
        <c:varyColors val="0"/>
        <c:ser>
          <c:idx val="8"/>
          <c:order val="6"/>
          <c:tx>
            <c:strRef>
              <c:f>Processing!$W$17</c:f>
              <c:strCache>
                <c:ptCount val="1"/>
                <c:pt idx="0">
                  <c:v>High Fill</c:v>
                </c:pt>
              </c:strCache>
            </c:strRef>
          </c:tx>
          <c:spPr>
            <a:gradFill>
              <a:gsLst>
                <a:gs pos="29000">
                  <a:srgbClr val="145876"/>
                </a:gs>
                <a:gs pos="100000">
                  <a:srgbClr val="D36FF9"/>
                </a:gs>
              </a:gsLst>
              <a:lin ang="5400000" scaled="1"/>
            </a:gradFill>
            <a:ln w="25400">
              <a:gradFill>
                <a:gsLst>
                  <a:gs pos="30000">
                    <a:srgbClr val="145876"/>
                  </a:gs>
                  <a:gs pos="100000">
                    <a:srgbClr val="D36FF9"/>
                  </a:gs>
                </a:gsLst>
                <a:lin ang="5400000" scaled="1"/>
              </a:gradFill>
            </a:ln>
          </c:spPr>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Processing!$W$19:$W$30</c:f>
              <c:numCache>
                <c:formatCode>General</c:formatCode>
                <c:ptCount val="12"/>
                <c:pt idx="0">
                  <c:v>998</c:v>
                </c:pt>
                <c:pt idx="1">
                  <c:v>1080</c:v>
                </c:pt>
                <c:pt idx="2">
                  <c:v>1220</c:v>
                </c:pt>
                <c:pt idx="3">
                  <c:v>1215</c:v>
                </c:pt>
                <c:pt idx="4">
                  <c:v>1000</c:v>
                </c:pt>
                <c:pt idx="5">
                  <c:v>920</c:v>
                </c:pt>
                <c:pt idx="6">
                  <c:v>895</c:v>
                </c:pt>
                <c:pt idx="7">
                  <c:v>956</c:v>
                </c:pt>
                <c:pt idx="8">
                  <c:v>1072</c:v>
                </c:pt>
                <c:pt idx="9">
                  <c:v>1084</c:v>
                </c:pt>
                <c:pt idx="10">
                  <c:v>997</c:v>
                </c:pt>
                <c:pt idx="11">
                  <c:v>821</c:v>
                </c:pt>
              </c:numCache>
            </c:numRef>
          </c:val>
          <c:extLst>
            <c:ext xmlns:c16="http://schemas.microsoft.com/office/drawing/2014/chart" uri="{C3380CC4-5D6E-409C-BE32-E72D297353CC}">
              <c16:uniqueId val="{00000023-896A-4136-BE08-E800E69D3A3B}"/>
            </c:ext>
          </c:extLst>
        </c:ser>
        <c:ser>
          <c:idx val="7"/>
          <c:order val="7"/>
          <c:tx>
            <c:strRef>
              <c:f>Processing!$V$17</c:f>
              <c:strCache>
                <c:ptCount val="1"/>
                <c:pt idx="0">
                  <c:v>Middle Fill</c:v>
                </c:pt>
              </c:strCache>
            </c:strRef>
          </c:tx>
          <c:spPr>
            <a:gradFill>
              <a:gsLst>
                <a:gs pos="25000">
                  <a:srgbClr val="21E6DF"/>
                </a:gs>
                <a:gs pos="100000">
                  <a:srgbClr val="9F7EF8"/>
                </a:gs>
              </a:gsLst>
              <a:lin ang="5400000" scaled="1"/>
            </a:gradFill>
            <a:ln w="25400">
              <a:gradFill>
                <a:gsLst>
                  <a:gs pos="32000">
                    <a:srgbClr val="21E6DF"/>
                  </a:gs>
                  <a:gs pos="100000">
                    <a:srgbClr val="9F7EF8"/>
                  </a:gs>
                </a:gsLst>
                <a:lin ang="5400000" scaled="1"/>
              </a:gradFill>
            </a:ln>
          </c:spPr>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Processing!$V$19:$V$30</c:f>
              <c:numCache>
                <c:formatCode>General</c:formatCode>
                <c:ptCount val="12"/>
                <c:pt idx="0">
                  <c:v>778</c:v>
                </c:pt>
                <c:pt idx="1">
                  <c:v>715</c:v>
                </c:pt>
                <c:pt idx="2">
                  <c:v>589</c:v>
                </c:pt>
                <c:pt idx="3">
                  <c:v>668</c:v>
                </c:pt>
                <c:pt idx="4">
                  <c:v>670</c:v>
                </c:pt>
                <c:pt idx="5">
                  <c:v>588</c:v>
                </c:pt>
                <c:pt idx="6">
                  <c:v>534</c:v>
                </c:pt>
                <c:pt idx="7">
                  <c:v>576</c:v>
                </c:pt>
                <c:pt idx="8">
                  <c:v>684</c:v>
                </c:pt>
                <c:pt idx="9">
                  <c:v>736</c:v>
                </c:pt>
                <c:pt idx="10">
                  <c:v>710</c:v>
                </c:pt>
                <c:pt idx="11">
                  <c:v>628</c:v>
                </c:pt>
              </c:numCache>
            </c:numRef>
          </c:val>
          <c:extLst>
            <c:ext xmlns:c16="http://schemas.microsoft.com/office/drawing/2014/chart" uri="{C3380CC4-5D6E-409C-BE32-E72D297353CC}">
              <c16:uniqueId val="{00000022-896A-4136-BE08-E800E69D3A3B}"/>
            </c:ext>
          </c:extLst>
        </c:ser>
        <c:ser>
          <c:idx val="6"/>
          <c:order val="8"/>
          <c:tx>
            <c:strRef>
              <c:f>Processing!$U$17</c:f>
              <c:strCache>
                <c:ptCount val="1"/>
                <c:pt idx="0">
                  <c:v>Lower Fill</c:v>
                </c:pt>
              </c:strCache>
            </c:strRef>
          </c:tx>
          <c:spPr>
            <a:gradFill>
              <a:gsLst>
                <a:gs pos="0">
                  <a:srgbClr val="D36FF9"/>
                </a:gs>
                <a:gs pos="100000">
                  <a:srgbClr val="9F7EF8"/>
                </a:gs>
              </a:gsLst>
              <a:lin ang="5400000" scaled="1"/>
            </a:gradFill>
            <a:ln w="25400">
              <a:gradFill>
                <a:gsLst>
                  <a:gs pos="0">
                    <a:srgbClr val="D36FF9"/>
                  </a:gs>
                  <a:gs pos="100000">
                    <a:srgbClr val="9F7EF8"/>
                  </a:gs>
                </a:gsLst>
                <a:lin ang="5400000" scaled="1"/>
              </a:gradFill>
            </a:ln>
          </c:spPr>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Processing!$U$19:$U$30</c:f>
              <c:numCache>
                <c:formatCode>General</c:formatCode>
                <c:ptCount val="12"/>
                <c:pt idx="0">
                  <c:v>532</c:v>
                </c:pt>
                <c:pt idx="1">
                  <c:v>364</c:v>
                </c:pt>
                <c:pt idx="2">
                  <c:v>289</c:v>
                </c:pt>
                <c:pt idx="3">
                  <c:v>295</c:v>
                </c:pt>
                <c:pt idx="4">
                  <c:v>346</c:v>
                </c:pt>
                <c:pt idx="5">
                  <c:v>370</c:v>
                </c:pt>
                <c:pt idx="6">
                  <c:v>324</c:v>
                </c:pt>
                <c:pt idx="7">
                  <c:v>226</c:v>
                </c:pt>
                <c:pt idx="8">
                  <c:v>174</c:v>
                </c:pt>
                <c:pt idx="9">
                  <c:v>190</c:v>
                </c:pt>
                <c:pt idx="10">
                  <c:v>252</c:v>
                </c:pt>
                <c:pt idx="11">
                  <c:v>367</c:v>
                </c:pt>
              </c:numCache>
            </c:numRef>
          </c:val>
          <c:extLst>
            <c:ext xmlns:c16="http://schemas.microsoft.com/office/drawing/2014/chart" uri="{C3380CC4-5D6E-409C-BE32-E72D297353CC}">
              <c16:uniqueId val="{00000021-896A-4136-BE08-E800E69D3A3B}"/>
            </c:ext>
          </c:extLst>
        </c:ser>
        <c:dLbls>
          <c:showLegendKey val="0"/>
          <c:showVal val="0"/>
          <c:showCatName val="0"/>
          <c:showSerName val="0"/>
          <c:showPercent val="0"/>
          <c:showBubbleSize val="0"/>
        </c:dLbls>
        <c:axId val="1460798575"/>
        <c:axId val="1460800975"/>
      </c:areaChart>
      <c:lineChart>
        <c:grouping val="standard"/>
        <c:varyColors val="0"/>
        <c:ser>
          <c:idx val="5"/>
          <c:order val="0"/>
          <c:tx>
            <c:strRef>
              <c:f>Processing!$T$18</c:f>
              <c:strCache>
                <c:ptCount val="1"/>
                <c:pt idx="0">
                  <c:v>High</c:v>
                </c:pt>
              </c:strCache>
            </c:strRef>
          </c:tx>
          <c:spPr>
            <a:ln w="12700">
              <a:solidFill>
                <a:srgbClr val="475A69"/>
              </a:solidFill>
            </a:ln>
            <a:effectLst/>
          </c:spPr>
          <c:marker>
            <c:symbol val="none"/>
          </c:marker>
          <c:val>
            <c:numRef>
              <c:f>Processing!$T$19:$T$30</c:f>
              <c:numCache>
                <c:formatCode>General</c:formatCode>
                <c:ptCount val="12"/>
                <c:pt idx="0">
                  <c:v>998</c:v>
                </c:pt>
                <c:pt idx="1">
                  <c:v>1080</c:v>
                </c:pt>
                <c:pt idx="2">
                  <c:v>1220</c:v>
                </c:pt>
                <c:pt idx="3">
                  <c:v>1215</c:v>
                </c:pt>
                <c:pt idx="4">
                  <c:v>1000</c:v>
                </c:pt>
                <c:pt idx="5">
                  <c:v>920</c:v>
                </c:pt>
                <c:pt idx="6">
                  <c:v>895</c:v>
                </c:pt>
                <c:pt idx="7">
                  <c:v>956</c:v>
                </c:pt>
                <c:pt idx="8">
                  <c:v>1072</c:v>
                </c:pt>
                <c:pt idx="9">
                  <c:v>1084</c:v>
                </c:pt>
                <c:pt idx="10">
                  <c:v>997</c:v>
                </c:pt>
                <c:pt idx="11">
                  <c:v>821</c:v>
                </c:pt>
              </c:numCache>
            </c:numRef>
          </c:val>
          <c:smooth val="1"/>
          <c:extLst>
            <c:ext xmlns:c16="http://schemas.microsoft.com/office/drawing/2014/chart" uri="{C3380CC4-5D6E-409C-BE32-E72D297353CC}">
              <c16:uniqueId val="{0000001A-896A-4136-BE08-E800E69D3A3B}"/>
            </c:ext>
          </c:extLst>
        </c:ser>
        <c:ser>
          <c:idx val="4"/>
          <c:order val="1"/>
          <c:tx>
            <c:strRef>
              <c:f>Processing!$S$18</c:f>
              <c:strCache>
                <c:ptCount val="1"/>
                <c:pt idx="0">
                  <c:v>Middle</c:v>
                </c:pt>
              </c:strCache>
            </c:strRef>
          </c:tx>
          <c:spPr>
            <a:ln w="12700">
              <a:solidFill>
                <a:srgbClr val="475A69"/>
              </a:solidFill>
            </a:ln>
            <a:effectLst/>
          </c:spPr>
          <c:marker>
            <c:symbol val="none"/>
          </c:marker>
          <c:val>
            <c:numRef>
              <c:f>Processing!$S$19:$S$30</c:f>
              <c:numCache>
                <c:formatCode>General</c:formatCode>
                <c:ptCount val="12"/>
                <c:pt idx="0">
                  <c:v>778</c:v>
                </c:pt>
                <c:pt idx="1">
                  <c:v>715</c:v>
                </c:pt>
                <c:pt idx="2">
                  <c:v>589</c:v>
                </c:pt>
                <c:pt idx="3">
                  <c:v>668</c:v>
                </c:pt>
                <c:pt idx="4">
                  <c:v>670</c:v>
                </c:pt>
                <c:pt idx="5">
                  <c:v>588</c:v>
                </c:pt>
                <c:pt idx="6">
                  <c:v>534</c:v>
                </c:pt>
                <c:pt idx="7">
                  <c:v>576</c:v>
                </c:pt>
                <c:pt idx="8">
                  <c:v>684</c:v>
                </c:pt>
                <c:pt idx="9">
                  <c:v>736</c:v>
                </c:pt>
                <c:pt idx="10">
                  <c:v>710</c:v>
                </c:pt>
                <c:pt idx="11">
                  <c:v>628</c:v>
                </c:pt>
              </c:numCache>
            </c:numRef>
          </c:val>
          <c:smooth val="1"/>
          <c:extLst>
            <c:ext xmlns:c16="http://schemas.microsoft.com/office/drawing/2014/chart" uri="{C3380CC4-5D6E-409C-BE32-E72D297353CC}">
              <c16:uniqueId val="{00000018-896A-4136-BE08-E800E69D3A3B}"/>
            </c:ext>
          </c:extLst>
        </c:ser>
        <c:ser>
          <c:idx val="3"/>
          <c:order val="2"/>
          <c:tx>
            <c:strRef>
              <c:f>Processing!$R$18</c:f>
              <c:strCache>
                <c:ptCount val="1"/>
                <c:pt idx="0">
                  <c:v>Lower</c:v>
                </c:pt>
              </c:strCache>
            </c:strRef>
          </c:tx>
          <c:spPr>
            <a:ln w="12700">
              <a:solidFill>
                <a:srgbClr val="475A69"/>
              </a:solidFill>
            </a:ln>
            <a:effectLst/>
          </c:spPr>
          <c:marker>
            <c:symbol val="none"/>
          </c:marker>
          <c:val>
            <c:numRef>
              <c:f>Processing!$R$19:$R$30</c:f>
              <c:numCache>
                <c:formatCode>General</c:formatCode>
                <c:ptCount val="12"/>
                <c:pt idx="0">
                  <c:v>532</c:v>
                </c:pt>
                <c:pt idx="1">
                  <c:v>364</c:v>
                </c:pt>
                <c:pt idx="2">
                  <c:v>289</c:v>
                </c:pt>
                <c:pt idx="3">
                  <c:v>295</c:v>
                </c:pt>
                <c:pt idx="4">
                  <c:v>346</c:v>
                </c:pt>
                <c:pt idx="5">
                  <c:v>370</c:v>
                </c:pt>
                <c:pt idx="6">
                  <c:v>324</c:v>
                </c:pt>
                <c:pt idx="7">
                  <c:v>226</c:v>
                </c:pt>
                <c:pt idx="8">
                  <c:v>174</c:v>
                </c:pt>
                <c:pt idx="9">
                  <c:v>190</c:v>
                </c:pt>
                <c:pt idx="10">
                  <c:v>252</c:v>
                </c:pt>
                <c:pt idx="11">
                  <c:v>367</c:v>
                </c:pt>
              </c:numCache>
            </c:numRef>
          </c:val>
          <c:smooth val="1"/>
          <c:extLst>
            <c:ext xmlns:c16="http://schemas.microsoft.com/office/drawing/2014/chart" uri="{C3380CC4-5D6E-409C-BE32-E72D297353CC}">
              <c16:uniqueId val="{00000016-896A-4136-BE08-E800E69D3A3B}"/>
            </c:ext>
          </c:extLst>
        </c:ser>
        <c:ser>
          <c:idx val="0"/>
          <c:order val="3"/>
          <c:tx>
            <c:strRef>
              <c:f>Processing!$W$18</c:f>
              <c:strCache>
                <c:ptCount val="1"/>
                <c:pt idx="0">
                  <c:v>High L2</c:v>
                </c:pt>
              </c:strCache>
            </c:strRef>
          </c:tx>
          <c:spPr>
            <a:ln w="28575" cap="rnd">
              <a:solidFill>
                <a:srgbClr val="145876"/>
              </a:solidFill>
              <a:round/>
            </a:ln>
            <a:effectLst>
              <a:outerShdw blurRad="25400" dist="25400" dir="16200000" rotWithShape="0">
                <a:prstClr val="black">
                  <a:alpha val="50000"/>
                </a:prstClr>
              </a:outerShdw>
            </a:effectLst>
          </c:spPr>
          <c:marker>
            <c:symbol val="none"/>
          </c:marker>
          <c:val>
            <c:numRef>
              <c:f>Processing!$W$19:$W$30</c:f>
              <c:numCache>
                <c:formatCode>General</c:formatCode>
                <c:ptCount val="12"/>
                <c:pt idx="0">
                  <c:v>998</c:v>
                </c:pt>
                <c:pt idx="1">
                  <c:v>1080</c:v>
                </c:pt>
                <c:pt idx="2">
                  <c:v>1220</c:v>
                </c:pt>
                <c:pt idx="3">
                  <c:v>1215</c:v>
                </c:pt>
                <c:pt idx="4">
                  <c:v>1000</c:v>
                </c:pt>
                <c:pt idx="5">
                  <c:v>920</c:v>
                </c:pt>
                <c:pt idx="6">
                  <c:v>895</c:v>
                </c:pt>
                <c:pt idx="7">
                  <c:v>956</c:v>
                </c:pt>
                <c:pt idx="8">
                  <c:v>1072</c:v>
                </c:pt>
                <c:pt idx="9">
                  <c:v>1084</c:v>
                </c:pt>
                <c:pt idx="10">
                  <c:v>997</c:v>
                </c:pt>
                <c:pt idx="11">
                  <c:v>821</c:v>
                </c:pt>
              </c:numCache>
            </c:numRef>
          </c:val>
          <c:smooth val="1"/>
          <c:extLst>
            <c:ext xmlns:c16="http://schemas.microsoft.com/office/drawing/2014/chart" uri="{C3380CC4-5D6E-409C-BE32-E72D297353CC}">
              <c16:uniqueId val="{0000001C-896A-4136-BE08-E800E69D3A3B}"/>
            </c:ext>
          </c:extLst>
        </c:ser>
        <c:ser>
          <c:idx val="1"/>
          <c:order val="4"/>
          <c:tx>
            <c:strRef>
              <c:f>Processing!$V$18</c:f>
              <c:strCache>
                <c:ptCount val="1"/>
                <c:pt idx="0">
                  <c:v>Middle L2</c:v>
                </c:pt>
              </c:strCache>
            </c:strRef>
          </c:tx>
          <c:spPr>
            <a:ln w="28575" cap="rnd">
              <a:solidFill>
                <a:srgbClr val="21E6DF"/>
              </a:solidFill>
              <a:round/>
            </a:ln>
            <a:effectLst>
              <a:outerShdw blurRad="25400" dist="25400" dir="16200000" rotWithShape="0">
                <a:prstClr val="black">
                  <a:alpha val="50000"/>
                </a:prstClr>
              </a:outerShdw>
            </a:effectLst>
          </c:spPr>
          <c:marker>
            <c:symbol val="none"/>
          </c:marker>
          <c:val>
            <c:numRef>
              <c:f>Processing!$V$19:$V$30</c:f>
              <c:numCache>
                <c:formatCode>General</c:formatCode>
                <c:ptCount val="12"/>
                <c:pt idx="0">
                  <c:v>778</c:v>
                </c:pt>
                <c:pt idx="1">
                  <c:v>715</c:v>
                </c:pt>
                <c:pt idx="2">
                  <c:v>589</c:v>
                </c:pt>
                <c:pt idx="3">
                  <c:v>668</c:v>
                </c:pt>
                <c:pt idx="4">
                  <c:v>670</c:v>
                </c:pt>
                <c:pt idx="5">
                  <c:v>588</c:v>
                </c:pt>
                <c:pt idx="6">
                  <c:v>534</c:v>
                </c:pt>
                <c:pt idx="7">
                  <c:v>576</c:v>
                </c:pt>
                <c:pt idx="8">
                  <c:v>684</c:v>
                </c:pt>
                <c:pt idx="9">
                  <c:v>736</c:v>
                </c:pt>
                <c:pt idx="10">
                  <c:v>710</c:v>
                </c:pt>
                <c:pt idx="11">
                  <c:v>628</c:v>
                </c:pt>
              </c:numCache>
            </c:numRef>
          </c:val>
          <c:smooth val="1"/>
          <c:extLst>
            <c:ext xmlns:c16="http://schemas.microsoft.com/office/drawing/2014/chart" uri="{C3380CC4-5D6E-409C-BE32-E72D297353CC}">
              <c16:uniqueId val="{0000001E-896A-4136-BE08-E800E69D3A3B}"/>
            </c:ext>
          </c:extLst>
        </c:ser>
        <c:ser>
          <c:idx val="2"/>
          <c:order val="5"/>
          <c:tx>
            <c:strRef>
              <c:f>Processing!$U$18</c:f>
              <c:strCache>
                <c:ptCount val="1"/>
                <c:pt idx="0">
                  <c:v>Lower L2</c:v>
                </c:pt>
              </c:strCache>
            </c:strRef>
          </c:tx>
          <c:spPr>
            <a:ln w="28575" cap="rnd">
              <a:solidFill>
                <a:srgbClr val="D36FF9"/>
              </a:solidFill>
              <a:round/>
            </a:ln>
            <a:effectLst>
              <a:outerShdw blurRad="25400" dist="25400" dir="16200000" rotWithShape="0">
                <a:prstClr val="black">
                  <a:alpha val="40000"/>
                </a:prstClr>
              </a:outerShdw>
            </a:effectLst>
          </c:spPr>
          <c:marker>
            <c:symbol val="none"/>
          </c:marker>
          <c:val>
            <c:numRef>
              <c:f>Processing!$U$19:$U$30</c:f>
              <c:numCache>
                <c:formatCode>General</c:formatCode>
                <c:ptCount val="12"/>
                <c:pt idx="0">
                  <c:v>532</c:v>
                </c:pt>
                <c:pt idx="1">
                  <c:v>364</c:v>
                </c:pt>
                <c:pt idx="2">
                  <c:v>289</c:v>
                </c:pt>
                <c:pt idx="3">
                  <c:v>295</c:v>
                </c:pt>
                <c:pt idx="4">
                  <c:v>346</c:v>
                </c:pt>
                <c:pt idx="5">
                  <c:v>370</c:v>
                </c:pt>
                <c:pt idx="6">
                  <c:v>324</c:v>
                </c:pt>
                <c:pt idx="7">
                  <c:v>226</c:v>
                </c:pt>
                <c:pt idx="8">
                  <c:v>174</c:v>
                </c:pt>
                <c:pt idx="9">
                  <c:v>190</c:v>
                </c:pt>
                <c:pt idx="10">
                  <c:v>252</c:v>
                </c:pt>
                <c:pt idx="11">
                  <c:v>367</c:v>
                </c:pt>
              </c:numCache>
            </c:numRef>
          </c:val>
          <c:smooth val="1"/>
          <c:extLst>
            <c:ext xmlns:c16="http://schemas.microsoft.com/office/drawing/2014/chart" uri="{C3380CC4-5D6E-409C-BE32-E72D297353CC}">
              <c16:uniqueId val="{00000020-896A-4136-BE08-E800E69D3A3B}"/>
            </c:ext>
          </c:extLst>
        </c:ser>
        <c:dLbls>
          <c:showLegendKey val="0"/>
          <c:showVal val="0"/>
          <c:showCatName val="0"/>
          <c:showSerName val="0"/>
          <c:showPercent val="0"/>
          <c:showBubbleSize val="0"/>
        </c:dLbls>
        <c:marker val="1"/>
        <c:smooth val="0"/>
        <c:axId val="1460798575"/>
        <c:axId val="1460800975"/>
      </c:lineChart>
      <c:scatterChart>
        <c:scatterStyle val="lineMarker"/>
        <c:varyColors val="0"/>
        <c:ser>
          <c:idx val="9"/>
          <c:order val="9"/>
          <c:tx>
            <c:strRef>
              <c:f>Processing!$X$18</c:f>
              <c:strCache>
                <c:ptCount val="1"/>
                <c:pt idx="0">
                  <c:v>Mark</c:v>
                </c:pt>
              </c:strCache>
            </c:strRef>
          </c:tx>
          <c:spPr>
            <a:ln w="38100">
              <a:noFill/>
            </a:ln>
            <a:effectLst>
              <a:outerShdw blurRad="50800" dist="38100" dir="8100000" algn="tr" rotWithShape="0">
                <a:prstClr val="black">
                  <a:alpha val="40000"/>
                </a:prstClr>
              </a:outerShdw>
            </a:effectLst>
          </c:spPr>
          <c:marker>
            <c:spPr>
              <a:solidFill>
                <a:schemeClr val="bg1">
                  <a:alpha val="70000"/>
                </a:schemeClr>
              </a:solidFill>
              <a:ln>
                <a:noFill/>
              </a:ln>
              <a:effectLst>
                <a:outerShdw blurRad="50800" dist="38100" dir="8100000" algn="tr" rotWithShape="0">
                  <a:prstClr val="black">
                    <a:alpha val="40000"/>
                  </a:prstClr>
                </a:outerShdw>
              </a:effectLst>
            </c:spPr>
          </c:marker>
          <c:errBars>
            <c:errDir val="x"/>
            <c:errBarType val="both"/>
            <c:errValType val="stdErr"/>
            <c:noEndCap val="0"/>
          </c:errBars>
          <c:errBars>
            <c:errDir val="y"/>
            <c:errBarType val="both"/>
            <c:errValType val="cust"/>
            <c:noEndCap val="1"/>
            <c:plus>
              <c:numLit>
                <c:formatCode>General</c:formatCode>
                <c:ptCount val="1"/>
                <c:pt idx="0">
                  <c:v>1</c:v>
                </c:pt>
              </c:numLit>
            </c:plus>
            <c:minus>
              <c:numRef>
                <c:f>Processing!$X$19</c:f>
                <c:numCache>
                  <c:formatCode>General</c:formatCode>
                  <c:ptCount val="1"/>
                  <c:pt idx="0">
                    <c:v>#N/A</c:v>
                  </c:pt>
                </c:numCache>
              </c:numRef>
            </c:minus>
            <c:spPr>
              <a:ln>
                <a:solidFill>
                  <a:schemeClr val="bg1"/>
                </a:solidFill>
              </a:ln>
              <a:effectLst>
                <a:outerShdw blurRad="50800" dist="38100" dir="8100000" algn="tr" rotWithShape="0">
                  <a:prstClr val="black">
                    <a:alpha val="40000"/>
                  </a:prstClr>
                </a:outerShdw>
              </a:effectLst>
            </c:spPr>
          </c:errBars>
          <c:xVal>
            <c:numRef>
              <c:f>Processing!$X$20</c:f>
              <c:numCache>
                <c:formatCode>General</c:formatCode>
                <c:ptCount val="1"/>
                <c:pt idx="0">
                  <c:v>#N/A</c:v>
                </c:pt>
              </c:numCache>
            </c:numRef>
          </c:xVal>
          <c:yVal>
            <c:numRef>
              <c:f>Processing!$X$19</c:f>
              <c:numCache>
                <c:formatCode>General</c:formatCode>
                <c:ptCount val="1"/>
                <c:pt idx="0">
                  <c:v>#N/A</c:v>
                </c:pt>
              </c:numCache>
            </c:numRef>
          </c:yVal>
          <c:smooth val="0"/>
          <c:extLst>
            <c:ext xmlns:c16="http://schemas.microsoft.com/office/drawing/2014/chart" uri="{C3380CC4-5D6E-409C-BE32-E72D297353CC}">
              <c16:uniqueId val="{00000000-178E-45A8-B922-157034FADC52}"/>
            </c:ext>
          </c:extLst>
        </c:ser>
        <c:dLbls>
          <c:showLegendKey val="0"/>
          <c:showVal val="0"/>
          <c:showCatName val="0"/>
          <c:showSerName val="0"/>
          <c:showPercent val="0"/>
          <c:showBubbleSize val="0"/>
        </c:dLbls>
        <c:axId val="1460798575"/>
        <c:axId val="1460800975"/>
      </c:scatterChart>
      <c:catAx>
        <c:axId val="146079857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460800975"/>
        <c:crosses val="autoZero"/>
        <c:auto val="1"/>
        <c:lblAlgn val="ctr"/>
        <c:lblOffset val="100"/>
        <c:noMultiLvlLbl val="0"/>
      </c:catAx>
      <c:valAx>
        <c:axId val="14608009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60798575"/>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Processing!$AA$17</c:f>
          <c:strCache>
            <c:ptCount val="1"/>
            <c:pt idx="0">
              <c:v>Sales</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C1E5F5"/>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2"/>
          <c:order val="0"/>
          <c:tx>
            <c:strRef>
              <c:f>Processing!$Z$18</c:f>
              <c:strCache>
                <c:ptCount val="1"/>
                <c:pt idx="0">
                  <c:v>Sales N</c:v>
                </c:pt>
              </c:strCache>
            </c:strRef>
          </c:tx>
          <c:spPr>
            <a:ln w="12700" cap="rnd">
              <a:solidFill>
                <a:srgbClr val="2C3740"/>
              </a:solidFill>
              <a:round/>
            </a:ln>
            <a:effectLst/>
          </c:spPr>
          <c:marker>
            <c:symbol val="none"/>
          </c:marker>
          <c:val>
            <c:numRef>
              <c:f>Processing!$Z$19:$Z$30</c:f>
              <c:numCache>
                <c:formatCode>General</c:formatCode>
                <c:ptCount val="12"/>
                <c:pt idx="0">
                  <c:v>542</c:v>
                </c:pt>
                <c:pt idx="1">
                  <c:v>314</c:v>
                </c:pt>
                <c:pt idx="2">
                  <c:v>452</c:v>
                </c:pt>
                <c:pt idx="3">
                  <c:v>452</c:v>
                </c:pt>
                <c:pt idx="4">
                  <c:v>680</c:v>
                </c:pt>
                <c:pt idx="5">
                  <c:v>652</c:v>
                </c:pt>
                <c:pt idx="6">
                  <c:v>464</c:v>
                </c:pt>
                <c:pt idx="7">
                  <c:v>512</c:v>
                </c:pt>
                <c:pt idx="8">
                  <c:v>380</c:v>
                </c:pt>
                <c:pt idx="9">
                  <c:v>767</c:v>
                </c:pt>
                <c:pt idx="10">
                  <c:v>638</c:v>
                </c:pt>
                <c:pt idx="11">
                  <c:v>548</c:v>
                </c:pt>
              </c:numCache>
            </c:numRef>
          </c:val>
          <c:smooth val="1"/>
          <c:extLst>
            <c:ext xmlns:c16="http://schemas.microsoft.com/office/drawing/2014/chart" uri="{C3380CC4-5D6E-409C-BE32-E72D297353CC}">
              <c16:uniqueId val="{00000000-D7E3-4ABF-B537-D2D27B801DCD}"/>
            </c:ext>
          </c:extLst>
        </c:ser>
        <c:ser>
          <c:idx val="3"/>
          <c:order val="1"/>
          <c:tx>
            <c:strRef>
              <c:f>Processing!$AA$18</c:f>
              <c:strCache>
                <c:ptCount val="1"/>
                <c:pt idx="0">
                  <c:v>Sales M</c:v>
                </c:pt>
              </c:strCache>
            </c:strRef>
          </c:tx>
          <c:spPr>
            <a:ln w="12700" cap="rnd">
              <a:solidFill>
                <a:srgbClr val="2C3740"/>
              </a:solidFill>
              <a:round/>
            </a:ln>
            <a:effectLst/>
          </c:spPr>
          <c:marker>
            <c:symbol val="none"/>
          </c:marker>
          <c:val>
            <c:numRef>
              <c:f>Processing!$AA$19:$AA$30</c:f>
              <c:numCache>
                <c:formatCode>General</c:formatCode>
                <c:ptCount val="12"/>
                <c:pt idx="0">
                  <c:v>272</c:v>
                </c:pt>
                <c:pt idx="1">
                  <c:v>548</c:v>
                </c:pt>
                <c:pt idx="2">
                  <c:v>536</c:v>
                </c:pt>
                <c:pt idx="3">
                  <c:v>602</c:v>
                </c:pt>
                <c:pt idx="4">
                  <c:v>830</c:v>
                </c:pt>
                <c:pt idx="5">
                  <c:v>884</c:v>
                </c:pt>
                <c:pt idx="6">
                  <c:v>626</c:v>
                </c:pt>
                <c:pt idx="7">
                  <c:v>632</c:v>
                </c:pt>
                <c:pt idx="8">
                  <c:v>518</c:v>
                </c:pt>
                <c:pt idx="9">
                  <c:v>554</c:v>
                </c:pt>
                <c:pt idx="10">
                  <c:v>794</c:v>
                </c:pt>
                <c:pt idx="11">
                  <c:v>636</c:v>
                </c:pt>
              </c:numCache>
            </c:numRef>
          </c:val>
          <c:smooth val="1"/>
          <c:extLst>
            <c:ext xmlns:c16="http://schemas.microsoft.com/office/drawing/2014/chart" uri="{C3380CC4-5D6E-409C-BE32-E72D297353CC}">
              <c16:uniqueId val="{00000001-D7E3-4ABF-B537-D2D27B801DCD}"/>
            </c:ext>
          </c:extLst>
        </c:ser>
        <c:ser>
          <c:idx val="0"/>
          <c:order val="2"/>
          <c:tx>
            <c:strRef>
              <c:f>Processing!$AB$18</c:f>
              <c:strCache>
                <c:ptCount val="1"/>
                <c:pt idx="0">
                  <c:v>Sales N L2</c:v>
                </c:pt>
              </c:strCache>
            </c:strRef>
          </c:tx>
          <c:spPr>
            <a:ln w="19050" cap="rnd">
              <a:gradFill>
                <a:gsLst>
                  <a:gs pos="0">
                    <a:srgbClr val="9F7EF8"/>
                  </a:gs>
                  <a:gs pos="100000">
                    <a:srgbClr val="FD00F7"/>
                  </a:gs>
                </a:gsLst>
                <a:lin ang="0" scaled="0"/>
              </a:gradFill>
              <a:round/>
            </a:ln>
            <a:effectLst>
              <a:outerShdw blurRad="50800" dist="38100" dir="5400000" algn="t" rotWithShape="0">
                <a:prstClr val="black">
                  <a:alpha val="40000"/>
                </a:prstClr>
              </a:outerShdw>
            </a:effectLst>
          </c:spPr>
          <c:marker>
            <c:symbol val="none"/>
          </c:marker>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Processing!$AB$19:$AB$30</c:f>
              <c:numCache>
                <c:formatCode>General</c:formatCode>
                <c:ptCount val="12"/>
                <c:pt idx="0">
                  <c:v>542</c:v>
                </c:pt>
                <c:pt idx="1">
                  <c:v>314</c:v>
                </c:pt>
                <c:pt idx="2">
                  <c:v>452</c:v>
                </c:pt>
                <c:pt idx="3">
                  <c:v>452</c:v>
                </c:pt>
                <c:pt idx="4">
                  <c:v>680</c:v>
                </c:pt>
                <c:pt idx="5">
                  <c:v>652</c:v>
                </c:pt>
                <c:pt idx="6">
                  <c:v>464</c:v>
                </c:pt>
                <c:pt idx="7">
                  <c:v>512</c:v>
                </c:pt>
                <c:pt idx="8">
                  <c:v>380</c:v>
                </c:pt>
                <c:pt idx="9">
                  <c:v>767</c:v>
                </c:pt>
                <c:pt idx="10">
                  <c:v>638</c:v>
                </c:pt>
                <c:pt idx="11">
                  <c:v>548</c:v>
                </c:pt>
              </c:numCache>
            </c:numRef>
          </c:val>
          <c:smooth val="1"/>
          <c:extLst>
            <c:ext xmlns:c16="http://schemas.microsoft.com/office/drawing/2014/chart" uri="{C3380CC4-5D6E-409C-BE32-E72D297353CC}">
              <c16:uniqueId val="{00000000-9025-4200-87D6-BF7BFB21C7E0}"/>
            </c:ext>
          </c:extLst>
        </c:ser>
        <c:ser>
          <c:idx val="1"/>
          <c:order val="3"/>
          <c:tx>
            <c:strRef>
              <c:f>Processing!$AC$18</c:f>
              <c:strCache>
                <c:ptCount val="1"/>
                <c:pt idx="0">
                  <c:v>Sales M L2</c:v>
                </c:pt>
              </c:strCache>
            </c:strRef>
          </c:tx>
          <c:spPr>
            <a:ln w="19050" cap="rnd">
              <a:gradFill>
                <a:gsLst>
                  <a:gs pos="0">
                    <a:srgbClr val="00B0F0"/>
                  </a:gs>
                  <a:gs pos="100000">
                    <a:srgbClr val="21E6DF"/>
                  </a:gs>
                </a:gsLst>
                <a:lin ang="0" scaled="0"/>
              </a:gradFill>
              <a:round/>
            </a:ln>
            <a:effectLst>
              <a:outerShdw blurRad="50800" dist="38100" dir="5400000" algn="t" rotWithShape="0">
                <a:prstClr val="black">
                  <a:alpha val="40000"/>
                </a:prstClr>
              </a:outerShdw>
            </a:effectLst>
          </c:spPr>
          <c:marker>
            <c:symbol val="none"/>
          </c:marker>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Processing!$AC$19:$AC$30</c:f>
              <c:numCache>
                <c:formatCode>General</c:formatCode>
                <c:ptCount val="12"/>
                <c:pt idx="0">
                  <c:v>272</c:v>
                </c:pt>
                <c:pt idx="1">
                  <c:v>548</c:v>
                </c:pt>
                <c:pt idx="2">
                  <c:v>536</c:v>
                </c:pt>
                <c:pt idx="3">
                  <c:v>602</c:v>
                </c:pt>
                <c:pt idx="4">
                  <c:v>830</c:v>
                </c:pt>
                <c:pt idx="5">
                  <c:v>884</c:v>
                </c:pt>
                <c:pt idx="6">
                  <c:v>626</c:v>
                </c:pt>
                <c:pt idx="7">
                  <c:v>632</c:v>
                </c:pt>
                <c:pt idx="8">
                  <c:v>518</c:v>
                </c:pt>
                <c:pt idx="9">
                  <c:v>554</c:v>
                </c:pt>
                <c:pt idx="10">
                  <c:v>794</c:v>
                </c:pt>
                <c:pt idx="11">
                  <c:v>636</c:v>
                </c:pt>
              </c:numCache>
            </c:numRef>
          </c:val>
          <c:smooth val="1"/>
          <c:extLst>
            <c:ext xmlns:c16="http://schemas.microsoft.com/office/drawing/2014/chart" uri="{C3380CC4-5D6E-409C-BE32-E72D297353CC}">
              <c16:uniqueId val="{00000001-9025-4200-87D6-BF7BFB21C7E0}"/>
            </c:ext>
          </c:extLst>
        </c:ser>
        <c:dLbls>
          <c:showLegendKey val="0"/>
          <c:showVal val="0"/>
          <c:showCatName val="0"/>
          <c:showSerName val="0"/>
          <c:showPercent val="0"/>
          <c:showBubbleSize val="0"/>
        </c:dLbls>
        <c:marker val="1"/>
        <c:smooth val="0"/>
        <c:axId val="1488305903"/>
        <c:axId val="1488316463"/>
      </c:lineChart>
      <c:scatterChart>
        <c:scatterStyle val="lineMarker"/>
        <c:varyColors val="0"/>
        <c:ser>
          <c:idx val="4"/>
          <c:order val="4"/>
          <c:tx>
            <c:strRef>
              <c:f>Processing!$AE$18</c:f>
              <c:strCache>
                <c:ptCount val="1"/>
                <c:pt idx="0">
                  <c:v>Mark1</c:v>
                </c:pt>
              </c:strCache>
            </c:strRef>
          </c:tx>
          <c:spPr>
            <a:ln w="25400" cap="rnd">
              <a:noFill/>
              <a:round/>
            </a:ln>
            <a:effectLst>
              <a:outerShdw blurRad="50800" dist="38100" dir="8100000" algn="tr" rotWithShape="0">
                <a:prstClr val="black">
                  <a:alpha val="40000"/>
                </a:prstClr>
              </a:outerShdw>
            </a:effectLst>
          </c:spPr>
          <c:marker>
            <c:symbol val="circle"/>
            <c:size val="5"/>
            <c:spPr>
              <a:solidFill>
                <a:srgbClr val="D36FF9"/>
              </a:solidFill>
              <a:ln w="9525">
                <a:solidFill>
                  <a:schemeClr val="bg1"/>
                </a:solidFill>
              </a:ln>
              <a:effectLst>
                <a:outerShdw blurRad="50800" dist="38100" dir="8100000" algn="tr" rotWithShape="0">
                  <a:prstClr val="black">
                    <a:alpha val="40000"/>
                  </a:prstClr>
                </a:outerShdw>
              </a:effectLst>
            </c:spPr>
          </c:marker>
          <c:xVal>
            <c:numRef>
              <c:f>Processing!$AE$20</c:f>
              <c:numCache>
                <c:formatCode>General</c:formatCode>
                <c:ptCount val="1"/>
                <c:pt idx="0">
                  <c:v>#N/A</c:v>
                </c:pt>
              </c:numCache>
            </c:numRef>
          </c:xVal>
          <c:yVal>
            <c:numRef>
              <c:f>Processing!$AE$19</c:f>
              <c:numCache>
                <c:formatCode>General</c:formatCode>
                <c:ptCount val="1"/>
                <c:pt idx="0">
                  <c:v>#N/A</c:v>
                </c:pt>
              </c:numCache>
            </c:numRef>
          </c:yVal>
          <c:smooth val="0"/>
          <c:extLst>
            <c:ext xmlns:c16="http://schemas.microsoft.com/office/drawing/2014/chart" uri="{C3380CC4-5D6E-409C-BE32-E72D297353CC}">
              <c16:uniqueId val="{00000002-D7E3-4ABF-B537-D2D27B801DCD}"/>
            </c:ext>
          </c:extLst>
        </c:ser>
        <c:ser>
          <c:idx val="5"/>
          <c:order val="5"/>
          <c:tx>
            <c:strRef>
              <c:f>Processing!$AF$18</c:f>
              <c:strCache>
                <c:ptCount val="1"/>
                <c:pt idx="0">
                  <c:v>Mark2</c:v>
                </c:pt>
              </c:strCache>
            </c:strRef>
          </c:tx>
          <c:spPr>
            <a:ln w="25400" cap="rnd">
              <a:noFill/>
              <a:round/>
            </a:ln>
            <a:effectLst>
              <a:outerShdw blurRad="50800" dist="38100" dir="8100000" algn="tr" rotWithShape="0">
                <a:prstClr val="black">
                  <a:alpha val="40000"/>
                </a:prstClr>
              </a:outerShdw>
            </a:effectLst>
          </c:spPr>
          <c:marker>
            <c:symbol val="circle"/>
            <c:size val="5"/>
            <c:spPr>
              <a:solidFill>
                <a:srgbClr val="21E6DF"/>
              </a:solidFill>
              <a:ln w="9525">
                <a:solidFill>
                  <a:schemeClr val="bg1"/>
                </a:solidFill>
              </a:ln>
              <a:effectLst>
                <a:outerShdw blurRad="50800" dist="38100" dir="8100000" algn="tr" rotWithShape="0">
                  <a:prstClr val="black">
                    <a:alpha val="40000"/>
                  </a:prstClr>
                </a:outerShdw>
              </a:effectLst>
            </c:spPr>
          </c:marker>
          <c:xVal>
            <c:numRef>
              <c:f>Processing!$AE$20</c:f>
              <c:numCache>
                <c:formatCode>General</c:formatCode>
                <c:ptCount val="1"/>
                <c:pt idx="0">
                  <c:v>#N/A</c:v>
                </c:pt>
              </c:numCache>
            </c:numRef>
          </c:xVal>
          <c:yVal>
            <c:numRef>
              <c:f>Processing!$AF$19</c:f>
              <c:numCache>
                <c:formatCode>General</c:formatCode>
                <c:ptCount val="1"/>
                <c:pt idx="0">
                  <c:v>#N/A</c:v>
                </c:pt>
              </c:numCache>
            </c:numRef>
          </c:yVal>
          <c:smooth val="0"/>
          <c:extLst>
            <c:ext xmlns:c16="http://schemas.microsoft.com/office/drawing/2014/chart" uri="{C3380CC4-5D6E-409C-BE32-E72D297353CC}">
              <c16:uniqueId val="{00000003-D7E3-4ABF-B537-D2D27B801DCD}"/>
            </c:ext>
          </c:extLst>
        </c:ser>
        <c:dLbls>
          <c:showLegendKey val="0"/>
          <c:showVal val="0"/>
          <c:showCatName val="0"/>
          <c:showSerName val="0"/>
          <c:showPercent val="0"/>
          <c:showBubbleSize val="0"/>
        </c:dLbls>
        <c:axId val="1488305903"/>
        <c:axId val="1488316463"/>
      </c:scatterChart>
      <c:catAx>
        <c:axId val="148830590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488316463"/>
        <c:crosses val="autoZero"/>
        <c:auto val="1"/>
        <c:lblAlgn val="ctr"/>
        <c:lblOffset val="100"/>
        <c:noMultiLvlLbl val="0"/>
      </c:catAx>
      <c:valAx>
        <c:axId val="1488316463"/>
        <c:scaling>
          <c:orientation val="minMax"/>
        </c:scaling>
        <c:delete val="0"/>
        <c:axPos val="l"/>
        <c:majorGridlines>
          <c:spPr>
            <a:ln w="6350" cap="flat" cmpd="sng" algn="ctr">
              <a:solidFill>
                <a:schemeClr val="bg2">
                  <a:lumMod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3059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solidFill>
              <a:ln w="19050">
                <a:noFill/>
              </a:ln>
              <a:effectLst/>
            </c:spPr>
            <c:extLst>
              <c:ext xmlns:c16="http://schemas.microsoft.com/office/drawing/2014/chart" uri="{C3380CC4-5D6E-409C-BE32-E72D297353CC}">
                <c16:uniqueId val="{00000001-45C4-4F4B-9146-AE0419B38D65}"/>
              </c:ext>
            </c:extLst>
          </c:dPt>
          <c:dPt>
            <c:idx val="1"/>
            <c:bubble3D val="0"/>
            <c:spPr>
              <a:solidFill>
                <a:schemeClr val="bg1">
                  <a:alpha val="20000"/>
                </a:schemeClr>
              </a:solidFill>
              <a:ln w="19050">
                <a:noFill/>
              </a:ln>
              <a:effectLst/>
            </c:spPr>
            <c:extLst>
              <c:ext xmlns:c16="http://schemas.microsoft.com/office/drawing/2014/chart" uri="{C3380CC4-5D6E-409C-BE32-E72D297353CC}">
                <c16:uniqueId val="{00000003-45C4-4F4B-9146-AE0419B38D65}"/>
              </c:ext>
            </c:extLst>
          </c:dPt>
          <c:val>
            <c:numRef>
              <c:f>Processing!$A$2:$B$2</c:f>
              <c:numCache>
                <c:formatCode>0%</c:formatCode>
                <c:ptCount val="2"/>
                <c:pt idx="0">
                  <c:v>0.46273404178413935</c:v>
                </c:pt>
                <c:pt idx="1">
                  <c:v>0.53726595821586065</c:v>
                </c:pt>
              </c:numCache>
            </c:numRef>
          </c:val>
          <c:extLst>
            <c:ext xmlns:c16="http://schemas.microsoft.com/office/drawing/2014/chart" uri="{C3380CC4-5D6E-409C-BE32-E72D297353CC}">
              <c16:uniqueId val="{00000004-45C4-4F4B-9146-AE0419B38D65}"/>
            </c:ext>
          </c:extLst>
        </c:ser>
        <c:dLbls>
          <c:showLegendKey val="0"/>
          <c:showVal val="0"/>
          <c:showCatName val="0"/>
          <c:showSerName val="0"/>
          <c:showPercent val="0"/>
          <c:showBubbleSize val="0"/>
          <c:showLeaderLines val="1"/>
        </c:dLbls>
        <c:firstSliceAng val="3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solidFill>
              <a:ln w="19050">
                <a:noFill/>
              </a:ln>
              <a:effectLst/>
            </c:spPr>
            <c:extLst>
              <c:ext xmlns:c16="http://schemas.microsoft.com/office/drawing/2014/chart" uri="{C3380CC4-5D6E-409C-BE32-E72D297353CC}">
                <c16:uniqueId val="{00000006-3029-4D90-B9B4-9400E8E52DD1}"/>
              </c:ext>
            </c:extLst>
          </c:dPt>
          <c:dPt>
            <c:idx val="1"/>
            <c:bubble3D val="0"/>
            <c:spPr>
              <a:solidFill>
                <a:schemeClr val="bg1">
                  <a:alpha val="20000"/>
                </a:schemeClr>
              </a:solidFill>
              <a:ln w="19050">
                <a:noFill/>
              </a:ln>
              <a:effectLst/>
            </c:spPr>
            <c:extLst>
              <c:ext xmlns:c16="http://schemas.microsoft.com/office/drawing/2014/chart" uri="{C3380CC4-5D6E-409C-BE32-E72D297353CC}">
                <c16:uniqueId val="{00000008-3029-4D90-B9B4-9400E8E52DD1}"/>
              </c:ext>
            </c:extLst>
          </c:dPt>
          <c:val>
            <c:numRef>
              <c:f>Processing!$C$2:$D$2</c:f>
              <c:numCache>
                <c:formatCode>0%</c:formatCode>
                <c:ptCount val="2"/>
                <c:pt idx="0">
                  <c:v>0.53726595821586065</c:v>
                </c:pt>
                <c:pt idx="1">
                  <c:v>0.46273404178413935</c:v>
                </c:pt>
              </c:numCache>
            </c:numRef>
          </c:val>
          <c:extLst>
            <c:ext xmlns:c16="http://schemas.microsoft.com/office/drawing/2014/chart" uri="{C3380CC4-5D6E-409C-BE32-E72D297353CC}">
              <c16:uniqueId val="{00000009-3029-4D90-B9B4-9400E8E52DD1}"/>
            </c:ext>
          </c:extLst>
        </c:ser>
        <c:dLbls>
          <c:showLegendKey val="0"/>
          <c:showVal val="0"/>
          <c:showCatName val="0"/>
          <c:showSerName val="0"/>
          <c:showPercent val="0"/>
          <c:showBubbleSize val="0"/>
          <c:showLeaderLines val="1"/>
        </c:dLbls>
        <c:firstSliceAng val="30"/>
        <c:holeSize val="7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spPr>
            <a:solidFill>
              <a:schemeClr val="accent1">
                <a:lumMod val="60000"/>
                <a:lumOff val="40000"/>
              </a:schemeClr>
            </a:solidFill>
            <a:ln w="15875">
              <a:solidFill>
                <a:srgbClr val="0B3041"/>
              </a:solidFill>
            </a:ln>
          </c:spPr>
          <c:dPt>
            <c:idx val="0"/>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01-2E32-48B2-BDBA-2236DF586280}"/>
              </c:ext>
            </c:extLst>
          </c:dPt>
          <c:dPt>
            <c:idx val="1"/>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03-2E32-48B2-BDBA-2236DF586280}"/>
              </c:ext>
            </c:extLst>
          </c:dPt>
          <c:dPt>
            <c:idx val="2"/>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05-2E32-48B2-BDBA-2236DF586280}"/>
              </c:ext>
            </c:extLst>
          </c:dPt>
          <c:dPt>
            <c:idx val="3"/>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07-2E32-48B2-BDBA-2236DF586280}"/>
              </c:ext>
            </c:extLst>
          </c:dPt>
          <c:dPt>
            <c:idx val="4"/>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09-2E32-48B2-BDBA-2236DF586280}"/>
              </c:ext>
            </c:extLst>
          </c:dPt>
          <c:dPt>
            <c:idx val="5"/>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0B-2E32-48B2-BDBA-2236DF586280}"/>
              </c:ext>
            </c:extLst>
          </c:dPt>
          <c:dPt>
            <c:idx val="6"/>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0D-2E32-48B2-BDBA-2236DF586280}"/>
              </c:ext>
            </c:extLst>
          </c:dPt>
          <c:dPt>
            <c:idx val="7"/>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0F-2E32-48B2-BDBA-2236DF586280}"/>
              </c:ext>
            </c:extLst>
          </c:dPt>
          <c:dPt>
            <c:idx val="8"/>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11-2E32-48B2-BDBA-2236DF586280}"/>
              </c:ext>
            </c:extLst>
          </c:dPt>
          <c:dPt>
            <c:idx val="9"/>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13-2E32-48B2-BDBA-2236DF586280}"/>
              </c:ext>
            </c:extLst>
          </c:dPt>
          <c:dPt>
            <c:idx val="10"/>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15-2E32-48B2-BDBA-2236DF586280}"/>
              </c:ext>
            </c:extLst>
          </c:dPt>
          <c:dPt>
            <c:idx val="11"/>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17-2E32-48B2-BDBA-2236DF586280}"/>
              </c:ext>
            </c:extLst>
          </c:dPt>
          <c:dPt>
            <c:idx val="12"/>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19-2E32-48B2-BDBA-2236DF586280}"/>
              </c:ext>
            </c:extLst>
          </c:dPt>
          <c:dPt>
            <c:idx val="13"/>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1B-2E32-48B2-BDBA-2236DF586280}"/>
              </c:ext>
            </c:extLst>
          </c:dPt>
          <c:dPt>
            <c:idx val="14"/>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1D-2E32-48B2-BDBA-2236DF586280}"/>
              </c:ext>
            </c:extLst>
          </c:dPt>
          <c:dPt>
            <c:idx val="15"/>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1F-2E32-48B2-BDBA-2236DF586280}"/>
              </c:ext>
            </c:extLst>
          </c:dPt>
          <c:dPt>
            <c:idx val="16"/>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21-2E32-48B2-BDBA-2236DF586280}"/>
              </c:ext>
            </c:extLst>
          </c:dPt>
          <c:dPt>
            <c:idx val="17"/>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23-2E32-48B2-BDBA-2236DF586280}"/>
              </c:ext>
            </c:extLst>
          </c:dPt>
          <c:dPt>
            <c:idx val="18"/>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25-2E32-48B2-BDBA-2236DF586280}"/>
              </c:ext>
            </c:extLst>
          </c:dPt>
          <c:dPt>
            <c:idx val="19"/>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27-2E32-48B2-BDBA-2236DF586280}"/>
              </c:ext>
            </c:extLst>
          </c:dPt>
          <c:dPt>
            <c:idx val="20"/>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29-2E32-48B2-BDBA-2236DF586280}"/>
              </c:ext>
            </c:extLst>
          </c:dPt>
          <c:dPt>
            <c:idx val="21"/>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2B-2E32-48B2-BDBA-2236DF586280}"/>
              </c:ext>
            </c:extLst>
          </c:dPt>
          <c:dPt>
            <c:idx val="22"/>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2D-2E32-48B2-BDBA-2236DF586280}"/>
              </c:ext>
            </c:extLst>
          </c:dPt>
          <c:dPt>
            <c:idx val="23"/>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2F-2E32-48B2-BDBA-2236DF586280}"/>
              </c:ext>
            </c:extLst>
          </c:dPt>
          <c:dPt>
            <c:idx val="24"/>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31-2E32-48B2-BDBA-2236DF586280}"/>
              </c:ext>
            </c:extLst>
          </c:dPt>
          <c:dPt>
            <c:idx val="25"/>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33-2E32-48B2-BDBA-2236DF586280}"/>
              </c:ext>
            </c:extLst>
          </c:dPt>
          <c:dPt>
            <c:idx val="26"/>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35-2E32-48B2-BDBA-2236DF586280}"/>
              </c:ext>
            </c:extLst>
          </c:dPt>
          <c:dPt>
            <c:idx val="27"/>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37-2E32-48B2-BDBA-2236DF586280}"/>
              </c:ext>
            </c:extLst>
          </c:dPt>
          <c:dPt>
            <c:idx val="28"/>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39-2E32-48B2-BDBA-2236DF586280}"/>
              </c:ext>
            </c:extLst>
          </c:dPt>
          <c:dPt>
            <c:idx val="29"/>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3B-2E32-48B2-BDBA-2236DF586280}"/>
              </c:ext>
            </c:extLst>
          </c:dPt>
          <c:dPt>
            <c:idx val="30"/>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3D-2E32-48B2-BDBA-2236DF586280}"/>
              </c:ext>
            </c:extLst>
          </c:dPt>
          <c:dPt>
            <c:idx val="31"/>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3F-2E32-48B2-BDBA-2236DF586280}"/>
              </c:ext>
            </c:extLst>
          </c:dPt>
          <c:dPt>
            <c:idx val="32"/>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41-2E32-48B2-BDBA-2236DF586280}"/>
              </c:ext>
            </c:extLst>
          </c:dPt>
          <c:dPt>
            <c:idx val="33"/>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43-2E32-48B2-BDBA-2236DF586280}"/>
              </c:ext>
            </c:extLst>
          </c:dPt>
          <c:dPt>
            <c:idx val="34"/>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45-2E32-48B2-BDBA-2236DF586280}"/>
              </c:ext>
            </c:extLst>
          </c:dPt>
          <c:dPt>
            <c:idx val="35"/>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47-2E32-48B2-BDBA-2236DF586280}"/>
              </c:ext>
            </c:extLst>
          </c:dPt>
          <c:dPt>
            <c:idx val="36"/>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49-2E32-48B2-BDBA-2236DF586280}"/>
              </c:ext>
            </c:extLst>
          </c:dPt>
          <c:dPt>
            <c:idx val="37"/>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4B-2E32-48B2-BDBA-2236DF586280}"/>
              </c:ext>
            </c:extLst>
          </c:dPt>
          <c:dPt>
            <c:idx val="38"/>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4D-2E32-48B2-BDBA-2236DF586280}"/>
              </c:ext>
            </c:extLst>
          </c:dPt>
          <c:dPt>
            <c:idx val="39"/>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4F-2E32-48B2-BDBA-2236DF586280}"/>
              </c:ext>
            </c:extLst>
          </c:dPt>
          <c:dPt>
            <c:idx val="40"/>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51-2E32-48B2-BDBA-2236DF586280}"/>
              </c:ext>
            </c:extLst>
          </c:dPt>
          <c:dPt>
            <c:idx val="41"/>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53-2E32-48B2-BDBA-2236DF586280}"/>
              </c:ext>
            </c:extLst>
          </c:dPt>
          <c:dPt>
            <c:idx val="42"/>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55-2E32-48B2-BDBA-2236DF586280}"/>
              </c:ext>
            </c:extLst>
          </c:dPt>
          <c:dPt>
            <c:idx val="43"/>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57-2E32-48B2-BDBA-2236DF586280}"/>
              </c:ext>
            </c:extLst>
          </c:dPt>
          <c:dPt>
            <c:idx val="44"/>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59-2E32-48B2-BDBA-2236DF586280}"/>
              </c:ext>
            </c:extLst>
          </c:dPt>
          <c:dPt>
            <c:idx val="45"/>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5B-2E32-48B2-BDBA-2236DF586280}"/>
              </c:ext>
            </c:extLst>
          </c:dPt>
          <c:dPt>
            <c:idx val="46"/>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5D-2E32-48B2-BDBA-2236DF586280}"/>
              </c:ext>
            </c:extLst>
          </c:dPt>
          <c:dPt>
            <c:idx val="47"/>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5F-2E32-48B2-BDBA-2236DF586280}"/>
              </c:ext>
            </c:extLst>
          </c:dPt>
          <c:dPt>
            <c:idx val="48"/>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61-2E32-48B2-BDBA-2236DF586280}"/>
              </c:ext>
            </c:extLst>
          </c:dPt>
          <c:dPt>
            <c:idx val="49"/>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63-2E32-48B2-BDBA-2236DF586280}"/>
              </c:ext>
            </c:extLst>
          </c:dPt>
          <c:dPt>
            <c:idx val="50"/>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65-2E32-48B2-BDBA-2236DF586280}"/>
              </c:ext>
            </c:extLst>
          </c:dPt>
          <c:dPt>
            <c:idx val="51"/>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67-2E32-48B2-BDBA-2236DF586280}"/>
              </c:ext>
            </c:extLst>
          </c:dPt>
          <c:dPt>
            <c:idx val="52"/>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69-2E32-48B2-BDBA-2236DF586280}"/>
              </c:ext>
            </c:extLst>
          </c:dPt>
          <c:dPt>
            <c:idx val="53"/>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6B-2E32-48B2-BDBA-2236DF586280}"/>
              </c:ext>
            </c:extLst>
          </c:dPt>
          <c:dPt>
            <c:idx val="54"/>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6D-2E32-48B2-BDBA-2236DF586280}"/>
              </c:ext>
            </c:extLst>
          </c:dPt>
          <c:dPt>
            <c:idx val="55"/>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6F-2E32-48B2-BDBA-2236DF586280}"/>
              </c:ext>
            </c:extLst>
          </c:dPt>
          <c:dPt>
            <c:idx val="56"/>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71-2E32-48B2-BDBA-2236DF586280}"/>
              </c:ext>
            </c:extLst>
          </c:dPt>
          <c:dPt>
            <c:idx val="57"/>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73-2E32-48B2-BDBA-2236DF586280}"/>
              </c:ext>
            </c:extLst>
          </c:dPt>
          <c:dPt>
            <c:idx val="58"/>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75-2E32-48B2-BDBA-2236DF586280}"/>
              </c:ext>
            </c:extLst>
          </c:dPt>
          <c:dPt>
            <c:idx val="59"/>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77-2E32-48B2-BDBA-2236DF586280}"/>
              </c:ext>
            </c:extLst>
          </c:dPt>
          <c:dPt>
            <c:idx val="60"/>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79-2E32-48B2-BDBA-2236DF586280}"/>
              </c:ext>
            </c:extLst>
          </c:dPt>
          <c:dPt>
            <c:idx val="61"/>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7B-2E32-48B2-BDBA-2236DF586280}"/>
              </c:ext>
            </c:extLst>
          </c:dPt>
          <c:dPt>
            <c:idx val="62"/>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7D-2E32-48B2-BDBA-2236DF586280}"/>
              </c:ext>
            </c:extLst>
          </c:dPt>
          <c:dPt>
            <c:idx val="63"/>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7F-2E32-48B2-BDBA-2236DF586280}"/>
              </c:ext>
            </c:extLst>
          </c:dPt>
          <c:dPt>
            <c:idx val="64"/>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81-2E32-48B2-BDBA-2236DF586280}"/>
              </c:ext>
            </c:extLst>
          </c:dPt>
          <c:dPt>
            <c:idx val="65"/>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83-2E32-48B2-BDBA-2236DF586280}"/>
              </c:ext>
            </c:extLst>
          </c:dPt>
          <c:dPt>
            <c:idx val="66"/>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85-2E32-48B2-BDBA-2236DF586280}"/>
              </c:ext>
            </c:extLst>
          </c:dPt>
          <c:dPt>
            <c:idx val="67"/>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87-2E32-48B2-BDBA-2236DF586280}"/>
              </c:ext>
            </c:extLst>
          </c:dPt>
          <c:dPt>
            <c:idx val="68"/>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89-2E32-48B2-BDBA-2236DF586280}"/>
              </c:ext>
            </c:extLst>
          </c:dPt>
          <c:dPt>
            <c:idx val="69"/>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8B-2E32-48B2-BDBA-2236DF586280}"/>
              </c:ext>
            </c:extLst>
          </c:dPt>
          <c:dPt>
            <c:idx val="70"/>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8D-2E32-48B2-BDBA-2236DF586280}"/>
              </c:ext>
            </c:extLst>
          </c:dPt>
          <c:dPt>
            <c:idx val="71"/>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8F-2E32-48B2-BDBA-2236DF586280}"/>
              </c:ext>
            </c:extLst>
          </c:dPt>
          <c:dPt>
            <c:idx val="72"/>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91-2E32-48B2-BDBA-2236DF586280}"/>
              </c:ext>
            </c:extLst>
          </c:dPt>
          <c:dPt>
            <c:idx val="73"/>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93-2E32-48B2-BDBA-2236DF586280}"/>
              </c:ext>
            </c:extLst>
          </c:dPt>
          <c:dPt>
            <c:idx val="74"/>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95-2E32-48B2-BDBA-2236DF586280}"/>
              </c:ext>
            </c:extLst>
          </c:dPt>
          <c:dPt>
            <c:idx val="75"/>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97-2E32-48B2-BDBA-2236DF586280}"/>
              </c:ext>
            </c:extLst>
          </c:dPt>
          <c:dPt>
            <c:idx val="76"/>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99-2E32-48B2-BDBA-2236DF586280}"/>
              </c:ext>
            </c:extLst>
          </c:dPt>
          <c:dPt>
            <c:idx val="77"/>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9B-2E32-48B2-BDBA-2236DF586280}"/>
              </c:ext>
            </c:extLst>
          </c:dPt>
          <c:dPt>
            <c:idx val="78"/>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9D-2E32-48B2-BDBA-2236DF586280}"/>
              </c:ext>
            </c:extLst>
          </c:dPt>
          <c:dPt>
            <c:idx val="79"/>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9F-2E32-48B2-BDBA-2236DF586280}"/>
              </c:ext>
            </c:extLst>
          </c:dPt>
          <c:dPt>
            <c:idx val="80"/>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A1-2E32-48B2-BDBA-2236DF586280}"/>
              </c:ext>
            </c:extLst>
          </c:dPt>
          <c:dPt>
            <c:idx val="81"/>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A3-2E32-48B2-BDBA-2236DF586280}"/>
              </c:ext>
            </c:extLst>
          </c:dPt>
          <c:dPt>
            <c:idx val="82"/>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A5-2E32-48B2-BDBA-2236DF586280}"/>
              </c:ext>
            </c:extLst>
          </c:dPt>
          <c:dPt>
            <c:idx val="83"/>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A7-2E32-48B2-BDBA-2236DF586280}"/>
              </c:ext>
            </c:extLst>
          </c:dPt>
          <c:dPt>
            <c:idx val="84"/>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A9-2E32-48B2-BDBA-2236DF586280}"/>
              </c:ext>
            </c:extLst>
          </c:dPt>
          <c:dPt>
            <c:idx val="85"/>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AB-2E32-48B2-BDBA-2236DF586280}"/>
              </c:ext>
            </c:extLst>
          </c:dPt>
          <c:dPt>
            <c:idx val="86"/>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AD-2E32-48B2-BDBA-2236DF586280}"/>
              </c:ext>
            </c:extLst>
          </c:dPt>
          <c:dPt>
            <c:idx val="87"/>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AF-2E32-48B2-BDBA-2236DF586280}"/>
              </c:ext>
            </c:extLst>
          </c:dPt>
          <c:dPt>
            <c:idx val="88"/>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B1-2E32-48B2-BDBA-2236DF586280}"/>
              </c:ext>
            </c:extLst>
          </c:dPt>
          <c:dPt>
            <c:idx val="89"/>
            <c:bubble3D val="0"/>
            <c:spPr>
              <a:solidFill>
                <a:schemeClr val="accent1">
                  <a:lumMod val="60000"/>
                  <a:lumOff val="40000"/>
                </a:schemeClr>
              </a:solidFill>
              <a:ln w="15875">
                <a:solidFill>
                  <a:srgbClr val="0B3041"/>
                </a:solidFill>
              </a:ln>
              <a:effectLst/>
            </c:spPr>
            <c:extLst>
              <c:ext xmlns:c16="http://schemas.microsoft.com/office/drawing/2014/chart" uri="{C3380CC4-5D6E-409C-BE32-E72D297353CC}">
                <c16:uniqueId val="{000000B3-2E32-48B2-BDBA-2236DF586280}"/>
              </c:ext>
            </c:extLst>
          </c:dPt>
          <c:val>
            <c:numRef>
              <c:f>Processing!$A$33:$A$122</c:f>
              <c:numCache>
                <c:formatCode>General</c:formatCode>
                <c:ptCount val="9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numCache>
            </c:numRef>
          </c:val>
          <c:extLst>
            <c:ext xmlns:c16="http://schemas.microsoft.com/office/drawing/2014/chart" uri="{C3380CC4-5D6E-409C-BE32-E72D297353CC}">
              <c16:uniqueId val="{00000005-1622-4C77-82A0-AAB377EDEDED}"/>
            </c:ext>
          </c:extLst>
        </c:ser>
        <c:dLbls>
          <c:showLegendKey val="0"/>
          <c:showVal val="0"/>
          <c:showCatName val="0"/>
          <c:showSerName val="0"/>
          <c:showPercent val="0"/>
          <c:showBubbleSize val="0"/>
          <c:showLeaderLines val="1"/>
        </c:dLbls>
        <c:firstSliceAng val="0"/>
        <c:holeSize val="85"/>
      </c:doughnutChar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1622-4C77-82A0-AAB377EDEDED}"/>
              </c:ext>
            </c:extLst>
          </c:dPt>
          <c:dPt>
            <c:idx val="1"/>
            <c:bubble3D val="0"/>
            <c:spPr>
              <a:solidFill>
                <a:schemeClr val="tx1">
                  <a:alpha val="64000"/>
                </a:schemeClr>
              </a:solidFill>
              <a:ln w="19050">
                <a:noFill/>
              </a:ln>
              <a:effectLst/>
            </c:spPr>
            <c:extLst>
              <c:ext xmlns:c16="http://schemas.microsoft.com/office/drawing/2014/chart" uri="{C3380CC4-5D6E-409C-BE32-E72D297353CC}">
                <c16:uniqueId val="{00000003-1622-4C77-82A0-AAB377EDEDED}"/>
              </c:ext>
            </c:extLst>
          </c:dPt>
          <c:val>
            <c:numRef>
              <c:f>Processing!$B$33:$C$33</c:f>
              <c:numCache>
                <c:formatCode>0%</c:formatCode>
                <c:ptCount val="2"/>
                <c:pt idx="0">
                  <c:v>0.58916666666666662</c:v>
                </c:pt>
                <c:pt idx="1">
                  <c:v>0.41083333333333338</c:v>
                </c:pt>
              </c:numCache>
            </c:numRef>
          </c:val>
          <c:extLst>
            <c:ext xmlns:c16="http://schemas.microsoft.com/office/drawing/2014/chart" uri="{C3380CC4-5D6E-409C-BE32-E72D297353CC}">
              <c16:uniqueId val="{00000004-1622-4C77-82A0-AAB377EDEDED}"/>
            </c:ext>
          </c:extLst>
        </c:ser>
        <c:dLbls>
          <c:showLegendKey val="0"/>
          <c:showVal val="0"/>
          <c:showCatName val="0"/>
          <c:showSerName val="0"/>
          <c:showPercent val="0"/>
          <c:showBubbleSize val="0"/>
          <c:showLeaderLines val="1"/>
        </c:dLbls>
        <c:firstSliceAng val="30"/>
        <c:holeSize val="8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spPr>
            <a:gradFill>
              <a:gsLst>
                <a:gs pos="0">
                  <a:srgbClr val="21E6DF"/>
                </a:gs>
                <a:gs pos="73000">
                  <a:srgbClr val="D36FF9"/>
                </a:gs>
              </a:gsLst>
              <a:lin ang="5400000" scaled="0"/>
            </a:gradFill>
            <a:ln w="15875">
              <a:solidFill>
                <a:srgbClr val="0B3041"/>
              </a:solidFill>
            </a:ln>
          </c:spPr>
          <c:dPt>
            <c:idx val="0"/>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01-94B3-4521-B0C5-AB7871AF476E}"/>
              </c:ext>
            </c:extLst>
          </c:dPt>
          <c:dPt>
            <c:idx val="1"/>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03-94B3-4521-B0C5-AB7871AF476E}"/>
              </c:ext>
            </c:extLst>
          </c:dPt>
          <c:dPt>
            <c:idx val="2"/>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05-94B3-4521-B0C5-AB7871AF476E}"/>
              </c:ext>
            </c:extLst>
          </c:dPt>
          <c:dPt>
            <c:idx val="3"/>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07-94B3-4521-B0C5-AB7871AF476E}"/>
              </c:ext>
            </c:extLst>
          </c:dPt>
          <c:dPt>
            <c:idx val="4"/>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09-94B3-4521-B0C5-AB7871AF476E}"/>
              </c:ext>
            </c:extLst>
          </c:dPt>
          <c:dPt>
            <c:idx val="5"/>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0B-94B3-4521-B0C5-AB7871AF476E}"/>
              </c:ext>
            </c:extLst>
          </c:dPt>
          <c:dPt>
            <c:idx val="6"/>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0D-94B3-4521-B0C5-AB7871AF476E}"/>
              </c:ext>
            </c:extLst>
          </c:dPt>
          <c:dPt>
            <c:idx val="7"/>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0F-94B3-4521-B0C5-AB7871AF476E}"/>
              </c:ext>
            </c:extLst>
          </c:dPt>
          <c:dPt>
            <c:idx val="8"/>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11-94B3-4521-B0C5-AB7871AF476E}"/>
              </c:ext>
            </c:extLst>
          </c:dPt>
          <c:dPt>
            <c:idx val="9"/>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13-94B3-4521-B0C5-AB7871AF476E}"/>
              </c:ext>
            </c:extLst>
          </c:dPt>
          <c:dPt>
            <c:idx val="10"/>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15-94B3-4521-B0C5-AB7871AF476E}"/>
              </c:ext>
            </c:extLst>
          </c:dPt>
          <c:dPt>
            <c:idx val="11"/>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17-94B3-4521-B0C5-AB7871AF476E}"/>
              </c:ext>
            </c:extLst>
          </c:dPt>
          <c:dPt>
            <c:idx val="12"/>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19-94B3-4521-B0C5-AB7871AF476E}"/>
              </c:ext>
            </c:extLst>
          </c:dPt>
          <c:dPt>
            <c:idx val="13"/>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1B-94B3-4521-B0C5-AB7871AF476E}"/>
              </c:ext>
            </c:extLst>
          </c:dPt>
          <c:dPt>
            <c:idx val="14"/>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1D-94B3-4521-B0C5-AB7871AF476E}"/>
              </c:ext>
            </c:extLst>
          </c:dPt>
          <c:dPt>
            <c:idx val="15"/>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1F-94B3-4521-B0C5-AB7871AF476E}"/>
              </c:ext>
            </c:extLst>
          </c:dPt>
          <c:dPt>
            <c:idx val="16"/>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21-94B3-4521-B0C5-AB7871AF476E}"/>
              </c:ext>
            </c:extLst>
          </c:dPt>
          <c:dPt>
            <c:idx val="17"/>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23-94B3-4521-B0C5-AB7871AF476E}"/>
              </c:ext>
            </c:extLst>
          </c:dPt>
          <c:dPt>
            <c:idx val="18"/>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25-94B3-4521-B0C5-AB7871AF476E}"/>
              </c:ext>
            </c:extLst>
          </c:dPt>
          <c:dPt>
            <c:idx val="19"/>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27-94B3-4521-B0C5-AB7871AF476E}"/>
              </c:ext>
            </c:extLst>
          </c:dPt>
          <c:dPt>
            <c:idx val="20"/>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29-94B3-4521-B0C5-AB7871AF476E}"/>
              </c:ext>
            </c:extLst>
          </c:dPt>
          <c:dPt>
            <c:idx val="21"/>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2B-94B3-4521-B0C5-AB7871AF476E}"/>
              </c:ext>
            </c:extLst>
          </c:dPt>
          <c:dPt>
            <c:idx val="22"/>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2D-94B3-4521-B0C5-AB7871AF476E}"/>
              </c:ext>
            </c:extLst>
          </c:dPt>
          <c:dPt>
            <c:idx val="23"/>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2F-94B3-4521-B0C5-AB7871AF476E}"/>
              </c:ext>
            </c:extLst>
          </c:dPt>
          <c:dPt>
            <c:idx val="24"/>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31-94B3-4521-B0C5-AB7871AF476E}"/>
              </c:ext>
            </c:extLst>
          </c:dPt>
          <c:dPt>
            <c:idx val="25"/>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33-94B3-4521-B0C5-AB7871AF476E}"/>
              </c:ext>
            </c:extLst>
          </c:dPt>
          <c:dPt>
            <c:idx val="26"/>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35-94B3-4521-B0C5-AB7871AF476E}"/>
              </c:ext>
            </c:extLst>
          </c:dPt>
          <c:dPt>
            <c:idx val="27"/>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37-94B3-4521-B0C5-AB7871AF476E}"/>
              </c:ext>
            </c:extLst>
          </c:dPt>
          <c:dPt>
            <c:idx val="28"/>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39-94B3-4521-B0C5-AB7871AF476E}"/>
              </c:ext>
            </c:extLst>
          </c:dPt>
          <c:dPt>
            <c:idx val="29"/>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3B-94B3-4521-B0C5-AB7871AF476E}"/>
              </c:ext>
            </c:extLst>
          </c:dPt>
          <c:dPt>
            <c:idx val="30"/>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3D-94B3-4521-B0C5-AB7871AF476E}"/>
              </c:ext>
            </c:extLst>
          </c:dPt>
          <c:dPt>
            <c:idx val="31"/>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3F-94B3-4521-B0C5-AB7871AF476E}"/>
              </c:ext>
            </c:extLst>
          </c:dPt>
          <c:dPt>
            <c:idx val="32"/>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41-94B3-4521-B0C5-AB7871AF476E}"/>
              </c:ext>
            </c:extLst>
          </c:dPt>
          <c:dPt>
            <c:idx val="33"/>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43-94B3-4521-B0C5-AB7871AF476E}"/>
              </c:ext>
            </c:extLst>
          </c:dPt>
          <c:dPt>
            <c:idx val="34"/>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45-94B3-4521-B0C5-AB7871AF476E}"/>
              </c:ext>
            </c:extLst>
          </c:dPt>
          <c:dPt>
            <c:idx val="35"/>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47-94B3-4521-B0C5-AB7871AF476E}"/>
              </c:ext>
            </c:extLst>
          </c:dPt>
          <c:dPt>
            <c:idx val="36"/>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49-94B3-4521-B0C5-AB7871AF476E}"/>
              </c:ext>
            </c:extLst>
          </c:dPt>
          <c:dPt>
            <c:idx val="37"/>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4B-94B3-4521-B0C5-AB7871AF476E}"/>
              </c:ext>
            </c:extLst>
          </c:dPt>
          <c:dPt>
            <c:idx val="38"/>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4D-94B3-4521-B0C5-AB7871AF476E}"/>
              </c:ext>
            </c:extLst>
          </c:dPt>
          <c:dPt>
            <c:idx val="39"/>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4F-94B3-4521-B0C5-AB7871AF476E}"/>
              </c:ext>
            </c:extLst>
          </c:dPt>
          <c:dPt>
            <c:idx val="40"/>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51-94B3-4521-B0C5-AB7871AF476E}"/>
              </c:ext>
            </c:extLst>
          </c:dPt>
          <c:dPt>
            <c:idx val="41"/>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53-94B3-4521-B0C5-AB7871AF476E}"/>
              </c:ext>
            </c:extLst>
          </c:dPt>
          <c:dPt>
            <c:idx val="42"/>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55-94B3-4521-B0C5-AB7871AF476E}"/>
              </c:ext>
            </c:extLst>
          </c:dPt>
          <c:dPt>
            <c:idx val="43"/>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57-94B3-4521-B0C5-AB7871AF476E}"/>
              </c:ext>
            </c:extLst>
          </c:dPt>
          <c:dPt>
            <c:idx val="44"/>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59-94B3-4521-B0C5-AB7871AF476E}"/>
              </c:ext>
            </c:extLst>
          </c:dPt>
          <c:dPt>
            <c:idx val="45"/>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5B-94B3-4521-B0C5-AB7871AF476E}"/>
              </c:ext>
            </c:extLst>
          </c:dPt>
          <c:dPt>
            <c:idx val="46"/>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5D-94B3-4521-B0C5-AB7871AF476E}"/>
              </c:ext>
            </c:extLst>
          </c:dPt>
          <c:dPt>
            <c:idx val="47"/>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5F-94B3-4521-B0C5-AB7871AF476E}"/>
              </c:ext>
            </c:extLst>
          </c:dPt>
          <c:dPt>
            <c:idx val="48"/>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61-94B3-4521-B0C5-AB7871AF476E}"/>
              </c:ext>
            </c:extLst>
          </c:dPt>
          <c:dPt>
            <c:idx val="49"/>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63-94B3-4521-B0C5-AB7871AF476E}"/>
              </c:ext>
            </c:extLst>
          </c:dPt>
          <c:dPt>
            <c:idx val="50"/>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65-94B3-4521-B0C5-AB7871AF476E}"/>
              </c:ext>
            </c:extLst>
          </c:dPt>
          <c:dPt>
            <c:idx val="51"/>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67-94B3-4521-B0C5-AB7871AF476E}"/>
              </c:ext>
            </c:extLst>
          </c:dPt>
          <c:dPt>
            <c:idx val="52"/>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69-94B3-4521-B0C5-AB7871AF476E}"/>
              </c:ext>
            </c:extLst>
          </c:dPt>
          <c:dPt>
            <c:idx val="53"/>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6B-94B3-4521-B0C5-AB7871AF476E}"/>
              </c:ext>
            </c:extLst>
          </c:dPt>
          <c:dPt>
            <c:idx val="54"/>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6D-94B3-4521-B0C5-AB7871AF476E}"/>
              </c:ext>
            </c:extLst>
          </c:dPt>
          <c:dPt>
            <c:idx val="55"/>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6F-94B3-4521-B0C5-AB7871AF476E}"/>
              </c:ext>
            </c:extLst>
          </c:dPt>
          <c:dPt>
            <c:idx val="56"/>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71-94B3-4521-B0C5-AB7871AF476E}"/>
              </c:ext>
            </c:extLst>
          </c:dPt>
          <c:dPt>
            <c:idx val="57"/>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73-94B3-4521-B0C5-AB7871AF476E}"/>
              </c:ext>
            </c:extLst>
          </c:dPt>
          <c:dPt>
            <c:idx val="58"/>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75-94B3-4521-B0C5-AB7871AF476E}"/>
              </c:ext>
            </c:extLst>
          </c:dPt>
          <c:dPt>
            <c:idx val="59"/>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77-94B3-4521-B0C5-AB7871AF476E}"/>
              </c:ext>
            </c:extLst>
          </c:dPt>
          <c:dPt>
            <c:idx val="60"/>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79-94B3-4521-B0C5-AB7871AF476E}"/>
              </c:ext>
            </c:extLst>
          </c:dPt>
          <c:dPt>
            <c:idx val="61"/>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7B-94B3-4521-B0C5-AB7871AF476E}"/>
              </c:ext>
            </c:extLst>
          </c:dPt>
          <c:dPt>
            <c:idx val="62"/>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7D-94B3-4521-B0C5-AB7871AF476E}"/>
              </c:ext>
            </c:extLst>
          </c:dPt>
          <c:dPt>
            <c:idx val="63"/>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7F-94B3-4521-B0C5-AB7871AF476E}"/>
              </c:ext>
            </c:extLst>
          </c:dPt>
          <c:dPt>
            <c:idx val="64"/>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81-94B3-4521-B0C5-AB7871AF476E}"/>
              </c:ext>
            </c:extLst>
          </c:dPt>
          <c:dPt>
            <c:idx val="65"/>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83-94B3-4521-B0C5-AB7871AF476E}"/>
              </c:ext>
            </c:extLst>
          </c:dPt>
          <c:dPt>
            <c:idx val="66"/>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85-94B3-4521-B0C5-AB7871AF476E}"/>
              </c:ext>
            </c:extLst>
          </c:dPt>
          <c:dPt>
            <c:idx val="67"/>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87-94B3-4521-B0C5-AB7871AF476E}"/>
              </c:ext>
            </c:extLst>
          </c:dPt>
          <c:dPt>
            <c:idx val="68"/>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89-94B3-4521-B0C5-AB7871AF476E}"/>
              </c:ext>
            </c:extLst>
          </c:dPt>
          <c:dPt>
            <c:idx val="69"/>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8B-94B3-4521-B0C5-AB7871AF476E}"/>
              </c:ext>
            </c:extLst>
          </c:dPt>
          <c:dPt>
            <c:idx val="70"/>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8D-94B3-4521-B0C5-AB7871AF476E}"/>
              </c:ext>
            </c:extLst>
          </c:dPt>
          <c:dPt>
            <c:idx val="71"/>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8F-94B3-4521-B0C5-AB7871AF476E}"/>
              </c:ext>
            </c:extLst>
          </c:dPt>
          <c:dPt>
            <c:idx val="72"/>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91-94B3-4521-B0C5-AB7871AF476E}"/>
              </c:ext>
            </c:extLst>
          </c:dPt>
          <c:dPt>
            <c:idx val="73"/>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93-94B3-4521-B0C5-AB7871AF476E}"/>
              </c:ext>
            </c:extLst>
          </c:dPt>
          <c:dPt>
            <c:idx val="74"/>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95-94B3-4521-B0C5-AB7871AF476E}"/>
              </c:ext>
            </c:extLst>
          </c:dPt>
          <c:dPt>
            <c:idx val="75"/>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97-94B3-4521-B0C5-AB7871AF476E}"/>
              </c:ext>
            </c:extLst>
          </c:dPt>
          <c:dPt>
            <c:idx val="76"/>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99-94B3-4521-B0C5-AB7871AF476E}"/>
              </c:ext>
            </c:extLst>
          </c:dPt>
          <c:dPt>
            <c:idx val="77"/>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9B-94B3-4521-B0C5-AB7871AF476E}"/>
              </c:ext>
            </c:extLst>
          </c:dPt>
          <c:dPt>
            <c:idx val="78"/>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9D-94B3-4521-B0C5-AB7871AF476E}"/>
              </c:ext>
            </c:extLst>
          </c:dPt>
          <c:dPt>
            <c:idx val="79"/>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9F-94B3-4521-B0C5-AB7871AF476E}"/>
              </c:ext>
            </c:extLst>
          </c:dPt>
          <c:dPt>
            <c:idx val="80"/>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A1-94B3-4521-B0C5-AB7871AF476E}"/>
              </c:ext>
            </c:extLst>
          </c:dPt>
          <c:dPt>
            <c:idx val="81"/>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A3-94B3-4521-B0C5-AB7871AF476E}"/>
              </c:ext>
            </c:extLst>
          </c:dPt>
          <c:dPt>
            <c:idx val="82"/>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A5-94B3-4521-B0C5-AB7871AF476E}"/>
              </c:ext>
            </c:extLst>
          </c:dPt>
          <c:dPt>
            <c:idx val="83"/>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A7-94B3-4521-B0C5-AB7871AF476E}"/>
              </c:ext>
            </c:extLst>
          </c:dPt>
          <c:dPt>
            <c:idx val="84"/>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A9-94B3-4521-B0C5-AB7871AF476E}"/>
              </c:ext>
            </c:extLst>
          </c:dPt>
          <c:dPt>
            <c:idx val="85"/>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AB-94B3-4521-B0C5-AB7871AF476E}"/>
              </c:ext>
            </c:extLst>
          </c:dPt>
          <c:dPt>
            <c:idx val="86"/>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AD-94B3-4521-B0C5-AB7871AF476E}"/>
              </c:ext>
            </c:extLst>
          </c:dPt>
          <c:dPt>
            <c:idx val="87"/>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AF-94B3-4521-B0C5-AB7871AF476E}"/>
              </c:ext>
            </c:extLst>
          </c:dPt>
          <c:dPt>
            <c:idx val="88"/>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B1-94B3-4521-B0C5-AB7871AF476E}"/>
              </c:ext>
            </c:extLst>
          </c:dPt>
          <c:dPt>
            <c:idx val="89"/>
            <c:bubble3D val="0"/>
            <c:spPr>
              <a:gradFill>
                <a:gsLst>
                  <a:gs pos="0">
                    <a:srgbClr val="21E6DF"/>
                  </a:gs>
                  <a:gs pos="73000">
                    <a:srgbClr val="D36FF9"/>
                  </a:gs>
                </a:gsLst>
                <a:lin ang="5400000" scaled="0"/>
              </a:gradFill>
              <a:ln w="15875">
                <a:solidFill>
                  <a:srgbClr val="0B3041"/>
                </a:solidFill>
              </a:ln>
              <a:effectLst/>
            </c:spPr>
            <c:extLst>
              <c:ext xmlns:c16="http://schemas.microsoft.com/office/drawing/2014/chart" uri="{C3380CC4-5D6E-409C-BE32-E72D297353CC}">
                <c16:uniqueId val="{000000B3-94B3-4521-B0C5-AB7871AF476E}"/>
              </c:ext>
            </c:extLst>
          </c:dPt>
          <c:val>
            <c:numRef>
              <c:f>Processing!$A$33:$A$122</c:f>
              <c:numCache>
                <c:formatCode>General</c:formatCode>
                <c:ptCount val="9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numCache>
            </c:numRef>
          </c:val>
          <c:extLst>
            <c:ext xmlns:c16="http://schemas.microsoft.com/office/drawing/2014/chart" uri="{C3380CC4-5D6E-409C-BE32-E72D297353CC}">
              <c16:uniqueId val="{00000005-1622-4C77-82A0-AAB377EDEDED}"/>
            </c:ext>
          </c:extLst>
        </c:ser>
        <c:dLbls>
          <c:showLegendKey val="0"/>
          <c:showVal val="0"/>
          <c:showCatName val="0"/>
          <c:showSerName val="0"/>
          <c:showPercent val="0"/>
          <c:showBubbleSize val="0"/>
          <c:showLeaderLines val="1"/>
        </c:dLbls>
        <c:firstSliceAng val="0"/>
        <c:holeSize val="85"/>
      </c:doughnutChar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1622-4C77-82A0-AAB377EDEDED}"/>
              </c:ext>
            </c:extLst>
          </c:dPt>
          <c:dPt>
            <c:idx val="1"/>
            <c:bubble3D val="0"/>
            <c:spPr>
              <a:solidFill>
                <a:schemeClr val="tx1">
                  <a:alpha val="63000"/>
                </a:schemeClr>
              </a:solidFill>
              <a:ln w="19050">
                <a:noFill/>
              </a:ln>
              <a:effectLst/>
            </c:spPr>
            <c:extLst>
              <c:ext xmlns:c16="http://schemas.microsoft.com/office/drawing/2014/chart" uri="{C3380CC4-5D6E-409C-BE32-E72D297353CC}">
                <c16:uniqueId val="{00000003-1622-4C77-82A0-AAB377EDEDED}"/>
              </c:ext>
            </c:extLst>
          </c:dPt>
          <c:val>
            <c:numRef>
              <c:f>Processing!$B$35:$C$35</c:f>
              <c:numCache>
                <c:formatCode>0%</c:formatCode>
                <c:ptCount val="2"/>
                <c:pt idx="0">
                  <c:v>0.8208333333333333</c:v>
                </c:pt>
                <c:pt idx="1">
                  <c:v>0.1791666666666667</c:v>
                </c:pt>
              </c:numCache>
            </c:numRef>
          </c:val>
          <c:extLst>
            <c:ext xmlns:c16="http://schemas.microsoft.com/office/drawing/2014/chart" uri="{C3380CC4-5D6E-409C-BE32-E72D297353CC}">
              <c16:uniqueId val="{00000004-1622-4C77-82A0-AAB377EDEDED}"/>
            </c:ext>
          </c:extLst>
        </c:ser>
        <c:dLbls>
          <c:showLegendKey val="0"/>
          <c:showVal val="0"/>
          <c:showCatName val="0"/>
          <c:showSerName val="0"/>
          <c:showPercent val="0"/>
          <c:showBubbleSize val="0"/>
          <c:showLeaderLines val="1"/>
        </c:dLbls>
        <c:firstSliceAng val="30"/>
        <c:holeSize val="8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Processing!$G$32</c:f>
          <c:strCache>
            <c:ptCount val="1"/>
            <c:pt idx="0">
              <c:v>Stock Balances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33404B"/>
            </a:solidFill>
            <a:ln>
              <a:noFill/>
            </a:ln>
            <a:effectLst/>
          </c:spPr>
          <c:invertIfNegative val="0"/>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Processing!$G$33:$G$44</c:f>
              <c:numCache>
                <c:formatCode>General</c:formatCode>
                <c:ptCount val="12"/>
                <c:pt idx="0">
                  <c:v>414</c:v>
                </c:pt>
                <c:pt idx="1">
                  <c:v>541</c:v>
                </c:pt>
                <c:pt idx="2">
                  <c:v>562</c:v>
                </c:pt>
                <c:pt idx="3">
                  <c:v>488</c:v>
                </c:pt>
                <c:pt idx="4">
                  <c:v>314</c:v>
                </c:pt>
                <c:pt idx="5">
                  <c:v>232</c:v>
                </c:pt>
                <c:pt idx="6">
                  <c:v>348</c:v>
                </c:pt>
                <c:pt idx="7">
                  <c:v>675</c:v>
                </c:pt>
                <c:pt idx="8">
                  <c:v>820</c:v>
                </c:pt>
                <c:pt idx="9">
                  <c:v>704</c:v>
                </c:pt>
                <c:pt idx="10">
                  <c:v>547</c:v>
                </c:pt>
                <c:pt idx="11">
                  <c:v>605</c:v>
                </c:pt>
              </c:numCache>
            </c:numRef>
          </c:val>
          <c:extLst>
            <c:ext xmlns:c16="http://schemas.microsoft.com/office/drawing/2014/chart" uri="{C3380CC4-5D6E-409C-BE32-E72D297353CC}">
              <c16:uniqueId val="{00000000-D907-4A3C-BB2B-690558F82497}"/>
            </c:ext>
          </c:extLst>
        </c:ser>
        <c:ser>
          <c:idx val="1"/>
          <c:order val="1"/>
          <c:spPr>
            <a:gradFill>
              <a:gsLst>
                <a:gs pos="0">
                  <a:srgbClr val="44DEEE"/>
                </a:gs>
                <a:gs pos="90000">
                  <a:srgbClr val="5A45F4"/>
                </a:gs>
              </a:gsLst>
              <a:lin ang="5400000" scaled="0"/>
            </a:gradFill>
            <a:ln>
              <a:noFill/>
            </a:ln>
            <a:effectLst/>
          </c:spPr>
          <c:invertIfNegative val="0"/>
          <c:val>
            <c:numRef>
              <c:f>Processing!$H$33:$H$44</c:f>
              <c:numCache>
                <c:formatCode>General</c:formatCode>
                <c:ptCount val="12"/>
                <c:pt idx="0">
                  <c:v>414</c:v>
                </c:pt>
                <c:pt idx="1">
                  <c:v>541</c:v>
                </c:pt>
                <c:pt idx="2">
                  <c:v>562</c:v>
                </c:pt>
                <c:pt idx="3">
                  <c:v>488</c:v>
                </c:pt>
                <c:pt idx="4">
                  <c:v>314</c:v>
                </c:pt>
                <c:pt idx="5">
                  <c:v>232</c:v>
                </c:pt>
                <c:pt idx="6">
                  <c:v>348</c:v>
                </c:pt>
                <c:pt idx="7">
                  <c:v>675</c:v>
                </c:pt>
                <c:pt idx="8">
                  <c:v>820</c:v>
                </c:pt>
                <c:pt idx="9">
                  <c:v>704</c:v>
                </c:pt>
                <c:pt idx="10">
                  <c:v>547</c:v>
                </c:pt>
                <c:pt idx="11">
                  <c:v>605</c:v>
                </c:pt>
              </c:numCache>
            </c:numRef>
          </c:val>
          <c:extLst>
            <c:ext xmlns:c16="http://schemas.microsoft.com/office/drawing/2014/chart" uri="{C3380CC4-5D6E-409C-BE32-E72D297353CC}">
              <c16:uniqueId val="{00000000-625D-4059-92BD-C891AB5C7201}"/>
            </c:ext>
          </c:extLst>
        </c:ser>
        <c:dLbls>
          <c:showLegendKey val="0"/>
          <c:showVal val="0"/>
          <c:showCatName val="0"/>
          <c:showSerName val="0"/>
          <c:showPercent val="0"/>
          <c:showBubbleSize val="0"/>
        </c:dLbls>
        <c:gapWidth val="170"/>
        <c:overlap val="100"/>
        <c:axId val="1552331424"/>
        <c:axId val="1552331904"/>
      </c:barChart>
      <c:catAx>
        <c:axId val="155233142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552331904"/>
        <c:crosses val="autoZero"/>
        <c:auto val="1"/>
        <c:lblAlgn val="ctr"/>
        <c:lblOffset val="100"/>
        <c:noMultiLvlLbl val="0"/>
      </c:catAx>
      <c:valAx>
        <c:axId val="1552331904"/>
        <c:scaling>
          <c:orientation val="minMax"/>
        </c:scaling>
        <c:delete val="0"/>
        <c:axPos val="l"/>
        <c:majorGridlines>
          <c:spPr>
            <a:ln w="9525" cap="flat" cmpd="sng" algn="ctr">
              <a:solidFill>
                <a:schemeClr val="tx1">
                  <a:lumMod val="75000"/>
                  <a:lumOff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5523314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116784670785304"/>
          <c:y val="7.677275265214964E-2"/>
          <c:w val="0.855541093028928"/>
          <c:h val="0.84645449469570078"/>
        </c:manualLayout>
      </c:layout>
      <c:barChart>
        <c:barDir val="bar"/>
        <c:grouping val="percentStacked"/>
        <c:varyColors val="0"/>
        <c:ser>
          <c:idx val="1"/>
          <c:order val="0"/>
          <c:spPr>
            <a:gradFill>
              <a:gsLst>
                <a:gs pos="0">
                  <a:srgbClr val="21E6DF"/>
                </a:gs>
                <a:gs pos="82000">
                  <a:srgbClr val="9F7EF8"/>
                </a:gs>
              </a:gsLst>
              <a:lin ang="2400000" scaled="0"/>
            </a:gradFill>
            <a:ln>
              <a:noFill/>
            </a:ln>
            <a:effectLst>
              <a:outerShdw blurRad="50800" dist="38100" dir="8100000" algn="tr" rotWithShape="0">
                <a:prstClr val="black">
                  <a:alpha val="40000"/>
                </a:prstClr>
              </a:outerShdw>
            </a:effectLst>
          </c:spPr>
          <c:invertIfNegative val="0"/>
          <c:cat>
            <c:strRef>
              <c:f>Processing!$K$33:$K$37</c:f>
              <c:strCache>
                <c:ptCount val="5"/>
                <c:pt idx="0">
                  <c:v>Product 3</c:v>
                </c:pt>
                <c:pt idx="1">
                  <c:v>Product 0</c:v>
                </c:pt>
                <c:pt idx="2">
                  <c:v>Product 4</c:v>
                </c:pt>
                <c:pt idx="3">
                  <c:v>Product 7</c:v>
                </c:pt>
                <c:pt idx="4">
                  <c:v>Product 6</c:v>
                </c:pt>
              </c:strCache>
            </c:strRef>
          </c:cat>
          <c:val>
            <c:numRef>
              <c:f>Processing!$M$33:$M$37</c:f>
              <c:numCache>
                <c:formatCode>General</c:formatCode>
                <c:ptCount val="5"/>
                <c:pt idx="0">
                  <c:v>13415</c:v>
                </c:pt>
                <c:pt idx="1">
                  <c:v>12494</c:v>
                </c:pt>
                <c:pt idx="2">
                  <c:v>12000</c:v>
                </c:pt>
                <c:pt idx="3">
                  <c:v>11562</c:v>
                </c:pt>
                <c:pt idx="4">
                  <c:v>11472</c:v>
                </c:pt>
              </c:numCache>
            </c:numRef>
          </c:val>
          <c:extLst>
            <c:ext xmlns:c16="http://schemas.microsoft.com/office/drawing/2014/chart" uri="{C3380CC4-5D6E-409C-BE32-E72D297353CC}">
              <c16:uniqueId val="{00000001-5A7D-4214-BFED-BAC892DCFE03}"/>
            </c:ext>
          </c:extLst>
        </c:ser>
        <c:ser>
          <c:idx val="0"/>
          <c:order val="1"/>
          <c:spPr>
            <a:solidFill>
              <a:srgbClr val="33404B"/>
            </a:solidFill>
            <a:ln>
              <a:noFill/>
            </a:ln>
            <a:effectLst/>
          </c:spPr>
          <c:invertIfNegative val="0"/>
          <c:dLbls>
            <c:dLbl>
              <c:idx val="0"/>
              <c:tx>
                <c:rich>
                  <a:bodyPr/>
                  <a:lstStyle/>
                  <a:p>
                    <a:fld id="{AEE3B85A-C99D-40F9-84AA-98D0995BB25F}"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3EA-4D0A-953C-65EFE3FF7DB9}"/>
                </c:ext>
              </c:extLst>
            </c:dLbl>
            <c:dLbl>
              <c:idx val="1"/>
              <c:tx>
                <c:rich>
                  <a:bodyPr/>
                  <a:lstStyle/>
                  <a:p>
                    <a:fld id="{95A17780-724B-4877-8745-B157D97D58AC}"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3EA-4D0A-953C-65EFE3FF7DB9}"/>
                </c:ext>
              </c:extLst>
            </c:dLbl>
            <c:dLbl>
              <c:idx val="2"/>
              <c:tx>
                <c:rich>
                  <a:bodyPr/>
                  <a:lstStyle/>
                  <a:p>
                    <a:fld id="{569FA6ED-015C-46CA-8639-5C3469C712A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3EA-4D0A-953C-65EFE3FF7DB9}"/>
                </c:ext>
              </c:extLst>
            </c:dLbl>
            <c:dLbl>
              <c:idx val="3"/>
              <c:tx>
                <c:rich>
                  <a:bodyPr/>
                  <a:lstStyle/>
                  <a:p>
                    <a:fld id="{93E15ED8-8704-4CB7-890B-35CE82709A4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3EA-4D0A-953C-65EFE3FF7DB9}"/>
                </c:ext>
              </c:extLst>
            </c:dLbl>
            <c:dLbl>
              <c:idx val="4"/>
              <c:tx>
                <c:rich>
                  <a:bodyPr/>
                  <a:lstStyle/>
                  <a:p>
                    <a:fld id="{29521D29-4C9A-4124-B4CB-41B5FAA7D90A}"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3EA-4D0A-953C-65EFE3FF7DB9}"/>
                </c:ext>
              </c:extLst>
            </c:dLbl>
            <c:spPr>
              <a:noFill/>
              <a:ln>
                <a:noFill/>
              </a:ln>
              <a:effectLst/>
            </c:spPr>
            <c:txPr>
              <a:bodyPr wrap="square" lIns="38100" tIns="19050" rIns="38100" bIns="19050" anchor="ctr">
                <a:spAutoFit/>
              </a:bodyPr>
              <a:lstStyle/>
              <a:p>
                <a:pPr>
                  <a:defRPr>
                    <a:solidFill>
                      <a:srgbClr val="C1E5F5"/>
                    </a:solidFill>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Processing!$K$33:$K$37</c:f>
              <c:strCache>
                <c:ptCount val="5"/>
                <c:pt idx="0">
                  <c:v>Product 3</c:v>
                </c:pt>
                <c:pt idx="1">
                  <c:v>Product 0</c:v>
                </c:pt>
                <c:pt idx="2">
                  <c:v>Product 4</c:v>
                </c:pt>
                <c:pt idx="3">
                  <c:v>Product 7</c:v>
                </c:pt>
                <c:pt idx="4">
                  <c:v>Product 6</c:v>
                </c:pt>
              </c:strCache>
            </c:strRef>
          </c:cat>
          <c:val>
            <c:numRef>
              <c:f>Processing!$L$33:$L$37</c:f>
              <c:numCache>
                <c:formatCode>General</c:formatCode>
                <c:ptCount val="5"/>
                <c:pt idx="0">
                  <c:v>6707.5</c:v>
                </c:pt>
                <c:pt idx="1">
                  <c:v>6707.5</c:v>
                </c:pt>
                <c:pt idx="2">
                  <c:v>6707.5</c:v>
                </c:pt>
                <c:pt idx="3">
                  <c:v>6707.5</c:v>
                </c:pt>
                <c:pt idx="4">
                  <c:v>6707.5</c:v>
                </c:pt>
              </c:numCache>
            </c:numRef>
          </c:val>
          <c:extLst>
            <c:ext xmlns:c15="http://schemas.microsoft.com/office/drawing/2012/chart" uri="{02D57815-91ED-43cb-92C2-25804820EDAC}">
              <c15:datalabelsRange>
                <c15:f>Processing!$M$33:$M$37</c15:f>
                <c15:dlblRangeCache>
                  <c:ptCount val="5"/>
                  <c:pt idx="0">
                    <c:v>13415</c:v>
                  </c:pt>
                  <c:pt idx="1">
                    <c:v>12494</c:v>
                  </c:pt>
                  <c:pt idx="2">
                    <c:v>12000</c:v>
                  </c:pt>
                  <c:pt idx="3">
                    <c:v>11562</c:v>
                  </c:pt>
                  <c:pt idx="4">
                    <c:v>11472</c:v>
                  </c:pt>
                </c15:dlblRangeCache>
              </c15:datalabelsRange>
            </c:ext>
            <c:ext xmlns:c16="http://schemas.microsoft.com/office/drawing/2014/chart" uri="{C3380CC4-5D6E-409C-BE32-E72D297353CC}">
              <c16:uniqueId val="{00000000-5A7D-4214-BFED-BAC892DCFE03}"/>
            </c:ext>
          </c:extLst>
        </c:ser>
        <c:dLbls>
          <c:showLegendKey val="0"/>
          <c:showVal val="0"/>
          <c:showCatName val="0"/>
          <c:showSerName val="0"/>
          <c:showPercent val="0"/>
          <c:showBubbleSize val="0"/>
        </c:dLbls>
        <c:gapWidth val="107"/>
        <c:overlap val="100"/>
        <c:axId val="1119615855"/>
        <c:axId val="1119617775"/>
      </c:barChart>
      <c:catAx>
        <c:axId val="1119615855"/>
        <c:scaling>
          <c:orientation val="maxMin"/>
        </c:scaling>
        <c:delete val="0"/>
        <c:axPos val="l"/>
        <c:numFmt formatCode="General" sourceLinked="1"/>
        <c:majorTickMark val="out"/>
        <c:minorTickMark val="none"/>
        <c:tickLblPos val="nextTo"/>
        <c:spPr>
          <a:ln>
            <a:noFill/>
          </a:ln>
        </c:spPr>
        <c:txPr>
          <a:bodyPr/>
          <a:lstStyle/>
          <a:p>
            <a:pPr>
              <a:defRPr sz="800">
                <a:solidFill>
                  <a:schemeClr val="accent1">
                    <a:lumMod val="20000"/>
                    <a:lumOff val="80000"/>
                  </a:schemeClr>
                </a:solidFill>
              </a:defRPr>
            </a:pPr>
            <a:endParaRPr lang="en-US"/>
          </a:p>
        </c:txPr>
        <c:crossAx val="1119617775"/>
        <c:crosses val="autoZero"/>
        <c:auto val="1"/>
        <c:lblAlgn val="ctr"/>
        <c:lblOffset val="100"/>
        <c:noMultiLvlLbl val="0"/>
      </c:catAx>
      <c:valAx>
        <c:axId val="1119617775"/>
        <c:scaling>
          <c:orientation val="minMax"/>
        </c:scaling>
        <c:delete val="1"/>
        <c:axPos val="t"/>
        <c:numFmt formatCode="0%" sourceLinked="1"/>
        <c:majorTickMark val="none"/>
        <c:minorTickMark val="none"/>
        <c:tickLblPos val="nextTo"/>
        <c:crossAx val="1119615855"/>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287272492577773"/>
          <c:y val="0.21582733812949639"/>
          <c:w val="0.84955896906329331"/>
          <c:h val="0.64557393455314493"/>
        </c:manualLayout>
      </c:layout>
      <c:lineChart>
        <c:grouping val="standard"/>
        <c:varyColors val="0"/>
        <c:ser>
          <c:idx val="3"/>
          <c:order val="0"/>
          <c:tx>
            <c:strRef>
              <c:f>Processing!$U$32</c:f>
              <c:strCache>
                <c:ptCount val="1"/>
                <c:pt idx="0">
                  <c:v>Inventory Cost</c:v>
                </c:pt>
              </c:strCache>
            </c:strRef>
          </c:tx>
          <c:spPr>
            <a:ln w="6350" cap="rnd">
              <a:solidFill>
                <a:srgbClr val="33404B"/>
              </a:solidFill>
              <a:round/>
            </a:ln>
            <a:effectLst/>
          </c:spPr>
          <c:marker>
            <c:symbol val="none"/>
          </c:marker>
          <c:val>
            <c:numRef>
              <c:f>Processing!$U$33:$U$44</c:f>
              <c:numCache>
                <c:formatCode>General</c:formatCode>
                <c:ptCount val="12"/>
                <c:pt idx="0">
                  <c:v>491</c:v>
                </c:pt>
                <c:pt idx="1">
                  <c:v>203</c:v>
                </c:pt>
                <c:pt idx="2">
                  <c:v>203</c:v>
                </c:pt>
                <c:pt idx="3">
                  <c:v>498</c:v>
                </c:pt>
                <c:pt idx="4">
                  <c:v>669</c:v>
                </c:pt>
                <c:pt idx="5">
                  <c:v>659</c:v>
                </c:pt>
                <c:pt idx="6">
                  <c:v>538</c:v>
                </c:pt>
                <c:pt idx="7">
                  <c:v>214</c:v>
                </c:pt>
                <c:pt idx="8">
                  <c:v>230</c:v>
                </c:pt>
                <c:pt idx="9">
                  <c:v>445</c:v>
                </c:pt>
                <c:pt idx="10">
                  <c:v>507</c:v>
                </c:pt>
                <c:pt idx="11">
                  <c:v>490</c:v>
                </c:pt>
              </c:numCache>
            </c:numRef>
          </c:val>
          <c:smooth val="1"/>
          <c:extLst>
            <c:ext xmlns:c16="http://schemas.microsoft.com/office/drawing/2014/chart" uri="{C3380CC4-5D6E-409C-BE32-E72D297353CC}">
              <c16:uniqueId val="{00000000-6F34-46AF-B681-703ED0279C5B}"/>
            </c:ext>
          </c:extLst>
        </c:ser>
        <c:ser>
          <c:idx val="4"/>
          <c:order val="1"/>
          <c:tx>
            <c:strRef>
              <c:f>Processing!$V$32</c:f>
              <c:strCache>
                <c:ptCount val="1"/>
                <c:pt idx="0">
                  <c:v>Inventory Turnover</c:v>
                </c:pt>
              </c:strCache>
            </c:strRef>
          </c:tx>
          <c:spPr>
            <a:ln w="6350" cap="rnd">
              <a:solidFill>
                <a:srgbClr val="33404B"/>
              </a:solidFill>
              <a:round/>
            </a:ln>
            <a:effectLst/>
          </c:spPr>
          <c:marker>
            <c:symbol val="none"/>
          </c:marker>
          <c:val>
            <c:numRef>
              <c:f>Processing!$V$33:$V$44</c:f>
              <c:numCache>
                <c:formatCode>General</c:formatCode>
                <c:ptCount val="12"/>
                <c:pt idx="0">
                  <c:v>637</c:v>
                </c:pt>
                <c:pt idx="1">
                  <c:v>790</c:v>
                </c:pt>
                <c:pt idx="2">
                  <c:v>749</c:v>
                </c:pt>
                <c:pt idx="3">
                  <c:v>504</c:v>
                </c:pt>
                <c:pt idx="4">
                  <c:v>373</c:v>
                </c:pt>
                <c:pt idx="5">
                  <c:v>394</c:v>
                </c:pt>
                <c:pt idx="6">
                  <c:v>618</c:v>
                </c:pt>
                <c:pt idx="7">
                  <c:v>874</c:v>
                </c:pt>
                <c:pt idx="8">
                  <c:v>860</c:v>
                </c:pt>
                <c:pt idx="9">
                  <c:v>618</c:v>
                </c:pt>
                <c:pt idx="10">
                  <c:v>635</c:v>
                </c:pt>
                <c:pt idx="11">
                  <c:v>744</c:v>
                </c:pt>
              </c:numCache>
            </c:numRef>
          </c:val>
          <c:smooth val="1"/>
          <c:extLst>
            <c:ext xmlns:c16="http://schemas.microsoft.com/office/drawing/2014/chart" uri="{C3380CC4-5D6E-409C-BE32-E72D297353CC}">
              <c16:uniqueId val="{00000001-6F34-46AF-B681-703ED0279C5B}"/>
            </c:ext>
          </c:extLst>
        </c:ser>
        <c:ser>
          <c:idx val="5"/>
          <c:order val="2"/>
          <c:tx>
            <c:strRef>
              <c:f>Processing!$W$32</c:f>
              <c:strCache>
                <c:ptCount val="1"/>
                <c:pt idx="0">
                  <c:v>Warehouse Payback</c:v>
                </c:pt>
              </c:strCache>
            </c:strRef>
          </c:tx>
          <c:spPr>
            <a:ln w="6350" cap="rnd">
              <a:solidFill>
                <a:srgbClr val="33404B"/>
              </a:solidFill>
              <a:round/>
            </a:ln>
            <a:effectLst/>
          </c:spPr>
          <c:marker>
            <c:symbol val="none"/>
          </c:marker>
          <c:val>
            <c:numRef>
              <c:f>Processing!$W$33:$W$44</c:f>
              <c:numCache>
                <c:formatCode>General</c:formatCode>
                <c:ptCount val="12"/>
                <c:pt idx="0">
                  <c:v>902</c:v>
                </c:pt>
                <c:pt idx="1">
                  <c:v>1005</c:v>
                </c:pt>
                <c:pt idx="2">
                  <c:v>966</c:v>
                </c:pt>
                <c:pt idx="3">
                  <c:v>792</c:v>
                </c:pt>
                <c:pt idx="4">
                  <c:v>742</c:v>
                </c:pt>
                <c:pt idx="5">
                  <c:v>838</c:v>
                </c:pt>
                <c:pt idx="6">
                  <c:v>979</c:v>
                </c:pt>
                <c:pt idx="7">
                  <c:v>1093</c:v>
                </c:pt>
                <c:pt idx="8">
                  <c:v>987</c:v>
                </c:pt>
                <c:pt idx="9">
                  <c:v>856</c:v>
                </c:pt>
                <c:pt idx="10">
                  <c:v>784</c:v>
                </c:pt>
                <c:pt idx="11">
                  <c:v>820</c:v>
                </c:pt>
              </c:numCache>
            </c:numRef>
          </c:val>
          <c:smooth val="1"/>
          <c:extLst>
            <c:ext xmlns:c16="http://schemas.microsoft.com/office/drawing/2014/chart" uri="{C3380CC4-5D6E-409C-BE32-E72D297353CC}">
              <c16:uniqueId val="{00000002-6F34-46AF-B681-703ED0279C5B}"/>
            </c:ext>
          </c:extLst>
        </c:ser>
        <c:ser>
          <c:idx val="0"/>
          <c:order val="3"/>
          <c:spPr>
            <a:ln w="19050" cap="rnd">
              <a:gradFill>
                <a:gsLst>
                  <a:gs pos="90000">
                    <a:srgbClr val="F3ABFD"/>
                  </a:gs>
                  <a:gs pos="28000">
                    <a:srgbClr val="D36FF9"/>
                  </a:gs>
                </a:gsLst>
                <a:lin ang="0" scaled="0"/>
              </a:gradFill>
              <a:round/>
            </a:ln>
            <a:effectLst>
              <a:outerShdw blurRad="50800" dist="38100" dir="5400000" algn="t" rotWithShape="0">
                <a:prstClr val="black">
                  <a:alpha val="40000"/>
                </a:prstClr>
              </a:outerShdw>
            </a:effectLst>
          </c:spPr>
          <c:marker>
            <c:symbol val="none"/>
          </c:marker>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Processing!$X$33:$X$44</c:f>
              <c:numCache>
                <c:formatCode>General</c:formatCode>
                <c:ptCount val="12"/>
                <c:pt idx="0">
                  <c:v>491</c:v>
                </c:pt>
                <c:pt idx="1">
                  <c:v>203</c:v>
                </c:pt>
                <c:pt idx="2">
                  <c:v>203</c:v>
                </c:pt>
                <c:pt idx="3">
                  <c:v>498</c:v>
                </c:pt>
                <c:pt idx="4">
                  <c:v>669</c:v>
                </c:pt>
                <c:pt idx="5">
                  <c:v>659</c:v>
                </c:pt>
                <c:pt idx="6">
                  <c:v>538</c:v>
                </c:pt>
                <c:pt idx="7">
                  <c:v>214</c:v>
                </c:pt>
                <c:pt idx="8">
                  <c:v>230</c:v>
                </c:pt>
                <c:pt idx="9">
                  <c:v>445</c:v>
                </c:pt>
                <c:pt idx="10">
                  <c:v>507</c:v>
                </c:pt>
                <c:pt idx="11">
                  <c:v>490</c:v>
                </c:pt>
              </c:numCache>
            </c:numRef>
          </c:val>
          <c:smooth val="1"/>
          <c:extLst>
            <c:ext xmlns:c16="http://schemas.microsoft.com/office/drawing/2014/chart" uri="{C3380CC4-5D6E-409C-BE32-E72D297353CC}">
              <c16:uniqueId val="{00000000-E5B6-4DCC-8A44-CAAB56A3B5BA}"/>
            </c:ext>
          </c:extLst>
        </c:ser>
        <c:ser>
          <c:idx val="1"/>
          <c:order val="4"/>
          <c:spPr>
            <a:ln w="19050" cap="rnd">
              <a:gradFill>
                <a:gsLst>
                  <a:gs pos="0">
                    <a:srgbClr val="9F7EF8"/>
                  </a:gs>
                  <a:gs pos="100000">
                    <a:srgbClr val="21E6DF"/>
                  </a:gs>
                </a:gsLst>
                <a:lin ang="0" scaled="0"/>
              </a:gradFill>
              <a:round/>
            </a:ln>
            <a:effectLst>
              <a:outerShdw blurRad="50800" dist="38100" dir="5400000" algn="t" rotWithShape="0">
                <a:prstClr val="black">
                  <a:alpha val="40000"/>
                </a:prstClr>
              </a:outerShdw>
            </a:effectLst>
          </c:spPr>
          <c:marker>
            <c:symbol val="none"/>
          </c:marker>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Processing!$Y$33:$Y$44</c:f>
              <c:numCache>
                <c:formatCode>General</c:formatCode>
                <c:ptCount val="12"/>
                <c:pt idx="0">
                  <c:v>637</c:v>
                </c:pt>
                <c:pt idx="1">
                  <c:v>790</c:v>
                </c:pt>
                <c:pt idx="2">
                  <c:v>749</c:v>
                </c:pt>
                <c:pt idx="3">
                  <c:v>504</c:v>
                </c:pt>
                <c:pt idx="4">
                  <c:v>373</c:v>
                </c:pt>
                <c:pt idx="5">
                  <c:v>394</c:v>
                </c:pt>
                <c:pt idx="6">
                  <c:v>618</c:v>
                </c:pt>
                <c:pt idx="7">
                  <c:v>874</c:v>
                </c:pt>
                <c:pt idx="8">
                  <c:v>860</c:v>
                </c:pt>
                <c:pt idx="9">
                  <c:v>618</c:v>
                </c:pt>
                <c:pt idx="10">
                  <c:v>635</c:v>
                </c:pt>
                <c:pt idx="11">
                  <c:v>744</c:v>
                </c:pt>
              </c:numCache>
            </c:numRef>
          </c:val>
          <c:smooth val="1"/>
          <c:extLst>
            <c:ext xmlns:c16="http://schemas.microsoft.com/office/drawing/2014/chart" uri="{C3380CC4-5D6E-409C-BE32-E72D297353CC}">
              <c16:uniqueId val="{00000001-E5B6-4DCC-8A44-CAAB56A3B5BA}"/>
            </c:ext>
          </c:extLst>
        </c:ser>
        <c:ser>
          <c:idx val="2"/>
          <c:order val="5"/>
          <c:spPr>
            <a:ln w="19050" cap="rnd">
              <a:gradFill>
                <a:gsLst>
                  <a:gs pos="95000">
                    <a:srgbClr val="9F7EF8"/>
                  </a:gs>
                  <a:gs pos="0">
                    <a:srgbClr val="5A45F4"/>
                  </a:gs>
                </a:gsLst>
                <a:lin ang="0" scaled="0"/>
              </a:gradFill>
              <a:round/>
            </a:ln>
            <a:effectLst>
              <a:outerShdw blurRad="50800" dist="38100" dir="5400000" algn="t" rotWithShape="0">
                <a:prstClr val="black">
                  <a:alpha val="40000"/>
                </a:prstClr>
              </a:outerShdw>
            </a:effectLst>
          </c:spPr>
          <c:marker>
            <c:symbol val="none"/>
          </c:marker>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Processing!$Z$33:$Z$44</c:f>
              <c:numCache>
                <c:formatCode>General</c:formatCode>
                <c:ptCount val="12"/>
                <c:pt idx="0">
                  <c:v>902</c:v>
                </c:pt>
                <c:pt idx="1">
                  <c:v>1005</c:v>
                </c:pt>
                <c:pt idx="2">
                  <c:v>966</c:v>
                </c:pt>
                <c:pt idx="3">
                  <c:v>792</c:v>
                </c:pt>
                <c:pt idx="4">
                  <c:v>742</c:v>
                </c:pt>
                <c:pt idx="5">
                  <c:v>838</c:v>
                </c:pt>
                <c:pt idx="6">
                  <c:v>979</c:v>
                </c:pt>
                <c:pt idx="7">
                  <c:v>1093</c:v>
                </c:pt>
                <c:pt idx="8">
                  <c:v>987</c:v>
                </c:pt>
                <c:pt idx="9">
                  <c:v>856</c:v>
                </c:pt>
                <c:pt idx="10">
                  <c:v>784</c:v>
                </c:pt>
                <c:pt idx="11">
                  <c:v>820</c:v>
                </c:pt>
              </c:numCache>
            </c:numRef>
          </c:val>
          <c:smooth val="1"/>
          <c:extLst>
            <c:ext xmlns:c16="http://schemas.microsoft.com/office/drawing/2014/chart" uri="{C3380CC4-5D6E-409C-BE32-E72D297353CC}">
              <c16:uniqueId val="{00000002-E5B6-4DCC-8A44-CAAB56A3B5BA}"/>
            </c:ext>
          </c:extLst>
        </c:ser>
        <c:dLbls>
          <c:showLegendKey val="0"/>
          <c:showVal val="0"/>
          <c:showCatName val="0"/>
          <c:showSerName val="0"/>
          <c:showPercent val="0"/>
          <c:showBubbleSize val="0"/>
        </c:dLbls>
        <c:marker val="1"/>
        <c:smooth val="0"/>
        <c:axId val="1877894192"/>
        <c:axId val="1877888432"/>
      </c:lineChart>
      <c:scatterChart>
        <c:scatterStyle val="lineMarker"/>
        <c:varyColors val="0"/>
        <c:ser>
          <c:idx val="6"/>
          <c:order val="6"/>
          <c:tx>
            <c:strRef>
              <c:f>Processing!$AA$32</c:f>
              <c:strCache>
                <c:ptCount val="1"/>
                <c:pt idx="0">
                  <c:v>Mark</c:v>
                </c:pt>
              </c:strCache>
            </c:strRef>
          </c:tx>
          <c:spPr>
            <a:ln w="25400" cap="rnd">
              <a:noFill/>
              <a:round/>
            </a:ln>
            <a:effectLst/>
          </c:spPr>
          <c:marker>
            <c:symbol val="circle"/>
            <c:size val="7"/>
            <c:spPr>
              <a:solidFill>
                <a:schemeClr val="bg1"/>
              </a:solidFill>
              <a:ln w="9525">
                <a:solidFill>
                  <a:schemeClr val="accent1">
                    <a:lumMod val="60000"/>
                  </a:schemeClr>
                </a:solidFill>
              </a:ln>
              <a:effectLst/>
            </c:spPr>
          </c:marker>
          <c:errBars>
            <c:errDir val="y"/>
            <c:errBarType val="both"/>
            <c:errValType val="cust"/>
            <c:noEndCap val="1"/>
            <c:plus>
              <c:numLit>
                <c:formatCode>General</c:formatCode>
                <c:ptCount val="1"/>
                <c:pt idx="0">
                  <c:v>1</c:v>
                </c:pt>
              </c:numLit>
            </c:plus>
            <c:minus>
              <c:numRef>
                <c:f>Processing!$AA$33</c:f>
                <c:numCache>
                  <c:formatCode>General</c:formatCode>
                  <c:ptCount val="1"/>
                  <c:pt idx="0">
                    <c:v>#N/A</c:v>
                  </c:pt>
                </c:numCache>
              </c:numRef>
            </c:minus>
            <c:spPr>
              <a:noFill/>
              <a:ln w="9525" cap="flat" cmpd="sng" algn="ctr">
                <a:solidFill>
                  <a:schemeClr val="bg1">
                    <a:lumMod val="95000"/>
                  </a:schemeClr>
                </a:solidFill>
                <a:round/>
              </a:ln>
              <a:effectLst/>
            </c:spPr>
          </c:errBars>
          <c:xVal>
            <c:numRef>
              <c:f>Processing!$AA$34</c:f>
              <c:numCache>
                <c:formatCode>General</c:formatCode>
                <c:ptCount val="1"/>
                <c:pt idx="0">
                  <c:v>#N/A</c:v>
                </c:pt>
              </c:numCache>
            </c:numRef>
          </c:xVal>
          <c:yVal>
            <c:numRef>
              <c:f>Processing!$AA$33</c:f>
              <c:numCache>
                <c:formatCode>General</c:formatCode>
                <c:ptCount val="1"/>
                <c:pt idx="0">
                  <c:v>#N/A</c:v>
                </c:pt>
              </c:numCache>
            </c:numRef>
          </c:yVal>
          <c:smooth val="0"/>
          <c:extLst>
            <c:ext xmlns:c16="http://schemas.microsoft.com/office/drawing/2014/chart" uri="{C3380CC4-5D6E-409C-BE32-E72D297353CC}">
              <c16:uniqueId val="{00000004-6F34-46AF-B681-703ED0279C5B}"/>
            </c:ext>
          </c:extLst>
        </c:ser>
        <c:dLbls>
          <c:showLegendKey val="0"/>
          <c:showVal val="0"/>
          <c:showCatName val="0"/>
          <c:showSerName val="0"/>
          <c:showPercent val="0"/>
          <c:showBubbleSize val="0"/>
        </c:dLbls>
        <c:axId val="1877894192"/>
        <c:axId val="1877888432"/>
      </c:scatterChart>
      <c:catAx>
        <c:axId val="187789419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877888432"/>
        <c:crosses val="autoZero"/>
        <c:auto val="1"/>
        <c:lblAlgn val="ctr"/>
        <c:lblOffset val="100"/>
        <c:noMultiLvlLbl val="0"/>
      </c:catAx>
      <c:valAx>
        <c:axId val="18778884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778941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a:effectLst>
              <a:outerShdw blurRad="50800" dist="38100" dir="13500000" algn="br" rotWithShape="0">
                <a:prstClr val="black">
                  <a:alpha val="40000"/>
                </a:prstClr>
              </a:outerShdw>
            </a:effectLst>
          </c:spPr>
          <c:dPt>
            <c:idx val="0"/>
            <c:bubble3D val="0"/>
            <c:spPr>
              <a:gradFill>
                <a:gsLst>
                  <a:gs pos="100000">
                    <a:srgbClr val="9F7EF8"/>
                  </a:gs>
                  <a:gs pos="19000">
                    <a:srgbClr val="5A45F4"/>
                  </a:gs>
                </a:gsLst>
                <a:lin ang="0" scaled="0"/>
              </a:gra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1-E8E1-49DA-B736-600BFFB077AA}"/>
              </c:ext>
            </c:extLst>
          </c:dPt>
          <c:dPt>
            <c:idx val="1"/>
            <c:bubble3D val="0"/>
            <c:spPr>
              <a:solidFill>
                <a:srgbClr val="2F333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3-E8E1-49DA-B736-600BFFB077AA}"/>
              </c:ext>
            </c:extLst>
          </c:dPt>
          <c:val>
            <c:numRef>
              <c:f>Processing!$AD$33:$AE$33</c:f>
              <c:numCache>
                <c:formatCode>0.00%</c:formatCode>
                <c:ptCount val="2"/>
                <c:pt idx="0" formatCode="0%">
                  <c:v>0.53041666666666654</c:v>
                </c:pt>
                <c:pt idx="1">
                  <c:v>0.46958333333333346</c:v>
                </c:pt>
              </c:numCache>
            </c:numRef>
          </c:val>
          <c:extLst>
            <c:ext xmlns:c16="http://schemas.microsoft.com/office/drawing/2014/chart" uri="{C3380CC4-5D6E-409C-BE32-E72D297353CC}">
              <c16:uniqueId val="{00000004-E8E1-49DA-B736-600BFFB077AA}"/>
            </c:ext>
          </c:extLst>
        </c:ser>
        <c:ser>
          <c:idx val="1"/>
          <c:order val="1"/>
          <c:spPr>
            <a:noFill/>
            <a:ln>
              <a:noFill/>
            </a:ln>
          </c:spPr>
          <c:dPt>
            <c:idx val="0"/>
            <c:bubble3D val="0"/>
            <c:spPr>
              <a:noFill/>
              <a:ln w="19050">
                <a:noFill/>
              </a:ln>
              <a:effectLst/>
            </c:spPr>
            <c:extLst>
              <c:ext xmlns:c16="http://schemas.microsoft.com/office/drawing/2014/chart" uri="{C3380CC4-5D6E-409C-BE32-E72D297353CC}">
                <c16:uniqueId val="{00000006-E8E1-49DA-B736-600BFFB077AA}"/>
              </c:ext>
            </c:extLst>
          </c:dPt>
          <c:dPt>
            <c:idx val="1"/>
            <c:bubble3D val="0"/>
            <c:spPr>
              <a:noFill/>
              <a:ln w="19050">
                <a:noFill/>
              </a:ln>
              <a:effectLst/>
            </c:spPr>
            <c:extLst>
              <c:ext xmlns:c16="http://schemas.microsoft.com/office/drawing/2014/chart" uri="{C3380CC4-5D6E-409C-BE32-E72D297353CC}">
                <c16:uniqueId val="{00000008-E8E1-49DA-B736-600BFFB077AA}"/>
              </c:ext>
            </c:extLst>
          </c:dPt>
          <c:val>
            <c:numRef>
              <c:f>Processing!$AD$34:$AE$34</c:f>
              <c:numCache>
                <c:formatCode>0%</c:formatCode>
                <c:ptCount val="2"/>
                <c:pt idx="0">
                  <c:v>1</c:v>
                </c:pt>
                <c:pt idx="1">
                  <c:v>0</c:v>
                </c:pt>
              </c:numCache>
            </c:numRef>
          </c:val>
          <c:extLst>
            <c:ext xmlns:c16="http://schemas.microsoft.com/office/drawing/2014/chart" uri="{C3380CC4-5D6E-409C-BE32-E72D297353CC}">
              <c16:uniqueId val="{00000009-E8E1-49DA-B736-600BFFB077AA}"/>
            </c:ext>
          </c:extLst>
        </c:ser>
        <c:ser>
          <c:idx val="2"/>
          <c:order val="2"/>
          <c:spPr>
            <a:ln>
              <a:noFill/>
            </a:ln>
            <a:effectLst>
              <a:outerShdw blurRad="50800" dist="38100" dir="13500000" algn="br" rotWithShape="0">
                <a:prstClr val="black">
                  <a:alpha val="40000"/>
                </a:prstClr>
              </a:outerShdw>
            </a:effectLst>
          </c:spPr>
          <c:dPt>
            <c:idx val="0"/>
            <c:bubble3D val="0"/>
            <c:spPr>
              <a:gradFill>
                <a:gsLst>
                  <a:gs pos="88000">
                    <a:srgbClr val="21E6DF"/>
                  </a:gs>
                  <a:gs pos="21000">
                    <a:srgbClr val="9F7EF8"/>
                  </a:gs>
                </a:gsLst>
                <a:lin ang="2400000" scaled="0"/>
              </a:gra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E8E1-49DA-B736-600BFFB077AA}"/>
              </c:ext>
            </c:extLst>
          </c:dPt>
          <c:dPt>
            <c:idx val="1"/>
            <c:bubble3D val="0"/>
            <c:spPr>
              <a:solidFill>
                <a:srgbClr val="2F333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E8E1-49DA-B736-600BFFB077AA}"/>
              </c:ext>
            </c:extLst>
          </c:dPt>
          <c:val>
            <c:numRef>
              <c:f>Processing!$AD$35:$AE$35</c:f>
              <c:numCache>
                <c:formatCode>0.00%</c:formatCode>
                <c:ptCount val="2"/>
                <c:pt idx="0" formatCode="0%">
                  <c:v>0.62041666666666673</c:v>
                </c:pt>
                <c:pt idx="1">
                  <c:v>0.37958333333333327</c:v>
                </c:pt>
              </c:numCache>
            </c:numRef>
          </c:val>
          <c:extLst>
            <c:ext xmlns:c16="http://schemas.microsoft.com/office/drawing/2014/chart" uri="{C3380CC4-5D6E-409C-BE32-E72D297353CC}">
              <c16:uniqueId val="{0000000E-E8E1-49DA-B736-600BFFB077AA}"/>
            </c:ext>
          </c:extLst>
        </c:ser>
        <c:ser>
          <c:idx val="3"/>
          <c:order val="3"/>
          <c:spPr>
            <a:noFill/>
            <a:ln>
              <a:noFill/>
            </a:ln>
          </c:spPr>
          <c:dPt>
            <c:idx val="0"/>
            <c:bubble3D val="0"/>
            <c:spPr>
              <a:noFill/>
              <a:ln w="19050">
                <a:noFill/>
              </a:ln>
              <a:effectLst/>
            </c:spPr>
            <c:extLst>
              <c:ext xmlns:c16="http://schemas.microsoft.com/office/drawing/2014/chart" uri="{C3380CC4-5D6E-409C-BE32-E72D297353CC}">
                <c16:uniqueId val="{00000010-E8E1-49DA-B736-600BFFB077AA}"/>
              </c:ext>
            </c:extLst>
          </c:dPt>
          <c:dPt>
            <c:idx val="1"/>
            <c:bubble3D val="0"/>
            <c:spPr>
              <a:noFill/>
              <a:ln w="19050">
                <a:noFill/>
              </a:ln>
              <a:effectLst/>
            </c:spPr>
            <c:extLst>
              <c:ext xmlns:c16="http://schemas.microsoft.com/office/drawing/2014/chart" uri="{C3380CC4-5D6E-409C-BE32-E72D297353CC}">
                <c16:uniqueId val="{00000012-E8E1-49DA-B736-600BFFB077AA}"/>
              </c:ext>
            </c:extLst>
          </c:dPt>
          <c:val>
            <c:numRef>
              <c:f>Processing!$AD$36:$AE$36</c:f>
              <c:numCache>
                <c:formatCode>0%</c:formatCode>
                <c:ptCount val="2"/>
                <c:pt idx="0">
                  <c:v>1</c:v>
                </c:pt>
                <c:pt idx="1">
                  <c:v>0</c:v>
                </c:pt>
              </c:numCache>
            </c:numRef>
          </c:val>
          <c:extLst>
            <c:ext xmlns:c16="http://schemas.microsoft.com/office/drawing/2014/chart" uri="{C3380CC4-5D6E-409C-BE32-E72D297353CC}">
              <c16:uniqueId val="{00000013-E8E1-49DA-B736-600BFFB077AA}"/>
            </c:ext>
          </c:extLst>
        </c:ser>
        <c:ser>
          <c:idx val="4"/>
          <c:order val="4"/>
          <c:spPr>
            <a:ln>
              <a:noFill/>
            </a:ln>
            <a:effectLst>
              <a:outerShdw blurRad="50800" dist="38100" dir="13500000" algn="br" rotWithShape="0">
                <a:prstClr val="black">
                  <a:alpha val="40000"/>
                </a:prstClr>
              </a:outerShdw>
            </a:effectLst>
          </c:spPr>
          <c:dPt>
            <c:idx val="0"/>
            <c:bubble3D val="0"/>
            <c:spPr>
              <a:gradFill>
                <a:gsLst>
                  <a:gs pos="82000">
                    <a:srgbClr val="D36FF9"/>
                  </a:gs>
                  <a:gs pos="18000">
                    <a:srgbClr val="9F7EF8"/>
                  </a:gs>
                </a:gsLst>
                <a:lin ang="2400000" scaled="0"/>
              </a:gra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5-E8E1-49DA-B736-600BFFB077AA}"/>
              </c:ext>
            </c:extLst>
          </c:dPt>
          <c:dPt>
            <c:idx val="1"/>
            <c:bubble3D val="0"/>
            <c:spPr>
              <a:solidFill>
                <a:srgbClr val="2F333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7-E8E1-49DA-B736-600BFFB077AA}"/>
              </c:ext>
            </c:extLst>
          </c:dPt>
          <c:val>
            <c:numRef>
              <c:f>Processing!$AD$37:$AE$37</c:f>
              <c:numCache>
                <c:formatCode>0.00%</c:formatCode>
                <c:ptCount val="2"/>
                <c:pt idx="0" formatCode="0%">
                  <c:v>0.76666666666666672</c:v>
                </c:pt>
                <c:pt idx="1">
                  <c:v>0.23333333333333328</c:v>
                </c:pt>
              </c:numCache>
            </c:numRef>
          </c:val>
          <c:extLst>
            <c:ext xmlns:c16="http://schemas.microsoft.com/office/drawing/2014/chart" uri="{C3380CC4-5D6E-409C-BE32-E72D297353CC}">
              <c16:uniqueId val="{00000018-E8E1-49DA-B736-600BFFB077AA}"/>
            </c:ext>
          </c:extLst>
        </c:ser>
        <c:dLbls>
          <c:showLegendKey val="0"/>
          <c:showVal val="0"/>
          <c:showCatName val="0"/>
          <c:showSerName val="0"/>
          <c:showPercent val="0"/>
          <c:showBubbleSize val="0"/>
          <c:showLeaderLines val="1"/>
        </c:dLbls>
        <c:firstSliceAng val="3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64278059917067"/>
          <c:y val="0.22262334536702766"/>
          <c:w val="0.85519679862502396"/>
          <c:h val="0.63827757089930548"/>
        </c:manualLayout>
      </c:layout>
      <c:areaChart>
        <c:grouping val="standard"/>
        <c:varyColors val="0"/>
        <c:ser>
          <c:idx val="2"/>
          <c:order val="4"/>
          <c:tx>
            <c:v>Fill</c:v>
          </c:tx>
          <c:spPr>
            <a:gradFill>
              <a:gsLst>
                <a:gs pos="6000">
                  <a:srgbClr val="0B5458">
                    <a:alpha val="85000"/>
                  </a:srgbClr>
                </a:gs>
                <a:gs pos="86000">
                  <a:srgbClr val="0B5458">
                    <a:alpha val="16000"/>
                  </a:srgbClr>
                </a:gs>
              </a:gsLst>
              <a:lin ang="5400000" scaled="0"/>
            </a:gradFill>
            <a:ln w="25400">
              <a:noFill/>
            </a:ln>
            <a:effectLst/>
          </c:spPr>
          <c:val>
            <c:numRef>
              <c:f>Processing!$I$48:$I$59</c:f>
              <c:numCache>
                <c:formatCode>General</c:formatCode>
                <c:ptCount val="12"/>
                <c:pt idx="0">
                  <c:v>973</c:v>
                </c:pt>
                <c:pt idx="1">
                  <c:v>714</c:v>
                </c:pt>
                <c:pt idx="2">
                  <c:v>538</c:v>
                </c:pt>
                <c:pt idx="3">
                  <c:v>509</c:v>
                </c:pt>
                <c:pt idx="4">
                  <c:v>574</c:v>
                </c:pt>
                <c:pt idx="5">
                  <c:v>651</c:v>
                </c:pt>
                <c:pt idx="6">
                  <c:v>699</c:v>
                </c:pt>
                <c:pt idx="7">
                  <c:v>658</c:v>
                </c:pt>
                <c:pt idx="8">
                  <c:v>416</c:v>
                </c:pt>
                <c:pt idx="9">
                  <c:v>274</c:v>
                </c:pt>
                <c:pt idx="10">
                  <c:v>283</c:v>
                </c:pt>
                <c:pt idx="11">
                  <c:v>419</c:v>
                </c:pt>
              </c:numCache>
            </c:numRef>
          </c:val>
          <c:extLst>
            <c:ext xmlns:c16="http://schemas.microsoft.com/office/drawing/2014/chart" uri="{C3380CC4-5D6E-409C-BE32-E72D297353CC}">
              <c16:uniqueId val="{00000000-602E-4C0A-A8B3-03C9F8C03BEE}"/>
            </c:ext>
          </c:extLst>
        </c:ser>
        <c:dLbls>
          <c:showLegendKey val="0"/>
          <c:showVal val="0"/>
          <c:showCatName val="0"/>
          <c:showSerName val="0"/>
          <c:showPercent val="0"/>
          <c:showBubbleSize val="0"/>
        </c:dLbls>
        <c:axId val="1877951792"/>
        <c:axId val="1877934512"/>
      </c:areaChart>
      <c:lineChart>
        <c:grouping val="standard"/>
        <c:varyColors val="0"/>
        <c:ser>
          <c:idx val="3"/>
          <c:order val="0"/>
          <c:tx>
            <c:strRef>
              <c:f>Processing!$G$47</c:f>
              <c:strCache>
                <c:ptCount val="1"/>
                <c:pt idx="0">
                  <c:v>Shelf Life Exceeded</c:v>
                </c:pt>
              </c:strCache>
            </c:strRef>
          </c:tx>
          <c:spPr>
            <a:ln w="12700" cap="rnd">
              <a:solidFill>
                <a:srgbClr val="33404B"/>
              </a:solidFill>
              <a:round/>
            </a:ln>
            <a:effectLst/>
          </c:spPr>
          <c:marker>
            <c:symbol val="none"/>
          </c:marker>
          <c:val>
            <c:numRef>
              <c:f>Processing!$G$48:$G$59</c:f>
              <c:numCache>
                <c:formatCode>General</c:formatCode>
                <c:ptCount val="12"/>
                <c:pt idx="0">
                  <c:v>973</c:v>
                </c:pt>
                <c:pt idx="1">
                  <c:v>714</c:v>
                </c:pt>
                <c:pt idx="2">
                  <c:v>538</c:v>
                </c:pt>
                <c:pt idx="3">
                  <c:v>509</c:v>
                </c:pt>
                <c:pt idx="4">
                  <c:v>574</c:v>
                </c:pt>
                <c:pt idx="5">
                  <c:v>651</c:v>
                </c:pt>
                <c:pt idx="6">
                  <c:v>699</c:v>
                </c:pt>
                <c:pt idx="7">
                  <c:v>658</c:v>
                </c:pt>
                <c:pt idx="8">
                  <c:v>416</c:v>
                </c:pt>
                <c:pt idx="9">
                  <c:v>274</c:v>
                </c:pt>
                <c:pt idx="10">
                  <c:v>283</c:v>
                </c:pt>
                <c:pt idx="11">
                  <c:v>419</c:v>
                </c:pt>
              </c:numCache>
            </c:numRef>
          </c:val>
          <c:smooth val="1"/>
          <c:extLst>
            <c:ext xmlns:c16="http://schemas.microsoft.com/office/drawing/2014/chart" uri="{C3380CC4-5D6E-409C-BE32-E72D297353CC}">
              <c16:uniqueId val="{00000001-F1ED-4AD5-A886-AA3218219A1C}"/>
            </c:ext>
          </c:extLst>
        </c:ser>
        <c:ser>
          <c:idx val="4"/>
          <c:order val="1"/>
          <c:tx>
            <c:strRef>
              <c:f>Processing!$H$47</c:f>
              <c:strCache>
                <c:ptCount val="1"/>
                <c:pt idx="0">
                  <c:v>Disposal</c:v>
                </c:pt>
              </c:strCache>
            </c:strRef>
          </c:tx>
          <c:spPr>
            <a:ln w="12700" cap="rnd">
              <a:solidFill>
                <a:srgbClr val="33404B"/>
              </a:solidFill>
              <a:round/>
            </a:ln>
            <a:effectLst/>
          </c:spPr>
          <c:marker>
            <c:symbol val="none"/>
          </c:marker>
          <c:val>
            <c:numRef>
              <c:f>Processing!$H$48:$H$59</c:f>
              <c:numCache>
                <c:formatCode>General</c:formatCode>
                <c:ptCount val="12"/>
                <c:pt idx="0">
                  <c:v>722</c:v>
                </c:pt>
                <c:pt idx="1">
                  <c:v>725</c:v>
                </c:pt>
                <c:pt idx="2">
                  <c:v>816</c:v>
                </c:pt>
                <c:pt idx="3">
                  <c:v>930</c:v>
                </c:pt>
                <c:pt idx="4">
                  <c:v>898</c:v>
                </c:pt>
                <c:pt idx="5">
                  <c:v>650</c:v>
                </c:pt>
                <c:pt idx="6">
                  <c:v>435</c:v>
                </c:pt>
                <c:pt idx="7">
                  <c:v>413</c:v>
                </c:pt>
                <c:pt idx="8">
                  <c:v>525</c:v>
                </c:pt>
                <c:pt idx="9">
                  <c:v>650</c:v>
                </c:pt>
                <c:pt idx="10">
                  <c:v>550</c:v>
                </c:pt>
                <c:pt idx="11">
                  <c:v>275</c:v>
                </c:pt>
              </c:numCache>
            </c:numRef>
          </c:val>
          <c:smooth val="1"/>
          <c:extLst>
            <c:ext xmlns:c16="http://schemas.microsoft.com/office/drawing/2014/chart" uri="{C3380CC4-5D6E-409C-BE32-E72D297353CC}">
              <c16:uniqueId val="{00000002-F1ED-4AD5-A886-AA3218219A1C}"/>
            </c:ext>
          </c:extLst>
        </c:ser>
        <c:ser>
          <c:idx val="0"/>
          <c:order val="2"/>
          <c:tx>
            <c:strRef>
              <c:f>Processing!$I$47</c:f>
              <c:strCache>
                <c:ptCount val="1"/>
                <c:pt idx="0">
                  <c:v>S L2</c:v>
                </c:pt>
              </c:strCache>
            </c:strRef>
          </c:tx>
          <c:spPr>
            <a:ln w="38100" cap="rnd">
              <a:gradFill>
                <a:gsLst>
                  <a:gs pos="12000">
                    <a:srgbClr val="1DE1EB"/>
                  </a:gs>
                  <a:gs pos="83000">
                    <a:srgbClr val="9F7EF8"/>
                  </a:gs>
                </a:gsLst>
                <a:lin ang="0" scaled="0"/>
              </a:gradFill>
              <a:round/>
            </a:ln>
            <a:effectLst>
              <a:outerShdw blurRad="50800" dist="38100" dir="5400000" algn="t" rotWithShape="0">
                <a:prstClr val="black">
                  <a:alpha val="40000"/>
                </a:prstClr>
              </a:outerShdw>
            </a:effectLst>
          </c:spPr>
          <c:marker>
            <c:symbol val="none"/>
          </c:marker>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Processing!$I$48:$I$59</c:f>
              <c:numCache>
                <c:formatCode>General</c:formatCode>
                <c:ptCount val="12"/>
                <c:pt idx="0">
                  <c:v>973</c:v>
                </c:pt>
                <c:pt idx="1">
                  <c:v>714</c:v>
                </c:pt>
                <c:pt idx="2">
                  <c:v>538</c:v>
                </c:pt>
                <c:pt idx="3">
                  <c:v>509</c:v>
                </c:pt>
                <c:pt idx="4">
                  <c:v>574</c:v>
                </c:pt>
                <c:pt idx="5">
                  <c:v>651</c:v>
                </c:pt>
                <c:pt idx="6">
                  <c:v>699</c:v>
                </c:pt>
                <c:pt idx="7">
                  <c:v>658</c:v>
                </c:pt>
                <c:pt idx="8">
                  <c:v>416</c:v>
                </c:pt>
                <c:pt idx="9">
                  <c:v>274</c:v>
                </c:pt>
                <c:pt idx="10">
                  <c:v>283</c:v>
                </c:pt>
                <c:pt idx="11">
                  <c:v>419</c:v>
                </c:pt>
              </c:numCache>
            </c:numRef>
          </c:val>
          <c:smooth val="1"/>
          <c:extLst>
            <c:ext xmlns:c16="http://schemas.microsoft.com/office/drawing/2014/chart" uri="{C3380CC4-5D6E-409C-BE32-E72D297353CC}">
              <c16:uniqueId val="{00000001-602E-4C0A-A8B3-03C9F8C03BEE}"/>
            </c:ext>
          </c:extLst>
        </c:ser>
        <c:ser>
          <c:idx val="1"/>
          <c:order val="3"/>
          <c:tx>
            <c:strRef>
              <c:f>Processing!$J$47</c:f>
              <c:strCache>
                <c:ptCount val="1"/>
                <c:pt idx="0">
                  <c:v>D L2</c:v>
                </c:pt>
              </c:strCache>
            </c:strRef>
          </c:tx>
          <c:spPr>
            <a:ln w="25400" cap="rnd">
              <a:gradFill>
                <a:gsLst>
                  <a:gs pos="0">
                    <a:srgbClr val="D36FF9">
                      <a:lumMod val="99000"/>
                    </a:srgbClr>
                  </a:gs>
                  <a:gs pos="100000">
                    <a:srgbClr val="F3ABFD"/>
                  </a:gs>
                </a:gsLst>
                <a:lin ang="0" scaled="0"/>
              </a:gradFill>
              <a:prstDash val="sysDash"/>
              <a:round/>
            </a:ln>
            <a:effectLst>
              <a:outerShdw blurRad="50800" dist="38100" dir="5400000" algn="t" rotWithShape="0">
                <a:prstClr val="black">
                  <a:alpha val="40000"/>
                </a:prstClr>
              </a:outerShdw>
            </a:effectLst>
          </c:spPr>
          <c:marker>
            <c:symbol val="none"/>
          </c:marker>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Processing!$J$48:$J$59</c:f>
              <c:numCache>
                <c:formatCode>General</c:formatCode>
                <c:ptCount val="12"/>
                <c:pt idx="0">
                  <c:v>722</c:v>
                </c:pt>
                <c:pt idx="1">
                  <c:v>725</c:v>
                </c:pt>
                <c:pt idx="2">
                  <c:v>816</c:v>
                </c:pt>
                <c:pt idx="3">
                  <c:v>930</c:v>
                </c:pt>
                <c:pt idx="4">
                  <c:v>898</c:v>
                </c:pt>
                <c:pt idx="5">
                  <c:v>650</c:v>
                </c:pt>
                <c:pt idx="6">
                  <c:v>435</c:v>
                </c:pt>
                <c:pt idx="7">
                  <c:v>413</c:v>
                </c:pt>
                <c:pt idx="8">
                  <c:v>525</c:v>
                </c:pt>
                <c:pt idx="9">
                  <c:v>650</c:v>
                </c:pt>
                <c:pt idx="10">
                  <c:v>550</c:v>
                </c:pt>
                <c:pt idx="11">
                  <c:v>275</c:v>
                </c:pt>
              </c:numCache>
            </c:numRef>
          </c:val>
          <c:smooth val="1"/>
          <c:extLst>
            <c:ext xmlns:c16="http://schemas.microsoft.com/office/drawing/2014/chart" uri="{C3380CC4-5D6E-409C-BE32-E72D297353CC}">
              <c16:uniqueId val="{00000002-602E-4C0A-A8B3-03C9F8C03BEE}"/>
            </c:ext>
          </c:extLst>
        </c:ser>
        <c:dLbls>
          <c:showLegendKey val="0"/>
          <c:showVal val="0"/>
          <c:showCatName val="0"/>
          <c:showSerName val="0"/>
          <c:showPercent val="0"/>
          <c:showBubbleSize val="0"/>
        </c:dLbls>
        <c:marker val="1"/>
        <c:smooth val="0"/>
        <c:axId val="1877951792"/>
        <c:axId val="1877934512"/>
      </c:lineChart>
      <c:scatterChart>
        <c:scatterStyle val="lineMarker"/>
        <c:varyColors val="0"/>
        <c:ser>
          <c:idx val="5"/>
          <c:order val="5"/>
          <c:tx>
            <c:strRef>
              <c:f>Processing!$K$47</c:f>
              <c:strCache>
                <c:ptCount val="1"/>
                <c:pt idx="0">
                  <c:v>Mark</c:v>
                </c:pt>
              </c:strCache>
            </c:strRef>
          </c:tx>
          <c:spPr>
            <a:ln w="25400" cap="rnd">
              <a:noFill/>
              <a:round/>
            </a:ln>
            <a:effectLst/>
          </c:spPr>
          <c:marker>
            <c:symbol val="circle"/>
            <c:size val="7"/>
            <c:spPr>
              <a:solidFill>
                <a:schemeClr val="bg1"/>
              </a:solidFill>
              <a:ln w="9525">
                <a:solidFill>
                  <a:schemeClr val="accent6"/>
                </a:solidFill>
              </a:ln>
              <a:effectLst/>
            </c:spPr>
          </c:marker>
          <c:errBars>
            <c:errDir val="y"/>
            <c:errBarType val="both"/>
            <c:errValType val="cust"/>
            <c:noEndCap val="0"/>
            <c:plus>
              <c:numLit>
                <c:formatCode>General</c:formatCode>
                <c:ptCount val="1"/>
                <c:pt idx="0">
                  <c:v>1</c:v>
                </c:pt>
              </c:numLit>
            </c:plus>
            <c:minus>
              <c:numRef>
                <c:f>Processing!$K$48</c:f>
                <c:numCache>
                  <c:formatCode>General</c:formatCode>
                  <c:ptCount val="1"/>
                  <c:pt idx="0">
                    <c:v>#N/A</c:v>
                  </c:pt>
                </c:numCache>
              </c:numRef>
            </c:minus>
            <c:spPr>
              <a:noFill/>
              <a:ln w="9525" cap="flat" cmpd="sng" algn="ctr">
                <a:solidFill>
                  <a:schemeClr val="bg1"/>
                </a:solidFill>
                <a:round/>
              </a:ln>
              <a:effectLst/>
            </c:spPr>
          </c:errBars>
          <c:xVal>
            <c:numRef>
              <c:f>Processing!$K$49</c:f>
              <c:numCache>
                <c:formatCode>General</c:formatCode>
                <c:ptCount val="1"/>
                <c:pt idx="0">
                  <c:v>#N/A</c:v>
                </c:pt>
              </c:numCache>
            </c:numRef>
          </c:xVal>
          <c:yVal>
            <c:numRef>
              <c:f>Processing!$K$48</c:f>
              <c:numCache>
                <c:formatCode>General</c:formatCode>
                <c:ptCount val="1"/>
                <c:pt idx="0">
                  <c:v>#N/A</c:v>
                </c:pt>
              </c:numCache>
            </c:numRef>
          </c:yVal>
          <c:smooth val="0"/>
          <c:extLst>
            <c:ext xmlns:c16="http://schemas.microsoft.com/office/drawing/2014/chart" uri="{C3380CC4-5D6E-409C-BE32-E72D297353CC}">
              <c16:uniqueId val="{00000003-F1ED-4AD5-A886-AA3218219A1C}"/>
            </c:ext>
          </c:extLst>
        </c:ser>
        <c:dLbls>
          <c:showLegendKey val="0"/>
          <c:showVal val="0"/>
          <c:showCatName val="0"/>
          <c:showSerName val="0"/>
          <c:showPercent val="0"/>
          <c:showBubbleSize val="0"/>
        </c:dLbls>
        <c:axId val="1877951792"/>
        <c:axId val="1877934512"/>
      </c:scatterChart>
      <c:catAx>
        <c:axId val="1877951792"/>
        <c:scaling>
          <c:orientation val="minMax"/>
        </c:scaling>
        <c:delete val="0"/>
        <c:axPos val="b"/>
        <c:majorTickMark val="none"/>
        <c:minorTickMark val="none"/>
        <c:tickLblPos val="nextTo"/>
        <c:spPr>
          <a:noFill/>
          <a:ln w="9525" cap="flat" cmpd="sng" algn="ctr">
            <a:solidFill>
              <a:schemeClr val="tx1">
                <a:lumMod val="75000"/>
                <a:lumOff val="2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877934512"/>
        <c:crosses val="autoZero"/>
        <c:auto val="1"/>
        <c:lblAlgn val="ctr"/>
        <c:lblOffset val="100"/>
        <c:noMultiLvlLbl val="0"/>
      </c:catAx>
      <c:valAx>
        <c:axId val="1877934512"/>
        <c:scaling>
          <c:orientation val="minMax"/>
        </c:scaling>
        <c:delete val="0"/>
        <c:axPos val="l"/>
        <c:majorGridlines>
          <c:spPr>
            <a:ln w="9525" cap="flat" cmpd="sng" algn="ctr">
              <a:solidFill>
                <a:schemeClr val="tx1">
                  <a:lumMod val="75000"/>
                  <a:lumOff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779517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solidFill>
              <a:ln w="19050">
                <a:noFill/>
              </a:ln>
              <a:effectLst/>
            </c:spPr>
            <c:extLst>
              <c:ext xmlns:c16="http://schemas.microsoft.com/office/drawing/2014/chart" uri="{C3380CC4-5D6E-409C-BE32-E72D297353CC}">
                <c16:uniqueId val="{00000001-F561-4AA7-8D8A-1F06E71CEE6D}"/>
              </c:ext>
            </c:extLst>
          </c:dPt>
          <c:dPt>
            <c:idx val="1"/>
            <c:bubble3D val="0"/>
            <c:spPr>
              <a:solidFill>
                <a:schemeClr val="bg1">
                  <a:alpha val="20000"/>
                </a:schemeClr>
              </a:solidFill>
              <a:ln w="19050">
                <a:noFill/>
              </a:ln>
              <a:effectLst/>
            </c:spPr>
            <c:extLst>
              <c:ext xmlns:c16="http://schemas.microsoft.com/office/drawing/2014/chart" uri="{C3380CC4-5D6E-409C-BE32-E72D297353CC}">
                <c16:uniqueId val="{00000003-F561-4AA7-8D8A-1F06E71CEE6D}"/>
              </c:ext>
            </c:extLst>
          </c:dPt>
          <c:val>
            <c:numRef>
              <c:f>Processing!$A$2:$B$2</c:f>
              <c:numCache>
                <c:formatCode>0%</c:formatCode>
                <c:ptCount val="2"/>
                <c:pt idx="0">
                  <c:v>0.46273404178413935</c:v>
                </c:pt>
                <c:pt idx="1">
                  <c:v>0.53726595821586065</c:v>
                </c:pt>
              </c:numCache>
            </c:numRef>
          </c:val>
          <c:extLst>
            <c:ext xmlns:c16="http://schemas.microsoft.com/office/drawing/2014/chart" uri="{C3380CC4-5D6E-409C-BE32-E72D297353CC}">
              <c16:uniqueId val="{00000004-F561-4AA7-8D8A-1F06E71CEE6D}"/>
            </c:ext>
          </c:extLst>
        </c:ser>
        <c:dLbls>
          <c:showLegendKey val="0"/>
          <c:showVal val="0"/>
          <c:showCatName val="0"/>
          <c:showSerName val="0"/>
          <c:showPercent val="0"/>
          <c:showBubbleSize val="0"/>
          <c:showLeaderLines val="1"/>
        </c:dLbls>
        <c:firstSliceAng val="3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solidFill>
              <a:ln w="19050">
                <a:noFill/>
              </a:ln>
              <a:effectLst/>
            </c:spPr>
            <c:extLst>
              <c:ext xmlns:c16="http://schemas.microsoft.com/office/drawing/2014/chart" uri="{C3380CC4-5D6E-409C-BE32-E72D297353CC}">
                <c16:uniqueId val="{00000001-0947-4EDA-B717-D201646EFCEE}"/>
              </c:ext>
            </c:extLst>
          </c:dPt>
          <c:dPt>
            <c:idx val="1"/>
            <c:bubble3D val="0"/>
            <c:spPr>
              <a:solidFill>
                <a:schemeClr val="bg1">
                  <a:alpha val="20000"/>
                </a:schemeClr>
              </a:solidFill>
              <a:ln w="19050">
                <a:noFill/>
              </a:ln>
              <a:effectLst/>
            </c:spPr>
            <c:extLst>
              <c:ext xmlns:c16="http://schemas.microsoft.com/office/drawing/2014/chart" uri="{C3380CC4-5D6E-409C-BE32-E72D297353CC}">
                <c16:uniqueId val="{00000003-0947-4EDA-B717-D201646EFCEE}"/>
              </c:ext>
            </c:extLst>
          </c:dPt>
          <c:val>
            <c:numRef>
              <c:f>Processing!$C$2:$D$2</c:f>
              <c:numCache>
                <c:formatCode>0%</c:formatCode>
                <c:ptCount val="2"/>
                <c:pt idx="0">
                  <c:v>0.53726595821586065</c:v>
                </c:pt>
                <c:pt idx="1">
                  <c:v>0.46273404178413935</c:v>
                </c:pt>
              </c:numCache>
            </c:numRef>
          </c:val>
          <c:extLst>
            <c:ext xmlns:c16="http://schemas.microsoft.com/office/drawing/2014/chart" uri="{C3380CC4-5D6E-409C-BE32-E72D297353CC}">
              <c16:uniqueId val="{00000004-0947-4EDA-B717-D201646EFCEE}"/>
            </c:ext>
          </c:extLst>
        </c:ser>
        <c:dLbls>
          <c:showLegendKey val="0"/>
          <c:showVal val="0"/>
          <c:showCatName val="0"/>
          <c:showSerName val="0"/>
          <c:showPercent val="0"/>
          <c:showBubbleSize val="0"/>
          <c:showLeaderLines val="1"/>
        </c:dLbls>
        <c:firstSliceAng val="30"/>
        <c:holeSize val="7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796518856195605E-2"/>
          <c:y val="0.20746808102056169"/>
          <c:w val="0.9212736565824009"/>
          <c:h val="0.62965483281625201"/>
        </c:manualLayout>
      </c:layout>
      <c:areaChart>
        <c:grouping val="standard"/>
        <c:varyColors val="0"/>
        <c:ser>
          <c:idx val="2"/>
          <c:order val="4"/>
          <c:tx>
            <c:v>Fill</c:v>
          </c:tx>
          <c:spPr>
            <a:gradFill>
              <a:gsLst>
                <a:gs pos="0">
                  <a:srgbClr val="2498A8"/>
                </a:gs>
                <a:gs pos="69000">
                  <a:srgbClr val="133455">
                    <a:alpha val="43000"/>
                  </a:srgbClr>
                </a:gs>
              </a:gsLst>
              <a:lin ang="5400000" scaled="0"/>
            </a:gradFill>
            <a:ln w="25400">
              <a:noFill/>
            </a:ln>
            <a:effectLst/>
          </c:spPr>
          <c:val>
            <c:numRef>
              <c:f>Processing!$S$48:$S$59</c:f>
              <c:numCache>
                <c:formatCode>General</c:formatCode>
                <c:ptCount val="12"/>
                <c:pt idx="0">
                  <c:v>100</c:v>
                </c:pt>
                <c:pt idx="1">
                  <c:v>87</c:v>
                </c:pt>
                <c:pt idx="2">
                  <c:v>79</c:v>
                </c:pt>
                <c:pt idx="3">
                  <c:v>149</c:v>
                </c:pt>
                <c:pt idx="4">
                  <c:v>135</c:v>
                </c:pt>
                <c:pt idx="5">
                  <c:v>74</c:v>
                </c:pt>
                <c:pt idx="6">
                  <c:v>78</c:v>
                </c:pt>
                <c:pt idx="7">
                  <c:v>45</c:v>
                </c:pt>
                <c:pt idx="8">
                  <c:v>157</c:v>
                </c:pt>
                <c:pt idx="9">
                  <c:v>153</c:v>
                </c:pt>
                <c:pt idx="10">
                  <c:v>131</c:v>
                </c:pt>
                <c:pt idx="11">
                  <c:v>88</c:v>
                </c:pt>
              </c:numCache>
            </c:numRef>
          </c:val>
          <c:extLst>
            <c:ext xmlns:c16="http://schemas.microsoft.com/office/drawing/2014/chart" uri="{C3380CC4-5D6E-409C-BE32-E72D297353CC}">
              <c16:uniqueId val="{00000000-3ECE-4A2D-B272-24AD785E0982}"/>
            </c:ext>
          </c:extLst>
        </c:ser>
        <c:dLbls>
          <c:showLegendKey val="0"/>
          <c:showVal val="0"/>
          <c:showCatName val="0"/>
          <c:showSerName val="0"/>
          <c:showPercent val="0"/>
          <c:showBubbleSize val="0"/>
        </c:dLbls>
        <c:axId val="653320896"/>
        <c:axId val="653334816"/>
      </c:areaChart>
      <c:lineChart>
        <c:grouping val="standard"/>
        <c:varyColors val="0"/>
        <c:ser>
          <c:idx val="4"/>
          <c:order val="0"/>
          <c:tx>
            <c:strRef>
              <c:f>Processing!$R$47</c:f>
              <c:strCache>
                <c:ptCount val="1"/>
                <c:pt idx="0">
                  <c:v>Shipment</c:v>
                </c:pt>
              </c:strCache>
            </c:strRef>
          </c:tx>
          <c:spPr>
            <a:ln w="25400" cap="rnd">
              <a:solidFill>
                <a:srgbClr val="33404B"/>
              </a:solidFill>
              <a:round/>
            </a:ln>
            <a:effectLst/>
          </c:spPr>
          <c:marker>
            <c:symbol val="none"/>
          </c:marker>
          <c:val>
            <c:numRef>
              <c:f>Processing!$R$48:$R$59</c:f>
              <c:numCache>
                <c:formatCode>General</c:formatCode>
                <c:ptCount val="12"/>
                <c:pt idx="0">
                  <c:v>158</c:v>
                </c:pt>
                <c:pt idx="1">
                  <c:v>130</c:v>
                </c:pt>
                <c:pt idx="2">
                  <c:v>186</c:v>
                </c:pt>
                <c:pt idx="3">
                  <c:v>171</c:v>
                </c:pt>
                <c:pt idx="4">
                  <c:v>111</c:v>
                </c:pt>
                <c:pt idx="5">
                  <c:v>50</c:v>
                </c:pt>
                <c:pt idx="6">
                  <c:v>101</c:v>
                </c:pt>
                <c:pt idx="7">
                  <c:v>75</c:v>
                </c:pt>
                <c:pt idx="8">
                  <c:v>182</c:v>
                </c:pt>
                <c:pt idx="9">
                  <c:v>265</c:v>
                </c:pt>
                <c:pt idx="10">
                  <c:v>183</c:v>
                </c:pt>
                <c:pt idx="11">
                  <c:v>242</c:v>
                </c:pt>
              </c:numCache>
            </c:numRef>
          </c:val>
          <c:smooth val="1"/>
          <c:extLst>
            <c:ext xmlns:c16="http://schemas.microsoft.com/office/drawing/2014/chart" uri="{C3380CC4-5D6E-409C-BE32-E72D297353CC}">
              <c16:uniqueId val="{00000001-B0BA-4DDC-9CBB-54EC76D33C2F}"/>
            </c:ext>
          </c:extLst>
        </c:ser>
        <c:ser>
          <c:idx val="3"/>
          <c:order val="1"/>
          <c:tx>
            <c:strRef>
              <c:f>Processing!$Q$47</c:f>
              <c:strCache>
                <c:ptCount val="1"/>
                <c:pt idx="0">
                  <c:v>Supply</c:v>
                </c:pt>
              </c:strCache>
            </c:strRef>
          </c:tx>
          <c:spPr>
            <a:ln w="25400" cap="rnd">
              <a:solidFill>
                <a:srgbClr val="33404B"/>
              </a:solidFill>
              <a:round/>
            </a:ln>
            <a:effectLst/>
          </c:spPr>
          <c:marker>
            <c:symbol val="none"/>
          </c:marker>
          <c:val>
            <c:numRef>
              <c:f>Processing!$Q$48:$Q$59</c:f>
              <c:numCache>
                <c:formatCode>General</c:formatCode>
                <c:ptCount val="12"/>
                <c:pt idx="0">
                  <c:v>100</c:v>
                </c:pt>
                <c:pt idx="1">
                  <c:v>87</c:v>
                </c:pt>
                <c:pt idx="2">
                  <c:v>79</c:v>
                </c:pt>
                <c:pt idx="3">
                  <c:v>149</c:v>
                </c:pt>
                <c:pt idx="4">
                  <c:v>135</c:v>
                </c:pt>
                <c:pt idx="5">
                  <c:v>74</c:v>
                </c:pt>
                <c:pt idx="6">
                  <c:v>78</c:v>
                </c:pt>
                <c:pt idx="7">
                  <c:v>45</c:v>
                </c:pt>
                <c:pt idx="8">
                  <c:v>157</c:v>
                </c:pt>
                <c:pt idx="9">
                  <c:v>153</c:v>
                </c:pt>
                <c:pt idx="10">
                  <c:v>131</c:v>
                </c:pt>
                <c:pt idx="11">
                  <c:v>88</c:v>
                </c:pt>
              </c:numCache>
            </c:numRef>
          </c:val>
          <c:smooth val="1"/>
          <c:extLst>
            <c:ext xmlns:c16="http://schemas.microsoft.com/office/drawing/2014/chart" uri="{C3380CC4-5D6E-409C-BE32-E72D297353CC}">
              <c16:uniqueId val="{00000000-B0BA-4DDC-9CBB-54EC76D33C2F}"/>
            </c:ext>
          </c:extLst>
        </c:ser>
        <c:ser>
          <c:idx val="0"/>
          <c:order val="2"/>
          <c:tx>
            <c:strRef>
              <c:f>Processing!$S$47</c:f>
              <c:strCache>
                <c:ptCount val="1"/>
                <c:pt idx="0">
                  <c:v>SupplyL2</c:v>
                </c:pt>
              </c:strCache>
            </c:strRef>
          </c:tx>
          <c:spPr>
            <a:ln w="44450" cap="rnd">
              <a:gradFill>
                <a:gsLst>
                  <a:gs pos="44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38100" dir="5400000" algn="t" rotWithShape="0">
                <a:prstClr val="black">
                  <a:alpha val="40000"/>
                </a:prstClr>
              </a:outerShdw>
            </a:effectLst>
          </c:spPr>
          <c:marker>
            <c:symbol val="none"/>
          </c:marker>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Processing!$S$48:$S$59</c:f>
              <c:numCache>
                <c:formatCode>General</c:formatCode>
                <c:ptCount val="12"/>
                <c:pt idx="0">
                  <c:v>100</c:v>
                </c:pt>
                <c:pt idx="1">
                  <c:v>87</c:v>
                </c:pt>
                <c:pt idx="2">
                  <c:v>79</c:v>
                </c:pt>
                <c:pt idx="3">
                  <c:v>149</c:v>
                </c:pt>
                <c:pt idx="4">
                  <c:v>135</c:v>
                </c:pt>
                <c:pt idx="5">
                  <c:v>74</c:v>
                </c:pt>
                <c:pt idx="6">
                  <c:v>78</c:v>
                </c:pt>
                <c:pt idx="7">
                  <c:v>45</c:v>
                </c:pt>
                <c:pt idx="8">
                  <c:v>157</c:v>
                </c:pt>
                <c:pt idx="9">
                  <c:v>153</c:v>
                </c:pt>
                <c:pt idx="10">
                  <c:v>131</c:v>
                </c:pt>
                <c:pt idx="11">
                  <c:v>88</c:v>
                </c:pt>
              </c:numCache>
            </c:numRef>
          </c:val>
          <c:smooth val="1"/>
          <c:extLst>
            <c:ext xmlns:c16="http://schemas.microsoft.com/office/drawing/2014/chart" uri="{C3380CC4-5D6E-409C-BE32-E72D297353CC}">
              <c16:uniqueId val="{00000001-3ECE-4A2D-B272-24AD785E0982}"/>
            </c:ext>
          </c:extLst>
        </c:ser>
        <c:ser>
          <c:idx val="1"/>
          <c:order val="3"/>
          <c:tx>
            <c:strRef>
              <c:f>Processing!$T$47</c:f>
              <c:strCache>
                <c:ptCount val="1"/>
                <c:pt idx="0">
                  <c:v>ShipmentL2</c:v>
                </c:pt>
              </c:strCache>
            </c:strRef>
          </c:tx>
          <c:spPr>
            <a:ln w="38100" cap="rnd">
              <a:gradFill>
                <a:gsLst>
                  <a:gs pos="19000">
                    <a:srgbClr val="9F7EF8"/>
                  </a:gs>
                  <a:gs pos="92000">
                    <a:srgbClr val="F3ABFD"/>
                  </a:gs>
                </a:gsLst>
                <a:lin ang="0" scaled="0"/>
              </a:gradFill>
              <a:round/>
            </a:ln>
            <a:effectLst>
              <a:outerShdw blurRad="50800" dist="38100" dir="5400000" algn="t" rotWithShape="0">
                <a:prstClr val="black">
                  <a:alpha val="40000"/>
                </a:prstClr>
              </a:outerShdw>
            </a:effectLst>
          </c:spPr>
          <c:marker>
            <c:symbol val="none"/>
          </c:marker>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Processing!$T$48:$T$59</c:f>
              <c:numCache>
                <c:formatCode>General</c:formatCode>
                <c:ptCount val="12"/>
                <c:pt idx="0">
                  <c:v>158</c:v>
                </c:pt>
                <c:pt idx="1">
                  <c:v>130</c:v>
                </c:pt>
                <c:pt idx="2">
                  <c:v>186</c:v>
                </c:pt>
                <c:pt idx="3">
                  <c:v>171</c:v>
                </c:pt>
                <c:pt idx="4">
                  <c:v>111</c:v>
                </c:pt>
                <c:pt idx="5">
                  <c:v>50</c:v>
                </c:pt>
                <c:pt idx="6">
                  <c:v>101</c:v>
                </c:pt>
                <c:pt idx="7">
                  <c:v>75</c:v>
                </c:pt>
                <c:pt idx="8">
                  <c:v>182</c:v>
                </c:pt>
                <c:pt idx="9">
                  <c:v>265</c:v>
                </c:pt>
                <c:pt idx="10">
                  <c:v>183</c:v>
                </c:pt>
                <c:pt idx="11">
                  <c:v>242</c:v>
                </c:pt>
              </c:numCache>
            </c:numRef>
          </c:val>
          <c:smooth val="1"/>
          <c:extLst>
            <c:ext xmlns:c16="http://schemas.microsoft.com/office/drawing/2014/chart" uri="{C3380CC4-5D6E-409C-BE32-E72D297353CC}">
              <c16:uniqueId val="{00000002-3ECE-4A2D-B272-24AD785E0982}"/>
            </c:ext>
          </c:extLst>
        </c:ser>
        <c:dLbls>
          <c:showLegendKey val="0"/>
          <c:showVal val="0"/>
          <c:showCatName val="0"/>
          <c:showSerName val="0"/>
          <c:showPercent val="0"/>
          <c:showBubbleSize val="0"/>
        </c:dLbls>
        <c:marker val="1"/>
        <c:smooth val="0"/>
        <c:axId val="653320896"/>
        <c:axId val="653334816"/>
      </c:lineChart>
      <c:scatterChart>
        <c:scatterStyle val="lineMarker"/>
        <c:varyColors val="0"/>
        <c:ser>
          <c:idx val="5"/>
          <c:order val="5"/>
          <c:tx>
            <c:strRef>
              <c:f>Processing!$U$47</c:f>
              <c:strCache>
                <c:ptCount val="1"/>
                <c:pt idx="0">
                  <c:v>Mark</c:v>
                </c:pt>
              </c:strCache>
            </c:strRef>
          </c:tx>
          <c:spPr>
            <a:ln w="25400" cap="rnd">
              <a:noFill/>
              <a:round/>
            </a:ln>
            <a:effectLst/>
          </c:spPr>
          <c:marker>
            <c:symbol val="circle"/>
            <c:size val="7"/>
            <c:spPr>
              <a:solidFill>
                <a:schemeClr val="bg1">
                  <a:alpha val="0"/>
                </a:schemeClr>
              </a:solidFill>
              <a:ln w="9525">
                <a:noFill/>
              </a:ln>
              <a:effectLst/>
            </c:spPr>
          </c:marker>
          <c:errBars>
            <c:errDir val="x"/>
            <c:errBarType val="both"/>
            <c:errValType val="stdErr"/>
            <c:noEndCap val="0"/>
            <c:spPr>
              <a:noFill/>
              <a:ln w="9525" cap="flat" cmpd="sng" algn="ctr">
                <a:solidFill>
                  <a:schemeClr val="tx1">
                    <a:lumMod val="65000"/>
                    <a:lumOff val="35000"/>
                  </a:schemeClr>
                </a:solidFill>
                <a:round/>
              </a:ln>
              <a:effectLst/>
            </c:spPr>
          </c:errBars>
          <c:errBars>
            <c:errDir val="y"/>
            <c:errBarType val="both"/>
            <c:errValType val="cust"/>
            <c:noEndCap val="1"/>
            <c:plus>
              <c:numLit>
                <c:formatCode>General</c:formatCode>
                <c:ptCount val="1"/>
                <c:pt idx="0">
                  <c:v>1</c:v>
                </c:pt>
              </c:numLit>
            </c:plus>
            <c:minus>
              <c:numRef>
                <c:f>Processing!$U$48</c:f>
                <c:numCache>
                  <c:formatCode>General</c:formatCode>
                  <c:ptCount val="1"/>
                  <c:pt idx="0">
                    <c:v>#N/A</c:v>
                  </c:pt>
                </c:numCache>
              </c:numRef>
            </c:minus>
            <c:spPr>
              <a:noFill/>
              <a:ln w="50800" cap="flat" cmpd="sng" algn="ctr">
                <a:gradFill>
                  <a:gsLst>
                    <a:gs pos="0">
                      <a:schemeClr val="accent1">
                        <a:lumMod val="5000"/>
                        <a:lumOff val="95000"/>
                      </a:schemeClr>
                    </a:gs>
                    <a:gs pos="100000">
                      <a:schemeClr val="accent1">
                        <a:lumMod val="30000"/>
                        <a:lumOff val="70000"/>
                        <a:alpha val="0"/>
                      </a:schemeClr>
                    </a:gs>
                  </a:gsLst>
                  <a:lin ang="5400000" scaled="1"/>
                </a:gradFill>
                <a:round/>
              </a:ln>
              <a:effectLst/>
            </c:spPr>
          </c:errBars>
          <c:xVal>
            <c:numRef>
              <c:f>Processing!$U$49</c:f>
              <c:numCache>
                <c:formatCode>General</c:formatCode>
                <c:ptCount val="1"/>
                <c:pt idx="0">
                  <c:v>#N/A</c:v>
                </c:pt>
              </c:numCache>
            </c:numRef>
          </c:xVal>
          <c:yVal>
            <c:numRef>
              <c:f>Processing!$U$48</c:f>
              <c:numCache>
                <c:formatCode>General</c:formatCode>
                <c:ptCount val="1"/>
                <c:pt idx="0">
                  <c:v>#N/A</c:v>
                </c:pt>
              </c:numCache>
            </c:numRef>
          </c:yVal>
          <c:smooth val="0"/>
          <c:extLst>
            <c:ext xmlns:c16="http://schemas.microsoft.com/office/drawing/2014/chart" uri="{C3380CC4-5D6E-409C-BE32-E72D297353CC}">
              <c16:uniqueId val="{00000002-B0BA-4DDC-9CBB-54EC76D33C2F}"/>
            </c:ext>
          </c:extLst>
        </c:ser>
        <c:dLbls>
          <c:showLegendKey val="0"/>
          <c:showVal val="0"/>
          <c:showCatName val="0"/>
          <c:showSerName val="0"/>
          <c:showPercent val="0"/>
          <c:showBubbleSize val="0"/>
        </c:dLbls>
        <c:axId val="653320896"/>
        <c:axId val="653334816"/>
      </c:scatterChart>
      <c:catAx>
        <c:axId val="65332089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653334816"/>
        <c:crosses val="autoZero"/>
        <c:auto val="1"/>
        <c:lblAlgn val="ctr"/>
        <c:lblOffset val="100"/>
        <c:noMultiLvlLbl val="0"/>
      </c:catAx>
      <c:valAx>
        <c:axId val="653334816"/>
        <c:scaling>
          <c:orientation val="minMax"/>
        </c:scaling>
        <c:delete val="0"/>
        <c:axPos val="l"/>
        <c:majorGridlines>
          <c:spPr>
            <a:ln w="9525" cap="flat" cmpd="sng" algn="ctr">
              <a:gradFill>
                <a:gsLst>
                  <a:gs pos="10000">
                    <a:schemeClr val="tx1">
                      <a:lumMod val="75000"/>
                      <a:lumOff val="25000"/>
                    </a:schemeClr>
                  </a:gs>
                  <a:gs pos="95000">
                    <a:schemeClr val="tx1">
                      <a:lumMod val="95000"/>
                      <a:lumOff val="5000"/>
                      <a:alpha val="41000"/>
                    </a:schemeClr>
                  </a:gs>
                </a:gsLst>
                <a:lin ang="5400000" scaled="1"/>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53320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Processing!$AA$47</c:f>
          <c:strCache>
            <c:ptCount val="1"/>
            <c:pt idx="0">
              <c:v>Logistics Costs</c:v>
            </c:pt>
          </c:strCache>
        </c:strRef>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rgbClr val="156082">
                  <a:lumMod val="20000"/>
                  <a:lumOff val="80000"/>
                </a:srgbClr>
              </a:solidFill>
              <a:latin typeface="+mn-lt"/>
              <a:ea typeface="+mn-ea"/>
              <a:cs typeface="+mn-cs"/>
            </a:defRPr>
          </a:pPr>
          <a:endParaRPr lang="en-US"/>
        </a:p>
      </c:txPr>
    </c:title>
    <c:autoTitleDeleted val="0"/>
    <c:plotArea>
      <c:layout>
        <c:manualLayout>
          <c:layoutTarget val="inner"/>
          <c:xMode val="edge"/>
          <c:yMode val="edge"/>
          <c:x val="2.271788517141677E-2"/>
          <c:y val="0.13892580287929127"/>
          <c:w val="0.95456422965716647"/>
          <c:h val="0.73306607022959336"/>
        </c:manualLayout>
      </c:layout>
      <c:barChart>
        <c:barDir val="col"/>
        <c:grouping val="clustered"/>
        <c:varyColors val="0"/>
        <c:ser>
          <c:idx val="0"/>
          <c:order val="1"/>
          <c:tx>
            <c:strRef>
              <c:f>Processing!$Y$47</c:f>
              <c:strCache>
                <c:ptCount val="1"/>
                <c:pt idx="0">
                  <c:v>indent</c:v>
                </c:pt>
              </c:strCache>
            </c:strRef>
          </c:tx>
          <c:spPr>
            <a:gradFill>
              <a:gsLst>
                <a:gs pos="0">
                  <a:srgbClr val="282C38"/>
                </a:gs>
                <a:gs pos="86000">
                  <a:srgbClr val="121622"/>
                </a:gs>
              </a:gsLst>
              <a:lin ang="16200000" scaled="0"/>
            </a:gradFill>
            <a:ln>
              <a:noFill/>
            </a:ln>
            <a:effectLst/>
          </c:spPr>
          <c:invertIfNegative val="0"/>
          <c:cat>
            <c:strRef>
              <c:f>Processing!$F$19:$F$30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Processing!$Y$48:$Y$59</c:f>
              <c:numCache>
                <c:formatCode>General</c:formatCode>
                <c:ptCount val="12"/>
                <c:pt idx="0">
                  <c:v>664.8</c:v>
                </c:pt>
                <c:pt idx="1">
                  <c:v>664.8</c:v>
                </c:pt>
                <c:pt idx="2">
                  <c:v>664.8</c:v>
                </c:pt>
                <c:pt idx="3">
                  <c:v>664.8</c:v>
                </c:pt>
                <c:pt idx="4">
                  <c:v>664.8</c:v>
                </c:pt>
                <c:pt idx="5">
                  <c:v>664.8</c:v>
                </c:pt>
                <c:pt idx="6">
                  <c:v>664.8</c:v>
                </c:pt>
                <c:pt idx="7">
                  <c:v>664.8</c:v>
                </c:pt>
                <c:pt idx="8">
                  <c:v>664.8</c:v>
                </c:pt>
                <c:pt idx="9">
                  <c:v>664.8</c:v>
                </c:pt>
                <c:pt idx="10">
                  <c:v>664.8</c:v>
                </c:pt>
                <c:pt idx="11">
                  <c:v>664.8</c:v>
                </c:pt>
              </c:numCache>
            </c:numRef>
          </c:val>
          <c:extLst>
            <c:ext xmlns:c16="http://schemas.microsoft.com/office/drawing/2014/chart" uri="{C3380CC4-5D6E-409C-BE32-E72D297353CC}">
              <c16:uniqueId val="{00000000-0D6E-4FA1-8727-240FA1E7A8B4}"/>
            </c:ext>
          </c:extLst>
        </c:ser>
        <c:dLbls>
          <c:showLegendKey val="0"/>
          <c:showVal val="0"/>
          <c:showCatName val="0"/>
          <c:showSerName val="0"/>
          <c:showPercent val="0"/>
          <c:showBubbleSize val="0"/>
        </c:dLbls>
        <c:gapWidth val="100"/>
        <c:axId val="1049299168"/>
        <c:axId val="1049313088"/>
      </c:barChart>
      <c:lineChart>
        <c:grouping val="standard"/>
        <c:varyColors val="0"/>
        <c:ser>
          <c:idx val="2"/>
          <c:order val="0"/>
          <c:tx>
            <c:strRef>
              <c:f>Processing!$AA$47</c:f>
              <c:strCache>
                <c:ptCount val="1"/>
                <c:pt idx="0">
                  <c:v>Logistics Costs</c:v>
                </c:pt>
              </c:strCache>
            </c:strRef>
          </c:tx>
          <c:spPr>
            <a:ln w="19050" cap="rnd">
              <a:solidFill>
                <a:srgbClr val="33404B"/>
              </a:solidFill>
              <a:round/>
            </a:ln>
            <a:effectLst/>
          </c:spPr>
          <c:marker>
            <c:symbol val="none"/>
          </c:marker>
          <c:val>
            <c:numRef>
              <c:f>Processing!$AA$48:$AA$59</c:f>
              <c:numCache>
                <c:formatCode>General</c:formatCode>
                <c:ptCount val="12"/>
                <c:pt idx="0">
                  <c:v>219</c:v>
                </c:pt>
                <c:pt idx="1">
                  <c:v>238</c:v>
                </c:pt>
                <c:pt idx="2">
                  <c:v>253</c:v>
                </c:pt>
                <c:pt idx="3">
                  <c:v>462</c:v>
                </c:pt>
                <c:pt idx="4">
                  <c:v>332</c:v>
                </c:pt>
                <c:pt idx="5">
                  <c:v>292</c:v>
                </c:pt>
                <c:pt idx="6">
                  <c:v>453</c:v>
                </c:pt>
                <c:pt idx="7">
                  <c:v>554</c:v>
                </c:pt>
                <c:pt idx="8">
                  <c:v>505</c:v>
                </c:pt>
                <c:pt idx="9">
                  <c:v>368</c:v>
                </c:pt>
                <c:pt idx="10">
                  <c:v>503</c:v>
                </c:pt>
                <c:pt idx="11">
                  <c:v>351</c:v>
                </c:pt>
              </c:numCache>
            </c:numRef>
          </c:val>
          <c:smooth val="1"/>
          <c:extLst>
            <c:ext xmlns:c16="http://schemas.microsoft.com/office/drawing/2014/chart" uri="{C3380CC4-5D6E-409C-BE32-E72D297353CC}">
              <c16:uniqueId val="{00000000-9153-4720-B7D4-40641F786F0E}"/>
            </c:ext>
          </c:extLst>
        </c:ser>
        <c:ser>
          <c:idx val="1"/>
          <c:order val="2"/>
          <c:tx>
            <c:strRef>
              <c:f>Processing!$Z$47</c:f>
              <c:strCache>
                <c:ptCount val="1"/>
                <c:pt idx="0">
                  <c:v>Costs L2</c:v>
                </c:pt>
              </c:strCache>
            </c:strRef>
          </c:tx>
          <c:spPr>
            <a:ln w="19050" cap="rnd">
              <a:solidFill>
                <a:srgbClr val="00B0F0"/>
              </a:solidFill>
              <a:round/>
            </a:ln>
            <a:effectLst>
              <a:glow rad="101600">
                <a:schemeClr val="accent1">
                  <a:satMod val="175000"/>
                  <a:alpha val="40000"/>
                </a:schemeClr>
              </a:glow>
            </a:effectLst>
          </c:spPr>
          <c:marker>
            <c:symbol val="none"/>
          </c:marker>
          <c:val>
            <c:numRef>
              <c:f>Processing!$Z$48:$Z$59</c:f>
              <c:numCache>
                <c:formatCode>General</c:formatCode>
                <c:ptCount val="12"/>
                <c:pt idx="0">
                  <c:v>219</c:v>
                </c:pt>
                <c:pt idx="1">
                  <c:v>238</c:v>
                </c:pt>
                <c:pt idx="2">
                  <c:v>253</c:v>
                </c:pt>
                <c:pt idx="3">
                  <c:v>462</c:v>
                </c:pt>
                <c:pt idx="4">
                  <c:v>332</c:v>
                </c:pt>
                <c:pt idx="5">
                  <c:v>292</c:v>
                </c:pt>
                <c:pt idx="6">
                  <c:v>453</c:v>
                </c:pt>
                <c:pt idx="7">
                  <c:v>554</c:v>
                </c:pt>
                <c:pt idx="8">
                  <c:v>505</c:v>
                </c:pt>
                <c:pt idx="9">
                  <c:v>368</c:v>
                </c:pt>
                <c:pt idx="10">
                  <c:v>503</c:v>
                </c:pt>
                <c:pt idx="11">
                  <c:v>351</c:v>
                </c:pt>
              </c:numCache>
            </c:numRef>
          </c:val>
          <c:smooth val="1"/>
          <c:extLst>
            <c:ext xmlns:c16="http://schemas.microsoft.com/office/drawing/2014/chart" uri="{C3380CC4-5D6E-409C-BE32-E72D297353CC}">
              <c16:uniqueId val="{00000001-0D6E-4FA1-8727-240FA1E7A8B4}"/>
            </c:ext>
          </c:extLst>
        </c:ser>
        <c:dLbls>
          <c:showLegendKey val="0"/>
          <c:showVal val="0"/>
          <c:showCatName val="0"/>
          <c:showSerName val="0"/>
          <c:showPercent val="0"/>
          <c:showBubbleSize val="0"/>
        </c:dLbls>
        <c:marker val="1"/>
        <c:smooth val="0"/>
        <c:axId val="1049299168"/>
        <c:axId val="1049313088"/>
      </c:lineChart>
      <c:scatterChart>
        <c:scatterStyle val="lineMarker"/>
        <c:varyColors val="0"/>
        <c:ser>
          <c:idx val="3"/>
          <c:order val="3"/>
          <c:tx>
            <c:strRef>
              <c:f>Processing!$AD$47</c:f>
              <c:strCache>
                <c:ptCount val="1"/>
                <c:pt idx="0">
                  <c:v>Mark</c:v>
                </c:pt>
              </c:strCache>
            </c:strRef>
          </c:tx>
          <c:spPr>
            <a:ln w="25400" cap="rnd">
              <a:noFill/>
              <a:round/>
            </a:ln>
            <a:effectLst>
              <a:glow rad="228600">
                <a:schemeClr val="accent1">
                  <a:satMod val="175000"/>
                  <a:alpha val="40000"/>
                </a:schemeClr>
              </a:glow>
              <a:outerShdw blurRad="50800" dist="38100" dir="5400000" algn="t" rotWithShape="0">
                <a:prstClr val="black">
                  <a:alpha val="40000"/>
                </a:prstClr>
              </a:outerShdw>
            </a:effectLst>
          </c:spPr>
          <c:marker>
            <c:symbol val="circle"/>
            <c:size val="5"/>
            <c:spPr>
              <a:solidFill>
                <a:schemeClr val="bg1">
                  <a:lumMod val="95000"/>
                </a:schemeClr>
              </a:solidFill>
              <a:ln w="9525">
                <a:solidFill>
                  <a:srgbClr val="00B0F0"/>
                </a:solidFill>
              </a:ln>
              <a:effectLst>
                <a:glow rad="228600">
                  <a:schemeClr val="accent1">
                    <a:satMod val="175000"/>
                    <a:alpha val="40000"/>
                  </a:schemeClr>
                </a:glow>
                <a:outerShdw blurRad="50800" dist="38100" dir="5400000" algn="t" rotWithShape="0">
                  <a:prstClr val="black">
                    <a:alpha val="40000"/>
                  </a:prstClr>
                </a:outerShdw>
              </a:effectLst>
            </c:spPr>
          </c:marker>
          <c:xVal>
            <c:numRef>
              <c:f>Processing!$AD$49</c:f>
              <c:numCache>
                <c:formatCode>General</c:formatCode>
                <c:ptCount val="1"/>
                <c:pt idx="0">
                  <c:v>#N/A</c:v>
                </c:pt>
              </c:numCache>
            </c:numRef>
          </c:xVal>
          <c:yVal>
            <c:numRef>
              <c:f>Processing!$AD$48</c:f>
              <c:numCache>
                <c:formatCode>General</c:formatCode>
                <c:ptCount val="1"/>
                <c:pt idx="0">
                  <c:v>#N/A</c:v>
                </c:pt>
              </c:numCache>
            </c:numRef>
          </c:yVal>
          <c:smooth val="0"/>
          <c:extLst>
            <c:ext xmlns:c16="http://schemas.microsoft.com/office/drawing/2014/chart" uri="{C3380CC4-5D6E-409C-BE32-E72D297353CC}">
              <c16:uniqueId val="{00000001-9153-4720-B7D4-40641F786F0E}"/>
            </c:ext>
          </c:extLst>
        </c:ser>
        <c:dLbls>
          <c:showLegendKey val="0"/>
          <c:showVal val="0"/>
          <c:showCatName val="0"/>
          <c:showSerName val="0"/>
          <c:showPercent val="0"/>
          <c:showBubbleSize val="0"/>
        </c:dLbls>
        <c:axId val="1049299168"/>
        <c:axId val="1049313088"/>
      </c:scatterChart>
      <c:catAx>
        <c:axId val="104929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049313088"/>
        <c:crosses val="autoZero"/>
        <c:auto val="1"/>
        <c:lblAlgn val="ctr"/>
        <c:lblOffset val="100"/>
        <c:noMultiLvlLbl val="0"/>
      </c:catAx>
      <c:valAx>
        <c:axId val="10493130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492991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a:effectLst>
              <a:outerShdw blurRad="50800" dist="38100" dir="8100000" algn="tr" rotWithShape="0">
                <a:prstClr val="black">
                  <a:alpha val="40000"/>
                </a:prstClr>
              </a:outerShdw>
            </a:effectLst>
          </c:spPr>
          <c:dPt>
            <c:idx val="0"/>
            <c:bubble3D val="0"/>
            <c:spPr>
              <a:gradFill>
                <a:gsLst>
                  <a:gs pos="88000">
                    <a:srgbClr val="21E6DF"/>
                  </a:gs>
                  <a:gs pos="21000">
                    <a:srgbClr val="9F7EF8"/>
                  </a:gs>
                </a:gsLst>
                <a:lin ang="2400000" scaled="0"/>
              </a:gra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1-243D-4ABD-B24A-3305B43472B3}"/>
              </c:ext>
            </c:extLst>
          </c:dPt>
          <c:dPt>
            <c:idx val="1"/>
            <c:bubble3D val="0"/>
            <c:spPr>
              <a:solidFill>
                <a:srgbClr val="2F333F"/>
              </a:soli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3-243D-4ABD-B24A-3305B43472B3}"/>
              </c:ext>
            </c:extLst>
          </c:dPt>
          <c:val>
            <c:numRef>
              <c:f>Processing!$W$48:$X$48</c:f>
              <c:numCache>
                <c:formatCode>0%</c:formatCode>
                <c:ptCount val="2"/>
                <c:pt idx="0">
                  <c:v>0.38541666666666669</c:v>
                </c:pt>
                <c:pt idx="1">
                  <c:v>0.61458333333333326</c:v>
                </c:pt>
              </c:numCache>
            </c:numRef>
          </c:val>
          <c:extLst>
            <c:ext xmlns:c16="http://schemas.microsoft.com/office/drawing/2014/chart" uri="{C3380CC4-5D6E-409C-BE32-E72D297353CC}">
              <c16:uniqueId val="{00000004-243D-4ABD-B24A-3305B43472B3}"/>
            </c:ext>
          </c:extLst>
        </c:ser>
        <c:dLbls>
          <c:showLegendKey val="0"/>
          <c:showVal val="0"/>
          <c:showCatName val="0"/>
          <c:showSerName val="0"/>
          <c:showPercent val="0"/>
          <c:showBubbleSize val="0"/>
          <c:showLeaderLines val="1"/>
        </c:dLbls>
        <c:firstSliceAng val="30"/>
        <c:holeSize val="8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a:effectLst>
              <a:outerShdw blurRad="50800" dist="38100" dir="8100000" algn="tr" rotWithShape="0">
                <a:prstClr val="black">
                  <a:alpha val="40000"/>
                </a:prstClr>
              </a:outerShdw>
            </a:effectLst>
          </c:spPr>
          <c:dPt>
            <c:idx val="0"/>
            <c:bubble3D val="0"/>
            <c:spPr>
              <a:gradFill>
                <a:gsLst>
                  <a:gs pos="82000">
                    <a:srgbClr val="D36FF9"/>
                  </a:gs>
                  <a:gs pos="18000">
                    <a:srgbClr val="9F7EF8"/>
                  </a:gs>
                </a:gsLst>
                <a:lin ang="2400000" scaled="0"/>
              </a:gra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6-3C5B-4060-92C2-63A9FA75DE4D}"/>
              </c:ext>
            </c:extLst>
          </c:dPt>
          <c:dPt>
            <c:idx val="1"/>
            <c:bubble3D val="0"/>
            <c:spPr>
              <a:solidFill>
                <a:srgbClr val="2F333F"/>
              </a:solidFill>
              <a:ln w="19050">
                <a:no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8-3C5B-4060-92C2-63A9FA75DE4D}"/>
              </c:ext>
            </c:extLst>
          </c:dPt>
          <c:val>
            <c:numRef>
              <c:f>Processing!$W$52:$X$52</c:f>
              <c:numCache>
                <c:formatCode>0%</c:formatCode>
                <c:ptCount val="2"/>
                <c:pt idx="0">
                  <c:v>0.43625000000000003</c:v>
                </c:pt>
                <c:pt idx="1">
                  <c:v>0.56374999999999997</c:v>
                </c:pt>
              </c:numCache>
            </c:numRef>
          </c:val>
          <c:extLst>
            <c:ext xmlns:c16="http://schemas.microsoft.com/office/drawing/2014/chart" uri="{C3380CC4-5D6E-409C-BE32-E72D297353CC}">
              <c16:uniqueId val="{00000009-3C5B-4060-92C2-63A9FA75DE4D}"/>
            </c:ext>
          </c:extLst>
        </c:ser>
        <c:dLbls>
          <c:showLegendKey val="0"/>
          <c:showVal val="0"/>
          <c:showCatName val="0"/>
          <c:showSerName val="0"/>
          <c:showPercent val="0"/>
          <c:showBubbleSize val="0"/>
          <c:showLeaderLines val="1"/>
        </c:dLbls>
        <c:firstSliceAng val="30"/>
        <c:holeSize val="8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gradFill flip="none" rotWithShape="1">
              <a:gsLst>
                <a:gs pos="88000">
                  <a:schemeClr val="accent1">
                    <a:lumMod val="60000"/>
                    <a:lumOff val="40000"/>
                  </a:schemeClr>
                </a:gs>
                <a:gs pos="21000">
                  <a:srgbClr val="0070C0"/>
                </a:gs>
              </a:gsLst>
              <a:path path="circle">
                <a:fillToRect l="50000" t="50000" r="50000" b="50000"/>
              </a:path>
              <a:tileRect/>
            </a:gradFill>
            <a:ln>
              <a:noFill/>
            </a:ln>
            <a:effectLst>
              <a:outerShdw blurRad="50800" dist="38100" dir="13500000" algn="br" rotWithShape="0">
                <a:prstClr val="black">
                  <a:alpha val="40000"/>
                </a:prstClr>
              </a:outerShdw>
            </a:effectLst>
          </c:spPr>
          <c:cat>
            <c:strRef>
              <c:f>Processing!$AK$48:$AK$55</c:f>
              <c:strCache>
                <c:ptCount val="8"/>
                <c:pt idx="0">
                  <c:v>North</c:v>
                </c:pt>
                <c:pt idx="1">
                  <c:v>Northeast</c:v>
                </c:pt>
                <c:pt idx="2">
                  <c:v>East</c:v>
                </c:pt>
                <c:pt idx="3">
                  <c:v>Southeast</c:v>
                </c:pt>
                <c:pt idx="4">
                  <c:v>South</c:v>
                </c:pt>
                <c:pt idx="5">
                  <c:v>Southwest</c:v>
                </c:pt>
                <c:pt idx="6">
                  <c:v>West</c:v>
                </c:pt>
                <c:pt idx="7">
                  <c:v>Northwest</c:v>
                </c:pt>
              </c:strCache>
            </c:strRef>
          </c:cat>
          <c:val>
            <c:numRef>
              <c:f>Processing!$AL$48:$AL$55</c:f>
              <c:numCache>
                <c:formatCode>General</c:formatCode>
                <c:ptCount val="8"/>
                <c:pt idx="0">
                  <c:v>507</c:v>
                </c:pt>
                <c:pt idx="1">
                  <c:v>411</c:v>
                </c:pt>
                <c:pt idx="2">
                  <c:v>675</c:v>
                </c:pt>
                <c:pt idx="3">
                  <c:v>601</c:v>
                </c:pt>
                <c:pt idx="4">
                  <c:v>1010</c:v>
                </c:pt>
                <c:pt idx="5">
                  <c:v>632</c:v>
                </c:pt>
                <c:pt idx="6">
                  <c:v>332</c:v>
                </c:pt>
                <c:pt idx="7">
                  <c:v>603</c:v>
                </c:pt>
              </c:numCache>
            </c:numRef>
          </c:val>
          <c:extLst>
            <c:ext xmlns:c16="http://schemas.microsoft.com/office/drawing/2014/chart" uri="{C3380CC4-5D6E-409C-BE32-E72D297353CC}">
              <c16:uniqueId val="{00000000-5E95-4212-92BD-F8BCE0C767B7}"/>
            </c:ext>
          </c:extLst>
        </c:ser>
        <c:ser>
          <c:idx val="1"/>
          <c:order val="1"/>
          <c:spPr>
            <a:gradFill>
              <a:gsLst>
                <a:gs pos="13000">
                  <a:srgbClr val="D36FF9">
                    <a:alpha val="86000"/>
                  </a:srgbClr>
                </a:gs>
                <a:gs pos="86000">
                  <a:srgbClr val="9F7EF8">
                    <a:alpha val="82000"/>
                  </a:srgbClr>
                </a:gs>
              </a:gsLst>
              <a:lin ang="2400000" scaled="0"/>
            </a:gradFill>
            <a:ln>
              <a:noFill/>
            </a:ln>
            <a:effectLst>
              <a:outerShdw blurRad="50800" dist="38100" dir="8100000" algn="tr" rotWithShape="0">
                <a:prstClr val="black">
                  <a:alpha val="40000"/>
                </a:prstClr>
              </a:outerShdw>
            </a:effectLst>
          </c:spPr>
          <c:cat>
            <c:strRef>
              <c:f>Processing!$AK$48:$AK$55</c:f>
              <c:strCache>
                <c:ptCount val="8"/>
                <c:pt idx="0">
                  <c:v>North</c:v>
                </c:pt>
                <c:pt idx="1">
                  <c:v>Northeast</c:v>
                </c:pt>
                <c:pt idx="2">
                  <c:v>East</c:v>
                </c:pt>
                <c:pt idx="3">
                  <c:v>Southeast</c:v>
                </c:pt>
                <c:pt idx="4">
                  <c:v>South</c:v>
                </c:pt>
                <c:pt idx="5">
                  <c:v>Southwest</c:v>
                </c:pt>
                <c:pt idx="6">
                  <c:v>West</c:v>
                </c:pt>
                <c:pt idx="7">
                  <c:v>Northwest</c:v>
                </c:pt>
              </c:strCache>
            </c:strRef>
          </c:cat>
          <c:val>
            <c:numRef>
              <c:f>Processing!$AM$48:$AM$55</c:f>
              <c:numCache>
                <c:formatCode>General</c:formatCode>
                <c:ptCount val="8"/>
                <c:pt idx="0">
                  <c:v>834</c:v>
                </c:pt>
                <c:pt idx="1">
                  <c:v>639</c:v>
                </c:pt>
                <c:pt idx="2">
                  <c:v>117</c:v>
                </c:pt>
                <c:pt idx="3">
                  <c:v>102</c:v>
                </c:pt>
                <c:pt idx="4">
                  <c:v>503</c:v>
                </c:pt>
                <c:pt idx="5">
                  <c:v>996</c:v>
                </c:pt>
                <c:pt idx="6">
                  <c:v>908</c:v>
                </c:pt>
                <c:pt idx="7">
                  <c:v>798</c:v>
                </c:pt>
              </c:numCache>
            </c:numRef>
          </c:val>
          <c:extLst>
            <c:ext xmlns:c16="http://schemas.microsoft.com/office/drawing/2014/chart" uri="{C3380CC4-5D6E-409C-BE32-E72D297353CC}">
              <c16:uniqueId val="{00000001-5E95-4212-92BD-F8BCE0C767B7}"/>
            </c:ext>
          </c:extLst>
        </c:ser>
        <c:dLbls>
          <c:showLegendKey val="0"/>
          <c:showVal val="0"/>
          <c:showCatName val="0"/>
          <c:showSerName val="0"/>
          <c:showPercent val="0"/>
          <c:showBubbleSize val="0"/>
        </c:dLbls>
        <c:axId val="1043616032"/>
        <c:axId val="1043618432"/>
      </c:radarChart>
      <c:catAx>
        <c:axId val="104361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1">
                    <a:lumMod val="20000"/>
                    <a:lumOff val="80000"/>
                  </a:schemeClr>
                </a:solidFill>
                <a:latin typeface="+mn-lt"/>
                <a:ea typeface="+mn-ea"/>
                <a:cs typeface="+mn-cs"/>
              </a:defRPr>
            </a:pPr>
            <a:endParaRPr lang="en-US"/>
          </a:p>
        </c:txPr>
        <c:crossAx val="1043618432"/>
        <c:crosses val="autoZero"/>
        <c:auto val="1"/>
        <c:lblAlgn val="ctr"/>
        <c:lblOffset val="100"/>
        <c:noMultiLvlLbl val="0"/>
      </c:catAx>
      <c:valAx>
        <c:axId val="1043618432"/>
        <c:scaling>
          <c:orientation val="minMax"/>
        </c:scaling>
        <c:delete val="1"/>
        <c:axPos val="l"/>
        <c:majorGridlines>
          <c:spPr>
            <a:ln w="9525" cap="flat" cmpd="sng" algn="ctr">
              <a:gradFill flip="none" rotWithShape="1">
                <a:gsLst>
                  <a:gs pos="29000">
                    <a:schemeClr val="tx1">
                      <a:lumMod val="75000"/>
                      <a:lumOff val="25000"/>
                    </a:schemeClr>
                  </a:gs>
                  <a:gs pos="84000">
                    <a:schemeClr val="tx1">
                      <a:lumMod val="75000"/>
                      <a:lumOff val="25000"/>
                    </a:schemeClr>
                  </a:gs>
                </a:gsLst>
                <a:path path="circle">
                  <a:fillToRect l="50000" t="50000" r="50000" b="50000"/>
                </a:path>
                <a:tileRect/>
              </a:gradFill>
              <a:round/>
            </a:ln>
            <a:effectLst/>
          </c:spPr>
        </c:majorGridlines>
        <c:numFmt formatCode="General" sourceLinked="1"/>
        <c:majorTickMark val="none"/>
        <c:minorTickMark val="none"/>
        <c:tickLblPos val="nextTo"/>
        <c:crossAx val="10436160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solidFill>
              <a:ln w="19050">
                <a:noFill/>
              </a:ln>
              <a:effectLst/>
            </c:spPr>
            <c:extLst>
              <c:ext xmlns:c16="http://schemas.microsoft.com/office/drawing/2014/chart" uri="{C3380CC4-5D6E-409C-BE32-E72D297353CC}">
                <c16:uniqueId val="{00000001-6659-4579-B631-EE875433EFA9}"/>
              </c:ext>
            </c:extLst>
          </c:dPt>
          <c:dPt>
            <c:idx val="1"/>
            <c:bubble3D val="0"/>
            <c:spPr>
              <a:solidFill>
                <a:schemeClr val="bg1">
                  <a:alpha val="20000"/>
                </a:schemeClr>
              </a:solidFill>
              <a:ln w="19050">
                <a:noFill/>
              </a:ln>
              <a:effectLst/>
            </c:spPr>
            <c:extLst>
              <c:ext xmlns:c16="http://schemas.microsoft.com/office/drawing/2014/chart" uri="{C3380CC4-5D6E-409C-BE32-E72D297353CC}">
                <c16:uniqueId val="{00000003-6659-4579-B631-EE875433EFA9}"/>
              </c:ext>
            </c:extLst>
          </c:dPt>
          <c:val>
            <c:numRef>
              <c:f>Processing!$A$2:$B$2</c:f>
              <c:numCache>
                <c:formatCode>0%</c:formatCode>
                <c:ptCount val="2"/>
                <c:pt idx="0">
                  <c:v>0.46273404178413935</c:v>
                </c:pt>
                <c:pt idx="1">
                  <c:v>0.53726595821586065</c:v>
                </c:pt>
              </c:numCache>
            </c:numRef>
          </c:val>
          <c:extLst>
            <c:ext xmlns:c16="http://schemas.microsoft.com/office/drawing/2014/chart" uri="{C3380CC4-5D6E-409C-BE32-E72D297353CC}">
              <c16:uniqueId val="{00000004-6659-4579-B631-EE875433EFA9}"/>
            </c:ext>
          </c:extLst>
        </c:ser>
        <c:dLbls>
          <c:showLegendKey val="0"/>
          <c:showVal val="0"/>
          <c:showCatName val="0"/>
          <c:showSerName val="0"/>
          <c:showPercent val="0"/>
          <c:showBubbleSize val="0"/>
          <c:showLeaderLines val="1"/>
        </c:dLbls>
        <c:firstSliceAng val="3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solidFill>
              <a:ln w="19050">
                <a:noFill/>
              </a:ln>
              <a:effectLst/>
            </c:spPr>
            <c:extLst>
              <c:ext xmlns:c16="http://schemas.microsoft.com/office/drawing/2014/chart" uri="{C3380CC4-5D6E-409C-BE32-E72D297353CC}">
                <c16:uniqueId val="{00000001-D321-40FD-B91E-60E80AA0F8DB}"/>
              </c:ext>
            </c:extLst>
          </c:dPt>
          <c:dPt>
            <c:idx val="1"/>
            <c:bubble3D val="0"/>
            <c:spPr>
              <a:solidFill>
                <a:schemeClr val="bg1">
                  <a:alpha val="20000"/>
                </a:schemeClr>
              </a:solidFill>
              <a:ln w="19050">
                <a:noFill/>
              </a:ln>
              <a:effectLst/>
            </c:spPr>
            <c:extLst>
              <c:ext xmlns:c16="http://schemas.microsoft.com/office/drawing/2014/chart" uri="{C3380CC4-5D6E-409C-BE32-E72D297353CC}">
                <c16:uniqueId val="{00000003-D321-40FD-B91E-60E80AA0F8DB}"/>
              </c:ext>
            </c:extLst>
          </c:dPt>
          <c:val>
            <c:numRef>
              <c:f>Processing!$C$2:$D$2</c:f>
              <c:numCache>
                <c:formatCode>0%</c:formatCode>
                <c:ptCount val="2"/>
                <c:pt idx="0">
                  <c:v>0.53726595821586065</c:v>
                </c:pt>
                <c:pt idx="1">
                  <c:v>0.46273404178413935</c:v>
                </c:pt>
              </c:numCache>
            </c:numRef>
          </c:val>
          <c:extLst>
            <c:ext xmlns:c16="http://schemas.microsoft.com/office/drawing/2014/chart" uri="{C3380CC4-5D6E-409C-BE32-E72D297353CC}">
              <c16:uniqueId val="{00000004-D321-40FD-B91E-60E80AA0F8DB}"/>
            </c:ext>
          </c:extLst>
        </c:ser>
        <c:dLbls>
          <c:showLegendKey val="0"/>
          <c:showVal val="0"/>
          <c:showCatName val="0"/>
          <c:showSerName val="0"/>
          <c:showPercent val="0"/>
          <c:showBubbleSize val="0"/>
          <c:showLeaderLines val="1"/>
        </c:dLbls>
        <c:firstSliceAng val="30"/>
        <c:holeSize val="7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Processing!$B$1" lockText="1" noThreeD="1"/>
</file>

<file path=xl/ctrlProps/ctrlProp2.xml><?xml version="1.0" encoding="utf-8"?>
<formControlPr xmlns="http://schemas.microsoft.com/office/spreadsheetml/2009/9/main" objectType="CheckBox" checked="Checked" fmlaLink="Processing!$D$1" lockText="1" noThreeD="1"/>
</file>

<file path=xl/ctrlProps/ctrlProp3.xml><?xml version="1.0" encoding="utf-8"?>
<formControlPr xmlns="http://schemas.microsoft.com/office/spreadsheetml/2009/9/main" objectType="CheckBox" checked="Checked" fmlaLink="Processing!$B$1" lockText="1" noThreeD="1"/>
</file>

<file path=xl/ctrlProps/ctrlProp4.xml><?xml version="1.0" encoding="utf-8"?>
<formControlPr xmlns="http://schemas.microsoft.com/office/spreadsheetml/2009/9/main" objectType="CheckBox" checked="Checked" fmlaLink="Processing!$D$1" lockText="1" noThreeD="1"/>
</file>

<file path=xl/ctrlProps/ctrlProp5.xml><?xml version="1.0" encoding="utf-8"?>
<formControlPr xmlns="http://schemas.microsoft.com/office/spreadsheetml/2009/9/main" objectType="CheckBox" checked="Checked" fmlaLink="Processing!$B$1" lockText="1" noThreeD="1"/>
</file>

<file path=xl/ctrlProps/ctrlProp6.xml><?xml version="1.0" encoding="utf-8"?>
<formControlPr xmlns="http://schemas.microsoft.com/office/spreadsheetml/2009/9/main" objectType="CheckBox" checked="Checked" fmlaLink="Processing!$D$1" lockText="1" noThreeD="1"/>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hyperlink" Target="#'STOCK CONTROL'!A1"/><Relationship Id="rId18" Type="http://schemas.openxmlformats.org/officeDocument/2006/relationships/image" Target="../media/image6.svg"/><Relationship Id="rId26" Type="http://schemas.openxmlformats.org/officeDocument/2006/relationships/image" Target="../media/image12.svg"/><Relationship Id="rId3" Type="http://schemas.openxmlformats.org/officeDocument/2006/relationships/chart" Target="../charts/chart3.xml"/><Relationship Id="rId21" Type="http://schemas.openxmlformats.org/officeDocument/2006/relationships/image" Target="../media/image8.svg"/><Relationship Id="rId34" Type="http://schemas.openxmlformats.org/officeDocument/2006/relationships/image" Target="../media/image20.svg"/><Relationship Id="rId7" Type="http://schemas.openxmlformats.org/officeDocument/2006/relationships/chart" Target="../charts/chart7.xml"/><Relationship Id="rId12" Type="http://schemas.openxmlformats.org/officeDocument/2006/relationships/image" Target="../media/image2.svg"/><Relationship Id="rId17" Type="http://schemas.openxmlformats.org/officeDocument/2006/relationships/image" Target="../media/image3.png"/><Relationship Id="rId25" Type="http://schemas.openxmlformats.org/officeDocument/2006/relationships/image" Target="../media/image6.png"/><Relationship Id="rId33" Type="http://schemas.openxmlformats.org/officeDocument/2006/relationships/image" Target="../media/image10.png"/><Relationship Id="rId2" Type="http://schemas.openxmlformats.org/officeDocument/2006/relationships/chart" Target="../charts/chart2.xml"/><Relationship Id="rId16" Type="http://schemas.openxmlformats.org/officeDocument/2006/relationships/hyperlink" Target="#'FIFO LOGISTICS'!A1"/><Relationship Id="rId20" Type="http://schemas.openxmlformats.org/officeDocument/2006/relationships/image" Target="../media/image4.png"/><Relationship Id="rId29" Type="http://schemas.openxmlformats.org/officeDocument/2006/relationships/image" Target="../media/image8.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1.png"/><Relationship Id="rId24" Type="http://schemas.openxmlformats.org/officeDocument/2006/relationships/image" Target="../media/image10.svg"/><Relationship Id="rId32" Type="http://schemas.openxmlformats.org/officeDocument/2006/relationships/image" Target="../media/image18.svg"/><Relationship Id="rId5" Type="http://schemas.openxmlformats.org/officeDocument/2006/relationships/chart" Target="../charts/chart5.xml"/><Relationship Id="rId15" Type="http://schemas.openxmlformats.org/officeDocument/2006/relationships/image" Target="../media/image4.svg"/><Relationship Id="rId23" Type="http://schemas.openxmlformats.org/officeDocument/2006/relationships/image" Target="../media/image5.png"/><Relationship Id="rId28" Type="http://schemas.openxmlformats.org/officeDocument/2006/relationships/image" Target="../media/image14.svg"/><Relationship Id="rId36" Type="http://schemas.openxmlformats.org/officeDocument/2006/relationships/chart" Target="../charts/chart11.xml"/><Relationship Id="rId10" Type="http://schemas.openxmlformats.org/officeDocument/2006/relationships/hyperlink" Target="https://exceltable.com/en/templates/" TargetMode="External"/><Relationship Id="rId19" Type="http://schemas.openxmlformats.org/officeDocument/2006/relationships/hyperlink" Target="#Processing!A1"/><Relationship Id="rId31" Type="http://schemas.openxmlformats.org/officeDocument/2006/relationships/image" Target="../media/image9.png"/><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image" Target="../media/image2.png"/><Relationship Id="rId22" Type="http://schemas.openxmlformats.org/officeDocument/2006/relationships/hyperlink" Target="#Data!A1"/><Relationship Id="rId27" Type="http://schemas.openxmlformats.org/officeDocument/2006/relationships/image" Target="../media/image7.png"/><Relationship Id="rId30" Type="http://schemas.openxmlformats.org/officeDocument/2006/relationships/image" Target="../media/image16.svg"/><Relationship Id="rId35" Type="http://schemas.openxmlformats.org/officeDocument/2006/relationships/chart" Target="../charts/chart10.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13" Type="http://schemas.openxmlformats.org/officeDocument/2006/relationships/image" Target="../media/image8.png"/><Relationship Id="rId18" Type="http://schemas.openxmlformats.org/officeDocument/2006/relationships/image" Target="../media/image20.svg"/><Relationship Id="rId26" Type="http://schemas.openxmlformats.org/officeDocument/2006/relationships/hyperlink" Target="#'FIFO LOGISTICS'!A1"/><Relationship Id="rId3" Type="http://schemas.openxmlformats.org/officeDocument/2006/relationships/chart" Target="../charts/chart13.xml"/><Relationship Id="rId21" Type="http://schemas.openxmlformats.org/officeDocument/2006/relationships/hyperlink" Target="#'SUMMARY REPORT'!A1"/><Relationship Id="rId34" Type="http://schemas.openxmlformats.org/officeDocument/2006/relationships/image" Target="../media/image10.svg"/><Relationship Id="rId7" Type="http://schemas.openxmlformats.org/officeDocument/2006/relationships/chart" Target="../charts/chart17.xml"/><Relationship Id="rId12" Type="http://schemas.openxmlformats.org/officeDocument/2006/relationships/image" Target="../media/image14.svg"/><Relationship Id="rId17" Type="http://schemas.openxmlformats.org/officeDocument/2006/relationships/image" Target="../media/image10.png"/><Relationship Id="rId25" Type="http://schemas.openxmlformats.org/officeDocument/2006/relationships/image" Target="../media/image24.svg"/><Relationship Id="rId33" Type="http://schemas.openxmlformats.org/officeDocument/2006/relationships/image" Target="../media/image5.png"/><Relationship Id="rId2" Type="http://schemas.openxmlformats.org/officeDocument/2006/relationships/chart" Target="../charts/chart12.xml"/><Relationship Id="rId16" Type="http://schemas.openxmlformats.org/officeDocument/2006/relationships/image" Target="../media/image18.svg"/><Relationship Id="rId20" Type="http://schemas.openxmlformats.org/officeDocument/2006/relationships/chart" Target="../charts/chart20.xml"/><Relationship Id="rId29" Type="http://schemas.openxmlformats.org/officeDocument/2006/relationships/hyperlink" Target="#Processing!A1"/><Relationship Id="rId1" Type="http://schemas.openxmlformats.org/officeDocument/2006/relationships/hyperlink" Target="https://exceltable.com/en/templates/" TargetMode="External"/><Relationship Id="rId6" Type="http://schemas.openxmlformats.org/officeDocument/2006/relationships/chart" Target="../charts/chart16.xml"/><Relationship Id="rId11" Type="http://schemas.openxmlformats.org/officeDocument/2006/relationships/image" Target="../media/image7.png"/><Relationship Id="rId24" Type="http://schemas.openxmlformats.org/officeDocument/2006/relationships/image" Target="../media/image12.png"/><Relationship Id="rId32" Type="http://schemas.openxmlformats.org/officeDocument/2006/relationships/hyperlink" Target="#Data!A1"/><Relationship Id="rId5" Type="http://schemas.openxmlformats.org/officeDocument/2006/relationships/chart" Target="../charts/chart15.xml"/><Relationship Id="rId15" Type="http://schemas.openxmlformats.org/officeDocument/2006/relationships/image" Target="../media/image9.png"/><Relationship Id="rId23" Type="http://schemas.openxmlformats.org/officeDocument/2006/relationships/image" Target="../media/image22.svg"/><Relationship Id="rId28" Type="http://schemas.openxmlformats.org/officeDocument/2006/relationships/image" Target="../media/image6.svg"/><Relationship Id="rId10" Type="http://schemas.openxmlformats.org/officeDocument/2006/relationships/image" Target="../media/image12.svg"/><Relationship Id="rId19" Type="http://schemas.openxmlformats.org/officeDocument/2006/relationships/chart" Target="../charts/chart19.xml"/><Relationship Id="rId31" Type="http://schemas.openxmlformats.org/officeDocument/2006/relationships/image" Target="../media/image8.svg"/><Relationship Id="rId4" Type="http://schemas.openxmlformats.org/officeDocument/2006/relationships/chart" Target="../charts/chart14.xml"/><Relationship Id="rId9" Type="http://schemas.openxmlformats.org/officeDocument/2006/relationships/image" Target="../media/image6.png"/><Relationship Id="rId14" Type="http://schemas.openxmlformats.org/officeDocument/2006/relationships/image" Target="../media/image16.svg"/><Relationship Id="rId22" Type="http://schemas.openxmlformats.org/officeDocument/2006/relationships/image" Target="../media/image11.png"/><Relationship Id="rId27" Type="http://schemas.openxmlformats.org/officeDocument/2006/relationships/image" Target="../media/image3.png"/><Relationship Id="rId30"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2.svg"/><Relationship Id="rId13" Type="http://schemas.openxmlformats.org/officeDocument/2006/relationships/image" Target="../media/image9.png"/><Relationship Id="rId18" Type="http://schemas.openxmlformats.org/officeDocument/2006/relationships/chart" Target="../charts/chart27.xml"/><Relationship Id="rId26" Type="http://schemas.openxmlformats.org/officeDocument/2006/relationships/image" Target="../media/image26.svg"/><Relationship Id="rId3" Type="http://schemas.openxmlformats.org/officeDocument/2006/relationships/chart" Target="../charts/chart22.xml"/><Relationship Id="rId21" Type="http://schemas.openxmlformats.org/officeDocument/2006/relationships/image" Target="../media/image22.svg"/><Relationship Id="rId7" Type="http://schemas.openxmlformats.org/officeDocument/2006/relationships/image" Target="../media/image6.png"/><Relationship Id="rId12" Type="http://schemas.openxmlformats.org/officeDocument/2006/relationships/image" Target="../media/image16.svg"/><Relationship Id="rId17" Type="http://schemas.openxmlformats.org/officeDocument/2006/relationships/chart" Target="../charts/chart26.xml"/><Relationship Id="rId25" Type="http://schemas.openxmlformats.org/officeDocument/2006/relationships/image" Target="../media/image13.png"/><Relationship Id="rId2" Type="http://schemas.openxmlformats.org/officeDocument/2006/relationships/chart" Target="../charts/chart21.xml"/><Relationship Id="rId16" Type="http://schemas.openxmlformats.org/officeDocument/2006/relationships/image" Target="../media/image20.svg"/><Relationship Id="rId20" Type="http://schemas.openxmlformats.org/officeDocument/2006/relationships/image" Target="../media/image11.png"/><Relationship Id="rId29" Type="http://schemas.openxmlformats.org/officeDocument/2006/relationships/image" Target="../media/image8.svg"/><Relationship Id="rId1" Type="http://schemas.openxmlformats.org/officeDocument/2006/relationships/hyperlink" Target="https://exceltable.com/en/templates/" TargetMode="External"/><Relationship Id="rId6" Type="http://schemas.openxmlformats.org/officeDocument/2006/relationships/chart" Target="../charts/chart25.xml"/><Relationship Id="rId11" Type="http://schemas.openxmlformats.org/officeDocument/2006/relationships/image" Target="../media/image8.png"/><Relationship Id="rId24" Type="http://schemas.openxmlformats.org/officeDocument/2006/relationships/image" Target="../media/image4.svg"/><Relationship Id="rId32" Type="http://schemas.openxmlformats.org/officeDocument/2006/relationships/image" Target="../media/image10.svg"/><Relationship Id="rId5" Type="http://schemas.openxmlformats.org/officeDocument/2006/relationships/chart" Target="../charts/chart24.xml"/><Relationship Id="rId15" Type="http://schemas.openxmlformats.org/officeDocument/2006/relationships/image" Target="../media/image10.png"/><Relationship Id="rId23" Type="http://schemas.openxmlformats.org/officeDocument/2006/relationships/image" Target="../media/image2.png"/><Relationship Id="rId28" Type="http://schemas.openxmlformats.org/officeDocument/2006/relationships/image" Target="../media/image4.png"/><Relationship Id="rId10" Type="http://schemas.openxmlformats.org/officeDocument/2006/relationships/image" Target="../media/image14.svg"/><Relationship Id="rId19" Type="http://schemas.openxmlformats.org/officeDocument/2006/relationships/hyperlink" Target="#'SUMMARY REPORT'!A1"/><Relationship Id="rId31" Type="http://schemas.openxmlformats.org/officeDocument/2006/relationships/image" Target="../media/image5.png"/><Relationship Id="rId4" Type="http://schemas.openxmlformats.org/officeDocument/2006/relationships/chart" Target="../charts/chart23.xml"/><Relationship Id="rId9" Type="http://schemas.openxmlformats.org/officeDocument/2006/relationships/image" Target="../media/image7.png"/><Relationship Id="rId14" Type="http://schemas.openxmlformats.org/officeDocument/2006/relationships/image" Target="../media/image18.svg"/><Relationship Id="rId22" Type="http://schemas.openxmlformats.org/officeDocument/2006/relationships/hyperlink" Target="#'STOCK CONTROL'!A1"/><Relationship Id="rId27" Type="http://schemas.openxmlformats.org/officeDocument/2006/relationships/hyperlink" Target="#Processing!A1"/><Relationship Id="rId30" Type="http://schemas.openxmlformats.org/officeDocument/2006/relationships/hyperlink" Target="#Data!A1"/></Relationships>
</file>

<file path=xl/drawings/_rels/drawing4.xml.rels><?xml version="1.0" encoding="UTF-8" standalone="yes"?>
<Relationships xmlns="http://schemas.openxmlformats.org/package/2006/relationships"><Relationship Id="rId1" Type="http://schemas.openxmlformats.org/officeDocument/2006/relationships/hyperlink" Target="#'SUMMARY REPORT'!A1"/></Relationships>
</file>

<file path=xl/drawings/_rels/drawing5.xml.rels><?xml version="1.0" encoding="UTF-8" standalone="yes"?>
<Relationships xmlns="http://schemas.openxmlformats.org/package/2006/relationships"><Relationship Id="rId1" Type="http://schemas.openxmlformats.org/officeDocument/2006/relationships/hyperlink" Target="#'SUMMARY REPORT'!A1"/></Relationships>
</file>

<file path=xl/drawings/_rels/drawing6.xml.rels><?xml version="1.0" encoding="UTF-8" standalone="yes"?>
<Relationships xmlns="http://schemas.openxmlformats.org/package/2006/relationships"><Relationship Id="rId2" Type="http://schemas.openxmlformats.org/officeDocument/2006/relationships/image" Target="../media/image12.sv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45720</xdr:colOff>
      <xdr:row>1</xdr:row>
      <xdr:rowOff>45720</xdr:rowOff>
    </xdr:to>
    <xdr:sp macro="" textlink="">
      <xdr:nvSpPr>
        <xdr:cNvPr id="64" name="Rectangle 63">
          <a:extLst>
            <a:ext uri="{FF2B5EF4-FFF2-40B4-BE49-F238E27FC236}">
              <a16:creationId xmlns:a16="http://schemas.microsoft.com/office/drawing/2014/main" id="{00000000-0008-0000-0000-000040000000}"/>
            </a:ext>
          </a:extLst>
        </xdr:cNvPr>
        <xdr:cNvSpPr/>
      </xdr:nvSpPr>
      <xdr:spPr>
        <a:xfrm>
          <a:off x="0" y="0"/>
          <a:ext cx="655320" cy="289560"/>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320040</xdr:colOff>
      <xdr:row>1</xdr:row>
      <xdr:rowOff>7620</xdr:rowOff>
    </xdr:from>
    <xdr:to>
      <xdr:col>23</xdr:col>
      <xdr:colOff>60960</xdr:colOff>
      <xdr:row>37</xdr:row>
      <xdr:rowOff>160020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320040" y="253153"/>
          <a:ext cx="13761720" cy="6858000"/>
        </a:xfrm>
        <a:prstGeom prst="rect">
          <a:avLst/>
        </a:prstGeom>
        <a:gradFill flip="none" rotWithShape="1">
          <a:gsLst>
            <a:gs pos="17000">
              <a:srgbClr val="262834"/>
            </a:gs>
            <a:gs pos="0">
              <a:srgbClr val="282C38"/>
            </a:gs>
            <a:gs pos="68000">
              <a:srgbClr val="121622"/>
            </a:gs>
          </a:gsLst>
          <a:lin ang="2400000" scaled="0"/>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411480</xdr:colOff>
      <xdr:row>0</xdr:row>
      <xdr:rowOff>162560</xdr:rowOff>
    </xdr:from>
    <xdr:to>
      <xdr:col>12</xdr:col>
      <xdr:colOff>106680</xdr:colOff>
      <xdr:row>8</xdr:row>
      <xdr:rowOff>76200</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2849880" y="162560"/>
          <a:ext cx="4572000" cy="146304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411480</xdr:colOff>
      <xdr:row>9</xdr:row>
      <xdr:rowOff>101727</xdr:rowOff>
    </xdr:from>
    <xdr:to>
      <xdr:col>15</xdr:col>
      <xdr:colOff>251460</xdr:colOff>
      <xdr:row>22</xdr:row>
      <xdr:rowOff>7620</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2849880" y="1808607"/>
          <a:ext cx="6545580" cy="2283333"/>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411480</xdr:colOff>
      <xdr:row>23</xdr:row>
      <xdr:rowOff>30480</xdr:rowOff>
    </xdr:from>
    <xdr:to>
      <xdr:col>9</xdr:col>
      <xdr:colOff>518160</xdr:colOff>
      <xdr:row>35</xdr:row>
      <xdr:rowOff>121920</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2849880" y="4297680"/>
          <a:ext cx="3154680" cy="22860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10</xdr:col>
      <xdr:colOff>144780</xdr:colOff>
      <xdr:row>23</xdr:row>
      <xdr:rowOff>30480</xdr:rowOff>
    </xdr:from>
    <xdr:to>
      <xdr:col>15</xdr:col>
      <xdr:colOff>251460</xdr:colOff>
      <xdr:row>35</xdr:row>
      <xdr:rowOff>121920</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6240780" y="4297680"/>
          <a:ext cx="3154680" cy="22860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487680</xdr:colOff>
      <xdr:row>23</xdr:row>
      <xdr:rowOff>30480</xdr:rowOff>
    </xdr:from>
    <xdr:to>
      <xdr:col>22</xdr:col>
      <xdr:colOff>518160</xdr:colOff>
      <xdr:row>35</xdr:row>
      <xdr:rowOff>121920</xdr:rowOff>
    </xdr:to>
    <xdr:sp macro="" textlink="">
      <xdr:nvSpPr>
        <xdr:cNvPr id="11" name="Rectangle 10">
          <a:extLst>
            <a:ext uri="{FF2B5EF4-FFF2-40B4-BE49-F238E27FC236}">
              <a16:creationId xmlns:a16="http://schemas.microsoft.com/office/drawing/2014/main" id="{00000000-0008-0000-0000-00000B000000}"/>
            </a:ext>
          </a:extLst>
        </xdr:cNvPr>
        <xdr:cNvSpPr/>
      </xdr:nvSpPr>
      <xdr:spPr>
        <a:xfrm>
          <a:off x="9631680" y="4297680"/>
          <a:ext cx="4297680" cy="22860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487680</xdr:colOff>
      <xdr:row>9</xdr:row>
      <xdr:rowOff>99060</xdr:rowOff>
    </xdr:from>
    <xdr:to>
      <xdr:col>22</xdr:col>
      <xdr:colOff>518160</xdr:colOff>
      <xdr:row>22</xdr:row>
      <xdr:rowOff>7620</xdr:rowOff>
    </xdr:to>
    <xdr:sp macro="" textlink="">
      <xdr:nvSpPr>
        <xdr:cNvPr id="12" name="Rectangle 11">
          <a:extLst>
            <a:ext uri="{FF2B5EF4-FFF2-40B4-BE49-F238E27FC236}">
              <a16:creationId xmlns:a16="http://schemas.microsoft.com/office/drawing/2014/main" id="{00000000-0008-0000-0000-00000C000000}"/>
            </a:ext>
          </a:extLst>
        </xdr:cNvPr>
        <xdr:cNvSpPr/>
      </xdr:nvSpPr>
      <xdr:spPr>
        <a:xfrm>
          <a:off x="9631680" y="1805940"/>
          <a:ext cx="4297680" cy="22860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200"/>
        </a:p>
      </xdr:txBody>
    </xdr:sp>
    <xdr:clientData/>
  </xdr:twoCellAnchor>
  <xdr:twoCellAnchor>
    <xdr:from>
      <xdr:col>12</xdr:col>
      <xdr:colOff>251460</xdr:colOff>
      <xdr:row>2</xdr:row>
      <xdr:rowOff>175260</xdr:rowOff>
    </xdr:from>
    <xdr:to>
      <xdr:col>15</xdr:col>
      <xdr:colOff>251460</xdr:colOff>
      <xdr:row>5</xdr:row>
      <xdr:rowOff>83820</xdr:rowOff>
    </xdr:to>
    <xdr:sp macro="" textlink="">
      <xdr:nvSpPr>
        <xdr:cNvPr id="13" name="Rectangle 12">
          <a:extLst>
            <a:ext uri="{FF2B5EF4-FFF2-40B4-BE49-F238E27FC236}">
              <a16:creationId xmlns:a16="http://schemas.microsoft.com/office/drawing/2014/main" id="{00000000-0008-0000-0000-00000D000000}"/>
            </a:ext>
          </a:extLst>
        </xdr:cNvPr>
        <xdr:cNvSpPr/>
      </xdr:nvSpPr>
      <xdr:spPr>
        <a:xfrm>
          <a:off x="7566660" y="601980"/>
          <a:ext cx="1828800" cy="4572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251460</xdr:colOff>
      <xdr:row>5</xdr:row>
      <xdr:rowOff>167640</xdr:rowOff>
    </xdr:from>
    <xdr:to>
      <xdr:col>15</xdr:col>
      <xdr:colOff>251460</xdr:colOff>
      <xdr:row>8</xdr:row>
      <xdr:rowOff>76200</xdr:rowOff>
    </xdr:to>
    <xdr:sp macro="" textlink="">
      <xdr:nvSpPr>
        <xdr:cNvPr id="15" name="Rectangle 14">
          <a:extLst>
            <a:ext uri="{FF2B5EF4-FFF2-40B4-BE49-F238E27FC236}">
              <a16:creationId xmlns:a16="http://schemas.microsoft.com/office/drawing/2014/main" id="{00000000-0008-0000-0000-00000F000000}"/>
            </a:ext>
          </a:extLst>
        </xdr:cNvPr>
        <xdr:cNvSpPr/>
      </xdr:nvSpPr>
      <xdr:spPr>
        <a:xfrm>
          <a:off x="7566660" y="1158240"/>
          <a:ext cx="1828800" cy="46736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19</xdr:col>
      <xdr:colOff>266700</xdr:colOff>
      <xdr:row>1</xdr:row>
      <xdr:rowOff>167640</xdr:rowOff>
    </xdr:from>
    <xdr:to>
      <xdr:col>22</xdr:col>
      <xdr:colOff>518160</xdr:colOff>
      <xdr:row>8</xdr:row>
      <xdr:rowOff>76200</xdr:rowOff>
    </xdr:to>
    <xdr:sp macro="" textlink="">
      <xdr:nvSpPr>
        <xdr:cNvPr id="16" name="Rectangle 15">
          <a:extLst>
            <a:ext uri="{FF2B5EF4-FFF2-40B4-BE49-F238E27FC236}">
              <a16:creationId xmlns:a16="http://schemas.microsoft.com/office/drawing/2014/main" id="{00000000-0008-0000-0000-000010000000}"/>
            </a:ext>
          </a:extLst>
        </xdr:cNvPr>
        <xdr:cNvSpPr/>
      </xdr:nvSpPr>
      <xdr:spPr>
        <a:xfrm>
          <a:off x="11849100" y="413173"/>
          <a:ext cx="2080260" cy="1212427"/>
        </a:xfrm>
        <a:prstGeom prst="rect">
          <a:avLst/>
        </a:prstGeom>
        <a:gradFill>
          <a:gsLst>
            <a:gs pos="13000">
              <a:srgbClr val="D36FF9"/>
            </a:gs>
            <a:gs pos="86000">
              <a:srgbClr val="9F7EF8"/>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129540</xdr:colOff>
      <xdr:row>3</xdr:row>
      <xdr:rowOff>30480</xdr:rowOff>
    </xdr:from>
    <xdr:to>
      <xdr:col>6</xdr:col>
      <xdr:colOff>251460</xdr:colOff>
      <xdr:row>7</xdr:row>
      <xdr:rowOff>30480</xdr:rowOff>
    </xdr:to>
    <xdr:sp macro="" textlink="">
      <xdr:nvSpPr>
        <xdr:cNvPr id="22" name="Oval 21">
          <a:extLst>
            <a:ext uri="{FF2B5EF4-FFF2-40B4-BE49-F238E27FC236}">
              <a16:creationId xmlns:a16="http://schemas.microsoft.com/office/drawing/2014/main" id="{00000000-0008-0000-0000-000016000000}"/>
            </a:ext>
          </a:extLst>
        </xdr:cNvPr>
        <xdr:cNvSpPr/>
      </xdr:nvSpPr>
      <xdr:spPr>
        <a:xfrm>
          <a:off x="3177540" y="640080"/>
          <a:ext cx="731520" cy="731520"/>
        </a:xfrm>
        <a:prstGeom prst="ellipse">
          <a:avLst/>
        </a:prstGeom>
        <a:noFill/>
        <a:ln w="69850">
          <a:solidFill>
            <a:srgbClr val="2F333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10</xdr:col>
      <xdr:colOff>281940</xdr:colOff>
      <xdr:row>3</xdr:row>
      <xdr:rowOff>30480</xdr:rowOff>
    </xdr:from>
    <xdr:to>
      <xdr:col>11</xdr:col>
      <xdr:colOff>403860</xdr:colOff>
      <xdr:row>7</xdr:row>
      <xdr:rowOff>30480</xdr:rowOff>
    </xdr:to>
    <xdr:sp macro="" textlink="">
      <xdr:nvSpPr>
        <xdr:cNvPr id="25" name="Oval 24">
          <a:extLst>
            <a:ext uri="{FF2B5EF4-FFF2-40B4-BE49-F238E27FC236}">
              <a16:creationId xmlns:a16="http://schemas.microsoft.com/office/drawing/2014/main" id="{00000000-0008-0000-0000-000019000000}"/>
            </a:ext>
          </a:extLst>
        </xdr:cNvPr>
        <xdr:cNvSpPr/>
      </xdr:nvSpPr>
      <xdr:spPr>
        <a:xfrm>
          <a:off x="6377940" y="640080"/>
          <a:ext cx="731520" cy="731520"/>
        </a:xfrm>
        <a:prstGeom prst="ellipse">
          <a:avLst/>
        </a:prstGeom>
        <a:noFill/>
        <a:ln w="69850">
          <a:solidFill>
            <a:srgbClr val="2F333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8</xdr:col>
      <xdr:colOff>434340</xdr:colOff>
      <xdr:row>3</xdr:row>
      <xdr:rowOff>30480</xdr:rowOff>
    </xdr:from>
    <xdr:to>
      <xdr:col>9</xdr:col>
      <xdr:colOff>556260</xdr:colOff>
      <xdr:row>7</xdr:row>
      <xdr:rowOff>30480</xdr:rowOff>
    </xdr:to>
    <xdr:sp macro="" textlink="">
      <xdr:nvSpPr>
        <xdr:cNvPr id="24" name="Oval 23">
          <a:extLst>
            <a:ext uri="{FF2B5EF4-FFF2-40B4-BE49-F238E27FC236}">
              <a16:creationId xmlns:a16="http://schemas.microsoft.com/office/drawing/2014/main" id="{00000000-0008-0000-0000-000018000000}"/>
            </a:ext>
          </a:extLst>
        </xdr:cNvPr>
        <xdr:cNvSpPr/>
      </xdr:nvSpPr>
      <xdr:spPr>
        <a:xfrm>
          <a:off x="5311140" y="640080"/>
          <a:ext cx="731520" cy="731520"/>
        </a:xfrm>
        <a:prstGeom prst="ellipse">
          <a:avLst/>
        </a:prstGeom>
        <a:noFill/>
        <a:ln w="69850">
          <a:solidFill>
            <a:srgbClr val="2F333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586740</xdr:colOff>
      <xdr:row>3</xdr:row>
      <xdr:rowOff>30480</xdr:rowOff>
    </xdr:from>
    <xdr:to>
      <xdr:col>8</xdr:col>
      <xdr:colOff>99060</xdr:colOff>
      <xdr:row>7</xdr:row>
      <xdr:rowOff>30480</xdr:rowOff>
    </xdr:to>
    <xdr:sp macro="" textlink="">
      <xdr:nvSpPr>
        <xdr:cNvPr id="23" name="Oval 22">
          <a:extLst>
            <a:ext uri="{FF2B5EF4-FFF2-40B4-BE49-F238E27FC236}">
              <a16:creationId xmlns:a16="http://schemas.microsoft.com/office/drawing/2014/main" id="{00000000-0008-0000-0000-000017000000}"/>
            </a:ext>
          </a:extLst>
        </xdr:cNvPr>
        <xdr:cNvSpPr/>
      </xdr:nvSpPr>
      <xdr:spPr>
        <a:xfrm>
          <a:off x="4244340" y="640080"/>
          <a:ext cx="731520" cy="731520"/>
        </a:xfrm>
        <a:prstGeom prst="ellipse">
          <a:avLst/>
        </a:prstGeom>
        <a:noFill/>
        <a:ln w="69850">
          <a:solidFill>
            <a:srgbClr val="2F333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10</xdr:col>
      <xdr:colOff>106680</xdr:colOff>
      <xdr:row>2</xdr:row>
      <xdr:rowOff>30480</xdr:rowOff>
    </xdr:from>
    <xdr:to>
      <xdr:col>11</xdr:col>
      <xdr:colOff>594360</xdr:colOff>
      <xdr:row>8</xdr:row>
      <xdr:rowOff>30480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406400</xdr:colOff>
      <xdr:row>2</xdr:row>
      <xdr:rowOff>30480</xdr:rowOff>
    </xdr:from>
    <xdr:to>
      <xdr:col>8</xdr:col>
      <xdr:colOff>284480</xdr:colOff>
      <xdr:row>8</xdr:row>
      <xdr:rowOff>30480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556260</xdr:colOff>
      <xdr:row>2</xdr:row>
      <xdr:rowOff>30480</xdr:rowOff>
    </xdr:from>
    <xdr:to>
      <xdr:col>6</xdr:col>
      <xdr:colOff>434340</xdr:colOff>
      <xdr:row>8</xdr:row>
      <xdr:rowOff>30480</xdr:rowOff>
    </xdr:to>
    <xdr:graphicFrame macro="">
      <xdr:nvGraphicFramePr>
        <xdr:cNvPr id="20" name="Chart 19">
          <a:extLst>
            <a:ext uri="{FF2B5EF4-FFF2-40B4-BE49-F238E27FC236}">
              <a16:creationId xmlns:a16="http://schemas.microsoft.com/office/drawing/2014/main" id="{00000000-0008-0000-0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256540</xdr:colOff>
      <xdr:row>2</xdr:row>
      <xdr:rowOff>30480</xdr:rowOff>
    </xdr:from>
    <xdr:to>
      <xdr:col>10</xdr:col>
      <xdr:colOff>134620</xdr:colOff>
      <xdr:row>8</xdr:row>
      <xdr:rowOff>30480</xdr:rowOff>
    </xdr:to>
    <xdr:graphicFrame macro="">
      <xdr:nvGraphicFramePr>
        <xdr:cNvPr id="21" name="Chart 20">
          <a:extLst>
            <a:ext uri="{FF2B5EF4-FFF2-40B4-BE49-F238E27FC236}">
              <a16:creationId xmlns:a16="http://schemas.microsoft.com/office/drawing/2014/main" id="{00000000-0008-0000-00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563880</xdr:colOff>
      <xdr:row>25</xdr:row>
      <xdr:rowOff>53340</xdr:rowOff>
    </xdr:from>
    <xdr:to>
      <xdr:col>7</xdr:col>
      <xdr:colOff>464820</xdr:colOff>
      <xdr:row>34</xdr:row>
      <xdr:rowOff>137160</xdr:rowOff>
    </xdr:to>
    <xdr:graphicFrame macro="">
      <xdr:nvGraphicFramePr>
        <xdr:cNvPr id="34" name="Chart 33">
          <a:extLst>
            <a:ext uri="{FF2B5EF4-FFF2-40B4-BE49-F238E27FC236}">
              <a16:creationId xmlns:a16="http://schemas.microsoft.com/office/drawing/2014/main" id="{00000000-0008-0000-00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297180</xdr:colOff>
      <xdr:row>24</xdr:row>
      <xdr:rowOff>137160</xdr:rowOff>
    </xdr:from>
    <xdr:to>
      <xdr:col>13</xdr:col>
      <xdr:colOff>297180</xdr:colOff>
      <xdr:row>34</xdr:row>
      <xdr:rowOff>137160</xdr:rowOff>
    </xdr:to>
    <xdr:grpSp>
      <xdr:nvGrpSpPr>
        <xdr:cNvPr id="107" name="Group 106">
          <a:extLst>
            <a:ext uri="{FF2B5EF4-FFF2-40B4-BE49-F238E27FC236}">
              <a16:creationId xmlns:a16="http://schemas.microsoft.com/office/drawing/2014/main" id="{00000000-0008-0000-0000-00006B000000}"/>
            </a:ext>
          </a:extLst>
        </xdr:cNvPr>
        <xdr:cNvGrpSpPr/>
      </xdr:nvGrpSpPr>
      <xdr:grpSpPr>
        <a:xfrm>
          <a:off x="7059930" y="4547235"/>
          <a:ext cx="2028825" cy="1809750"/>
          <a:chOff x="6507480" y="4587240"/>
          <a:chExt cx="1828800" cy="1828800"/>
        </a:xfrm>
      </xdr:grpSpPr>
      <xdr:sp macro="" textlink="">
        <xdr:nvSpPr>
          <xdr:cNvPr id="36" name="Oval 35">
            <a:extLst>
              <a:ext uri="{FF2B5EF4-FFF2-40B4-BE49-F238E27FC236}">
                <a16:creationId xmlns:a16="http://schemas.microsoft.com/office/drawing/2014/main" id="{00000000-0008-0000-0000-000024000000}"/>
              </a:ext>
            </a:extLst>
          </xdr:cNvPr>
          <xdr:cNvSpPr/>
        </xdr:nvSpPr>
        <xdr:spPr>
          <a:xfrm>
            <a:off x="6659880" y="4739640"/>
            <a:ext cx="1508760" cy="1508760"/>
          </a:xfrm>
          <a:prstGeom prst="ellipse">
            <a:avLst/>
          </a:prstGeom>
          <a:noFill/>
          <a:ln w="34925">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aphicFrame macro="">
        <xdr:nvGraphicFramePr>
          <xdr:cNvPr id="35" name="Chart 34">
            <a:extLst>
              <a:ext uri="{FF2B5EF4-FFF2-40B4-BE49-F238E27FC236}">
                <a16:creationId xmlns:a16="http://schemas.microsoft.com/office/drawing/2014/main" id="{00000000-0008-0000-0000-000023000000}"/>
              </a:ext>
            </a:extLst>
          </xdr:cNvPr>
          <xdr:cNvGraphicFramePr>
            <a:graphicFrameLocks/>
          </xdr:cNvGraphicFramePr>
        </xdr:nvGraphicFramePr>
        <xdr:xfrm>
          <a:off x="6507480" y="4587240"/>
          <a:ext cx="1828800" cy="18288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37" name="Oval 36">
            <a:extLst>
              <a:ext uri="{FF2B5EF4-FFF2-40B4-BE49-F238E27FC236}">
                <a16:creationId xmlns:a16="http://schemas.microsoft.com/office/drawing/2014/main" id="{00000000-0008-0000-0000-000025000000}"/>
              </a:ext>
            </a:extLst>
          </xdr:cNvPr>
          <xdr:cNvSpPr/>
        </xdr:nvSpPr>
        <xdr:spPr>
          <a:xfrm>
            <a:off x="6812280" y="4892040"/>
            <a:ext cx="1219200" cy="1219200"/>
          </a:xfrm>
          <a:prstGeom prst="ellipse">
            <a:avLst/>
          </a:prstGeom>
          <a:noFill/>
          <a:ln w="34925">
            <a:gradFill>
              <a:gsLst>
                <a:gs pos="15000">
                  <a:srgbClr val="212531"/>
                </a:gs>
                <a:gs pos="97000">
                  <a:srgbClr val="121622"/>
                </a:gs>
              </a:gsLst>
              <a:lin ang="2400000" scaled="0"/>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16</xdr:col>
      <xdr:colOff>190500</xdr:colOff>
      <xdr:row>11</xdr:row>
      <xdr:rowOff>76200</xdr:rowOff>
    </xdr:from>
    <xdr:to>
      <xdr:col>22</xdr:col>
      <xdr:colOff>373380</xdr:colOff>
      <xdr:row>21</xdr:row>
      <xdr:rowOff>30480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99060</xdr:colOff>
      <xdr:row>25</xdr:row>
      <xdr:rowOff>22860</xdr:rowOff>
    </xdr:from>
    <xdr:to>
      <xdr:col>22</xdr:col>
      <xdr:colOff>434340</xdr:colOff>
      <xdr:row>34</xdr:row>
      <xdr:rowOff>160020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586740</xdr:colOff>
      <xdr:row>9</xdr:row>
      <xdr:rowOff>29633</xdr:rowOff>
    </xdr:from>
    <xdr:to>
      <xdr:col>15</xdr:col>
      <xdr:colOff>68580</xdr:colOff>
      <xdr:row>21</xdr:row>
      <xdr:rowOff>121073</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381000</xdr:colOff>
      <xdr:row>9</xdr:row>
      <xdr:rowOff>47411</xdr:rowOff>
    </xdr:from>
    <xdr:to>
      <xdr:col>4</xdr:col>
      <xdr:colOff>137160</xdr:colOff>
      <xdr:row>11</xdr:row>
      <xdr:rowOff>108371</xdr:rowOff>
    </xdr:to>
    <xdr:sp macro="" textlink="">
      <xdr:nvSpPr>
        <xdr:cNvPr id="28" name="Rectangle 27">
          <a:extLst>
            <a:ext uri="{FF2B5EF4-FFF2-40B4-BE49-F238E27FC236}">
              <a16:creationId xmlns:a16="http://schemas.microsoft.com/office/drawing/2014/main" id="{00000000-0008-0000-0000-00001C000000}"/>
            </a:ext>
          </a:extLst>
        </xdr:cNvPr>
        <xdr:cNvSpPr/>
      </xdr:nvSpPr>
      <xdr:spPr>
        <a:xfrm>
          <a:off x="381000" y="1758447"/>
          <a:ext cx="2194560" cy="428106"/>
        </a:xfrm>
        <a:prstGeom prst="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320040</xdr:colOff>
      <xdr:row>9</xdr:row>
      <xdr:rowOff>47411</xdr:rowOff>
    </xdr:from>
    <xdr:to>
      <xdr:col>0</xdr:col>
      <xdr:colOff>365760</xdr:colOff>
      <xdr:row>11</xdr:row>
      <xdr:rowOff>109063</xdr:rowOff>
    </xdr:to>
    <xdr:sp macro="" textlink="">
      <xdr:nvSpPr>
        <xdr:cNvPr id="38" name="Rectangle 37">
          <a:extLst>
            <a:ext uri="{FF2B5EF4-FFF2-40B4-BE49-F238E27FC236}">
              <a16:creationId xmlns:a16="http://schemas.microsoft.com/office/drawing/2014/main" id="{00000000-0008-0000-0000-000026000000}"/>
            </a:ext>
          </a:extLst>
        </xdr:cNvPr>
        <xdr:cNvSpPr/>
      </xdr:nvSpPr>
      <xdr:spPr>
        <a:xfrm>
          <a:off x="320040" y="1758447"/>
          <a:ext cx="45720" cy="428798"/>
        </a:xfrm>
        <a:prstGeom prst="rect">
          <a:avLst/>
        </a:prstGeom>
        <a:solidFill>
          <a:srgbClr val="1DE1EB"/>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xdr:col>
      <xdr:colOff>161567</xdr:colOff>
      <xdr:row>9</xdr:row>
      <xdr:rowOff>108371</xdr:rowOff>
    </xdr:from>
    <xdr:to>
      <xdr:col>3</xdr:col>
      <xdr:colOff>588287</xdr:colOff>
      <xdr:row>11</xdr:row>
      <xdr:rowOff>47411</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771167" y="1815251"/>
          <a:ext cx="164592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1DE1EB"/>
              </a:solidFill>
            </a:rPr>
            <a:t>SUMMARY REPORT</a:t>
          </a:r>
          <a:endParaRPr lang="ru-RU" sz="1400">
            <a:solidFill>
              <a:srgbClr val="1DE1EB"/>
            </a:solidFill>
          </a:endParaRPr>
        </a:p>
      </xdr:txBody>
    </xdr:sp>
    <xdr:clientData/>
  </xdr:twoCellAnchor>
  <xdr:twoCellAnchor>
    <xdr:from>
      <xdr:col>0</xdr:col>
      <xdr:colOff>110068</xdr:colOff>
      <xdr:row>0</xdr:row>
      <xdr:rowOff>93132</xdr:rowOff>
    </xdr:from>
    <xdr:to>
      <xdr:col>4</xdr:col>
      <xdr:colOff>137160</xdr:colOff>
      <xdr:row>8</xdr:row>
      <xdr:rowOff>98212</xdr:rowOff>
    </xdr:to>
    <xdr:sp macro="" textlink="">
      <xdr:nvSpPr>
        <xdr:cNvPr id="48" name="Rectangle 47">
          <a:extLst>
            <a:ext uri="{FF2B5EF4-FFF2-40B4-BE49-F238E27FC236}">
              <a16:creationId xmlns:a16="http://schemas.microsoft.com/office/drawing/2014/main" id="{00000000-0008-0000-0000-000030000000}"/>
            </a:ext>
          </a:extLst>
        </xdr:cNvPr>
        <xdr:cNvSpPr/>
      </xdr:nvSpPr>
      <xdr:spPr>
        <a:xfrm>
          <a:off x="110068" y="93132"/>
          <a:ext cx="2465492" cy="1554480"/>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284481</xdr:colOff>
      <xdr:row>0</xdr:row>
      <xdr:rowOff>201613</xdr:rowOff>
    </xdr:from>
    <xdr:to>
      <xdr:col>3</xdr:col>
      <xdr:colOff>572348</xdr:colOff>
      <xdr:row>8</xdr:row>
      <xdr:rowOff>56294</xdr:rowOff>
    </xdr:to>
    <xdr:grpSp>
      <xdr:nvGrpSpPr>
        <xdr:cNvPr id="79" name="Group 78">
          <a:hlinkClick xmlns:r="http://schemas.openxmlformats.org/officeDocument/2006/relationships" r:id="rId10"/>
          <a:extLst>
            <a:ext uri="{FF2B5EF4-FFF2-40B4-BE49-F238E27FC236}">
              <a16:creationId xmlns:a16="http://schemas.microsoft.com/office/drawing/2014/main" id="{00000000-0008-0000-0000-00004F000000}"/>
            </a:ext>
          </a:extLst>
        </xdr:cNvPr>
        <xdr:cNvGrpSpPr/>
      </xdr:nvGrpSpPr>
      <xdr:grpSpPr>
        <a:xfrm>
          <a:off x="284481" y="201613"/>
          <a:ext cx="2316692" cy="1369156"/>
          <a:chOff x="304802" y="176212"/>
          <a:chExt cx="2116667" cy="1404081"/>
        </a:xfrm>
      </xdr:grpSpPr>
      <xdr:grpSp>
        <xdr:nvGrpSpPr>
          <xdr:cNvPr id="78" name="Group 77">
            <a:extLst>
              <a:ext uri="{FF2B5EF4-FFF2-40B4-BE49-F238E27FC236}">
                <a16:creationId xmlns:a16="http://schemas.microsoft.com/office/drawing/2014/main" id="{00000000-0008-0000-0000-00004E000000}"/>
              </a:ext>
            </a:extLst>
          </xdr:cNvPr>
          <xdr:cNvGrpSpPr/>
        </xdr:nvGrpSpPr>
        <xdr:grpSpPr>
          <a:xfrm>
            <a:off x="876760" y="564960"/>
            <a:ext cx="970874" cy="651564"/>
            <a:chOff x="817491" y="521780"/>
            <a:chExt cx="970874" cy="638017"/>
          </a:xfrm>
        </xdr:grpSpPr>
        <xdr:sp macro="" textlink="">
          <xdr:nvSpPr>
            <xdr:cNvPr id="53" name="Rectangle 52">
              <a:extLst>
                <a:ext uri="{FF2B5EF4-FFF2-40B4-BE49-F238E27FC236}">
                  <a16:creationId xmlns:a16="http://schemas.microsoft.com/office/drawing/2014/main" id="{00000000-0008-0000-0000-000035000000}"/>
                </a:ext>
              </a:extLst>
            </xdr:cNvPr>
            <xdr:cNvSpPr/>
          </xdr:nvSpPr>
          <xdr:spPr>
            <a:xfrm rot="10800000">
              <a:off x="817491" y="713483"/>
              <a:ext cx="9144" cy="446314"/>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4" name="Rectangle 53">
              <a:extLst>
                <a:ext uri="{FF2B5EF4-FFF2-40B4-BE49-F238E27FC236}">
                  <a16:creationId xmlns:a16="http://schemas.microsoft.com/office/drawing/2014/main" id="{00000000-0008-0000-0000-000036000000}"/>
                </a:ext>
              </a:extLst>
            </xdr:cNvPr>
            <xdr:cNvSpPr/>
          </xdr:nvSpPr>
          <xdr:spPr>
            <a:xfrm rot="10800000">
              <a:off x="986928" y="713483"/>
              <a:ext cx="9144" cy="446314"/>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5" name="Rectangle 54">
              <a:extLst>
                <a:ext uri="{FF2B5EF4-FFF2-40B4-BE49-F238E27FC236}">
                  <a16:creationId xmlns:a16="http://schemas.microsoft.com/office/drawing/2014/main" id="{00000000-0008-0000-0000-000037000000}"/>
                </a:ext>
              </a:extLst>
            </xdr:cNvPr>
            <xdr:cNvSpPr/>
          </xdr:nvSpPr>
          <xdr:spPr>
            <a:xfrm rot="10800000">
              <a:off x="1608066" y="713483"/>
              <a:ext cx="9144" cy="446314"/>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7" name="Rectangle 56">
              <a:extLst>
                <a:ext uri="{FF2B5EF4-FFF2-40B4-BE49-F238E27FC236}">
                  <a16:creationId xmlns:a16="http://schemas.microsoft.com/office/drawing/2014/main" id="{00000000-0008-0000-0000-000039000000}"/>
                </a:ext>
              </a:extLst>
            </xdr:cNvPr>
            <xdr:cNvSpPr/>
          </xdr:nvSpPr>
          <xdr:spPr>
            <a:xfrm rot="10800000">
              <a:off x="1184111" y="582318"/>
              <a:ext cx="9144" cy="446313"/>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8" name="Rectangle 57">
              <a:extLst>
                <a:ext uri="{FF2B5EF4-FFF2-40B4-BE49-F238E27FC236}">
                  <a16:creationId xmlns:a16="http://schemas.microsoft.com/office/drawing/2014/main" id="{00000000-0008-0000-0000-00003A000000}"/>
                </a:ext>
              </a:extLst>
            </xdr:cNvPr>
            <xdr:cNvSpPr/>
          </xdr:nvSpPr>
          <xdr:spPr>
            <a:xfrm rot="10800000">
              <a:off x="1415585" y="582318"/>
              <a:ext cx="9144" cy="446313"/>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9" name="Rectangle 58">
              <a:extLst>
                <a:ext uri="{FF2B5EF4-FFF2-40B4-BE49-F238E27FC236}">
                  <a16:creationId xmlns:a16="http://schemas.microsoft.com/office/drawing/2014/main" id="{00000000-0008-0000-0000-00003B000000}"/>
                </a:ext>
              </a:extLst>
            </xdr:cNvPr>
            <xdr:cNvSpPr/>
          </xdr:nvSpPr>
          <xdr:spPr>
            <a:xfrm rot="10800000">
              <a:off x="1296401" y="521780"/>
              <a:ext cx="9144" cy="446313"/>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70" name="Rectangle 69">
              <a:extLst>
                <a:ext uri="{FF2B5EF4-FFF2-40B4-BE49-F238E27FC236}">
                  <a16:creationId xmlns:a16="http://schemas.microsoft.com/office/drawing/2014/main" id="{00000000-0008-0000-0000-000046000000}"/>
                </a:ext>
              </a:extLst>
            </xdr:cNvPr>
            <xdr:cNvSpPr/>
          </xdr:nvSpPr>
          <xdr:spPr>
            <a:xfrm rot="10800000">
              <a:off x="1779221" y="713483"/>
              <a:ext cx="9144" cy="446314"/>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sp macro="" textlink="">
        <xdr:nvSpPr>
          <xdr:cNvPr id="26" name="Star: 5 Points 25">
            <a:extLst>
              <a:ext uri="{FF2B5EF4-FFF2-40B4-BE49-F238E27FC236}">
                <a16:creationId xmlns:a16="http://schemas.microsoft.com/office/drawing/2014/main" id="{00000000-0008-0000-0000-00001A000000}"/>
              </a:ext>
            </a:extLst>
          </xdr:cNvPr>
          <xdr:cNvSpPr/>
        </xdr:nvSpPr>
        <xdr:spPr>
          <a:xfrm>
            <a:off x="1178457" y="176212"/>
            <a:ext cx="365760" cy="373697"/>
          </a:xfrm>
          <a:prstGeom prst="star5">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49" name="Star: 5 Points 48">
            <a:extLst>
              <a:ext uri="{FF2B5EF4-FFF2-40B4-BE49-F238E27FC236}">
                <a16:creationId xmlns:a16="http://schemas.microsoft.com/office/drawing/2014/main" id="{00000000-0008-0000-0000-000031000000}"/>
              </a:ext>
            </a:extLst>
          </xdr:cNvPr>
          <xdr:cNvSpPr/>
        </xdr:nvSpPr>
        <xdr:spPr>
          <a:xfrm>
            <a:off x="1616607" y="397931"/>
            <a:ext cx="274320" cy="284904"/>
          </a:xfrm>
          <a:prstGeom prst="star5">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0" name="Star: 5 Points 49">
            <a:extLst>
              <a:ext uri="{FF2B5EF4-FFF2-40B4-BE49-F238E27FC236}">
                <a16:creationId xmlns:a16="http://schemas.microsoft.com/office/drawing/2014/main" id="{00000000-0008-0000-0000-000032000000}"/>
              </a:ext>
            </a:extLst>
          </xdr:cNvPr>
          <xdr:cNvSpPr/>
        </xdr:nvSpPr>
        <xdr:spPr>
          <a:xfrm>
            <a:off x="826032" y="397931"/>
            <a:ext cx="274320" cy="284904"/>
          </a:xfrm>
          <a:prstGeom prst="star5">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304802" y="986276"/>
            <a:ext cx="2116667" cy="373884"/>
          </a:xfrm>
          <a:prstGeom prst="rect">
            <a:avLst/>
          </a:prstGeom>
          <a:noFill/>
          <a:ln w="9525" cmpd="sng">
            <a:noFill/>
          </a:ln>
          <a:effectLst>
            <a:outerShdw blurRad="50800" dist="38100" dir="16200000"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gradFill>
                  <a:gsLst>
                    <a:gs pos="25000">
                      <a:srgbClr val="C1A35F"/>
                    </a:gs>
                    <a:gs pos="75000">
                      <a:srgbClr val="C1A35F"/>
                    </a:gs>
                    <a:gs pos="0">
                      <a:srgbClr val="94632A"/>
                    </a:gs>
                    <a:gs pos="50000">
                      <a:srgbClr val="F3E999"/>
                    </a:gs>
                    <a:gs pos="100000">
                      <a:srgbClr val="94632A"/>
                    </a:gs>
                  </a:gsLst>
                  <a:lin ang="0" scaled="1"/>
                </a:gradFill>
                <a:latin typeface="Century Gothic" panose="020B0502020202020204" pitchFamily="34" charset="0"/>
                <a:ea typeface="ADLaM Display" panose="02010000000000000000" pitchFamily="2" charset="0"/>
                <a:cs typeface="ADLaM Display" panose="02010000000000000000" pitchFamily="2" charset="0"/>
              </a:rPr>
              <a:t>COMPARISON</a:t>
            </a:r>
            <a:endParaRPr lang="ru-RU" sz="1800" b="1">
              <a:gradFill>
                <a:gsLst>
                  <a:gs pos="25000">
                    <a:srgbClr val="C1A35F"/>
                  </a:gs>
                  <a:gs pos="75000">
                    <a:srgbClr val="C1A35F"/>
                  </a:gs>
                  <a:gs pos="0">
                    <a:srgbClr val="94632A"/>
                  </a:gs>
                  <a:gs pos="50000">
                    <a:srgbClr val="F3E999"/>
                  </a:gs>
                  <a:gs pos="100000">
                    <a:srgbClr val="94632A"/>
                  </a:gs>
                </a:gsLst>
                <a:lin ang="0" scaled="1"/>
              </a:gradFill>
              <a:latin typeface="Century Gothic" panose="020B0502020202020204" pitchFamily="34" charset="0"/>
              <a:ea typeface="ADLaM Display" panose="02010000000000000000" pitchFamily="2" charset="0"/>
              <a:cs typeface="ADLaM Display" panose="02010000000000000000" pitchFamily="2" charset="0"/>
            </a:endParaRPr>
          </a:p>
        </xdr:txBody>
      </xdr:sp>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304802" y="1206411"/>
            <a:ext cx="2116667" cy="373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0" spc="110" baseline="0">
                <a:gradFill>
                  <a:gsLst>
                    <a:gs pos="25000">
                      <a:srgbClr val="C1A35F"/>
                    </a:gs>
                    <a:gs pos="75000">
                      <a:srgbClr val="C1A35F"/>
                    </a:gs>
                    <a:gs pos="0">
                      <a:srgbClr val="94632A"/>
                    </a:gs>
                    <a:gs pos="50000">
                      <a:srgbClr val="F3E999"/>
                    </a:gs>
                    <a:gs pos="100000">
                      <a:srgbClr val="94632A"/>
                    </a:gs>
                  </a:gsLst>
                  <a:lin ang="0" scaled="1"/>
                </a:gradFill>
                <a:latin typeface="Century Gothic" panose="020B0502020202020204" pitchFamily="34" charset="0"/>
                <a:ea typeface="ADLaM Display" panose="02010000000000000000" pitchFamily="2" charset="0"/>
                <a:cs typeface="ADLaM Display" panose="02010000000000000000" pitchFamily="2" charset="0"/>
              </a:rPr>
              <a:t>niche vs massmarket</a:t>
            </a:r>
            <a:endParaRPr lang="ru-RU" sz="1000" b="0" spc="110" baseline="0">
              <a:gradFill>
                <a:gsLst>
                  <a:gs pos="25000">
                    <a:srgbClr val="C1A35F"/>
                  </a:gs>
                  <a:gs pos="75000">
                    <a:srgbClr val="C1A35F"/>
                  </a:gs>
                  <a:gs pos="0">
                    <a:srgbClr val="94632A"/>
                  </a:gs>
                  <a:gs pos="50000">
                    <a:srgbClr val="F3E999"/>
                  </a:gs>
                  <a:gs pos="100000">
                    <a:srgbClr val="94632A"/>
                  </a:gs>
                </a:gsLst>
                <a:lin ang="0" scaled="1"/>
              </a:gradFill>
              <a:latin typeface="Century Gothic" panose="020B0502020202020204" pitchFamily="34" charset="0"/>
              <a:ea typeface="ADLaM Display" panose="02010000000000000000" pitchFamily="2" charset="0"/>
              <a:cs typeface="ADLaM Display" panose="02010000000000000000" pitchFamily="2" charset="0"/>
            </a:endParaRPr>
          </a:p>
        </xdr:txBody>
      </xdr:sp>
    </xdr:grpSp>
    <xdr:clientData/>
  </xdr:twoCellAnchor>
  <xdr:twoCellAnchor>
    <xdr:from>
      <xdr:col>15</xdr:col>
      <xdr:colOff>487680</xdr:colOff>
      <xdr:row>1</xdr:row>
      <xdr:rowOff>167640</xdr:rowOff>
    </xdr:from>
    <xdr:to>
      <xdr:col>19</xdr:col>
      <xdr:colOff>129540</xdr:colOff>
      <xdr:row>8</xdr:row>
      <xdr:rowOff>76200</xdr:rowOff>
    </xdr:to>
    <xdr:sp macro="" textlink="">
      <xdr:nvSpPr>
        <xdr:cNvPr id="80" name="Rectangle 79">
          <a:extLst>
            <a:ext uri="{FF2B5EF4-FFF2-40B4-BE49-F238E27FC236}">
              <a16:creationId xmlns:a16="http://schemas.microsoft.com/office/drawing/2014/main" id="{00000000-0008-0000-0000-000050000000}"/>
            </a:ext>
          </a:extLst>
        </xdr:cNvPr>
        <xdr:cNvSpPr/>
      </xdr:nvSpPr>
      <xdr:spPr>
        <a:xfrm>
          <a:off x="9631680" y="411480"/>
          <a:ext cx="2080260" cy="1188720"/>
        </a:xfrm>
        <a:prstGeom prst="rect">
          <a:avLst/>
        </a:prstGeom>
        <a:gradFill>
          <a:gsLst>
            <a:gs pos="12000">
              <a:srgbClr val="21E6DF"/>
            </a:gs>
            <a:gs pos="86000">
              <a:srgbClr val="9F7EF8"/>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472161</xdr:colOff>
      <xdr:row>9</xdr:row>
      <xdr:rowOff>99060</xdr:rowOff>
    </xdr:from>
    <xdr:to>
      <xdr:col>1</xdr:col>
      <xdr:colOff>174981</xdr:colOff>
      <xdr:row>11</xdr:row>
      <xdr:rowOff>45720</xdr:rowOff>
    </xdr:to>
    <xdr:pic>
      <xdr:nvPicPr>
        <xdr:cNvPr id="66" name="Graphic 65" descr="Bar chart with solid fill">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xmlns="" r:embed="rId12"/>
            </a:ext>
          </a:extLst>
        </a:blip>
        <a:stretch>
          <a:fillRect/>
        </a:stretch>
      </xdr:blipFill>
      <xdr:spPr>
        <a:xfrm>
          <a:off x="472161" y="1805940"/>
          <a:ext cx="312420" cy="312420"/>
        </a:xfrm>
        <a:prstGeom prst="rect">
          <a:avLst/>
        </a:prstGeom>
      </xdr:spPr>
    </xdr:pic>
    <xdr:clientData/>
  </xdr:twoCellAnchor>
  <xdr:twoCellAnchor>
    <xdr:from>
      <xdr:col>0</xdr:col>
      <xdr:colOff>313267</xdr:colOff>
      <xdr:row>11</xdr:row>
      <xdr:rowOff>156445</xdr:rowOff>
    </xdr:from>
    <xdr:to>
      <xdr:col>4</xdr:col>
      <xdr:colOff>137160</xdr:colOff>
      <xdr:row>14</xdr:row>
      <xdr:rowOff>31138</xdr:rowOff>
    </xdr:to>
    <xdr:grpSp>
      <xdr:nvGrpSpPr>
        <xdr:cNvPr id="113" name="Group 112">
          <a:hlinkClick xmlns:r="http://schemas.openxmlformats.org/officeDocument/2006/relationships" r:id="rId13"/>
          <a:extLst>
            <a:ext uri="{FF2B5EF4-FFF2-40B4-BE49-F238E27FC236}">
              <a16:creationId xmlns:a16="http://schemas.microsoft.com/office/drawing/2014/main" id="{00000000-0008-0000-0000-000071000000}"/>
            </a:ext>
          </a:extLst>
        </xdr:cNvPr>
        <xdr:cNvGrpSpPr/>
      </xdr:nvGrpSpPr>
      <xdr:grpSpPr>
        <a:xfrm>
          <a:off x="313267" y="2213845"/>
          <a:ext cx="2528993" cy="417618"/>
          <a:chOff x="313267" y="2229085"/>
          <a:chExt cx="2262293" cy="423333"/>
        </a:xfrm>
      </xdr:grpSpPr>
      <xdr:sp macro="" textlink="">
        <xdr:nvSpPr>
          <xdr:cNvPr id="41" name="Rectangle 40">
            <a:extLst>
              <a:ext uri="{FF2B5EF4-FFF2-40B4-BE49-F238E27FC236}">
                <a16:creationId xmlns:a16="http://schemas.microsoft.com/office/drawing/2014/main" id="{00000000-0008-0000-0000-000029000000}"/>
              </a:ext>
            </a:extLst>
          </xdr:cNvPr>
          <xdr:cNvSpPr/>
        </xdr:nvSpPr>
        <xdr:spPr>
          <a:xfrm>
            <a:off x="313267" y="2229085"/>
            <a:ext cx="2262293" cy="423333"/>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771167" y="2293617"/>
            <a:ext cx="1645920" cy="308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STOCK CONTROL</a:t>
            </a:r>
            <a:endParaRPr lang="ru-RU" sz="1400">
              <a:solidFill>
                <a:schemeClr val="bg1"/>
              </a:solidFill>
            </a:endParaRPr>
          </a:p>
        </xdr:txBody>
      </xdr:sp>
      <xdr:pic>
        <xdr:nvPicPr>
          <xdr:cNvPr id="68" name="Graphic 67" descr="Box with solid fill">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xmlns="" r:embed="rId15"/>
              </a:ext>
            </a:extLst>
          </a:blip>
          <a:stretch>
            <a:fillRect/>
          </a:stretch>
        </xdr:blipFill>
        <xdr:spPr>
          <a:xfrm>
            <a:off x="491211" y="2306568"/>
            <a:ext cx="274320" cy="274320"/>
          </a:xfrm>
          <a:prstGeom prst="rect">
            <a:avLst/>
          </a:prstGeom>
        </xdr:spPr>
      </xdr:pic>
    </xdr:grpSp>
    <xdr:clientData/>
  </xdr:twoCellAnchor>
  <xdr:twoCellAnchor>
    <xdr:from>
      <xdr:col>0</xdr:col>
      <xdr:colOff>313267</xdr:colOff>
      <xdr:row>14</xdr:row>
      <xdr:rowOff>79212</xdr:rowOff>
    </xdr:from>
    <xdr:to>
      <xdr:col>4</xdr:col>
      <xdr:colOff>137160</xdr:colOff>
      <xdr:row>16</xdr:row>
      <xdr:rowOff>140172</xdr:rowOff>
    </xdr:to>
    <xdr:grpSp>
      <xdr:nvGrpSpPr>
        <xdr:cNvPr id="120" name="Group 119">
          <a:hlinkClick xmlns:r="http://schemas.openxmlformats.org/officeDocument/2006/relationships" r:id="rId16"/>
          <a:extLst>
            <a:ext uri="{FF2B5EF4-FFF2-40B4-BE49-F238E27FC236}">
              <a16:creationId xmlns:a16="http://schemas.microsoft.com/office/drawing/2014/main" id="{00000000-0008-0000-0000-000078000000}"/>
            </a:ext>
          </a:extLst>
        </xdr:cNvPr>
        <xdr:cNvGrpSpPr/>
      </xdr:nvGrpSpPr>
      <xdr:grpSpPr>
        <a:xfrm>
          <a:off x="313267" y="2679537"/>
          <a:ext cx="2528993" cy="422910"/>
          <a:chOff x="313267" y="2700492"/>
          <a:chExt cx="2262293" cy="426720"/>
        </a:xfrm>
      </xdr:grpSpPr>
      <xdr:sp macro="" textlink="">
        <xdr:nvSpPr>
          <xdr:cNvPr id="42" name="Rectangle 41">
            <a:extLst>
              <a:ext uri="{FF2B5EF4-FFF2-40B4-BE49-F238E27FC236}">
                <a16:creationId xmlns:a16="http://schemas.microsoft.com/office/drawing/2014/main" id="{00000000-0008-0000-0000-00002A000000}"/>
              </a:ext>
            </a:extLst>
          </xdr:cNvPr>
          <xdr:cNvSpPr/>
        </xdr:nvSpPr>
        <xdr:spPr>
          <a:xfrm>
            <a:off x="313267" y="2700492"/>
            <a:ext cx="2262293" cy="426720"/>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771167" y="2749122"/>
            <a:ext cx="164592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FIFO LOGISTICS</a:t>
            </a:r>
            <a:endParaRPr lang="ru-RU" sz="1400">
              <a:solidFill>
                <a:schemeClr val="bg1"/>
              </a:solidFill>
            </a:endParaRPr>
          </a:p>
        </xdr:txBody>
      </xdr:sp>
      <xdr:pic>
        <xdr:nvPicPr>
          <xdr:cNvPr id="71" name="Graphic 70" descr="Arrow circle with solid fill">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xmlns="" r:embed="rId18"/>
              </a:ext>
            </a:extLst>
          </a:blip>
          <a:stretch>
            <a:fillRect/>
          </a:stretch>
        </xdr:blipFill>
        <xdr:spPr>
          <a:xfrm>
            <a:off x="491211" y="2769096"/>
            <a:ext cx="274320" cy="275806"/>
          </a:xfrm>
          <a:prstGeom prst="rect">
            <a:avLst/>
          </a:prstGeom>
        </xdr:spPr>
      </xdr:pic>
    </xdr:grpSp>
    <xdr:clientData/>
  </xdr:twoCellAnchor>
  <xdr:twoCellAnchor>
    <xdr:from>
      <xdr:col>0</xdr:col>
      <xdr:colOff>313267</xdr:colOff>
      <xdr:row>17</xdr:row>
      <xdr:rowOff>6110</xdr:rowOff>
    </xdr:from>
    <xdr:to>
      <xdr:col>4</xdr:col>
      <xdr:colOff>137160</xdr:colOff>
      <xdr:row>19</xdr:row>
      <xdr:rowOff>67070</xdr:rowOff>
    </xdr:to>
    <xdr:grpSp>
      <xdr:nvGrpSpPr>
        <xdr:cNvPr id="121" name="Group 120">
          <a:hlinkClick xmlns:r="http://schemas.openxmlformats.org/officeDocument/2006/relationships" r:id="rId19"/>
          <a:extLst>
            <a:ext uri="{FF2B5EF4-FFF2-40B4-BE49-F238E27FC236}">
              <a16:creationId xmlns:a16="http://schemas.microsoft.com/office/drawing/2014/main" id="{00000000-0008-0000-0000-000079000000}"/>
            </a:ext>
          </a:extLst>
        </xdr:cNvPr>
        <xdr:cNvGrpSpPr/>
      </xdr:nvGrpSpPr>
      <xdr:grpSpPr>
        <a:xfrm>
          <a:off x="313267" y="3149360"/>
          <a:ext cx="2528993" cy="422910"/>
          <a:chOff x="313267" y="3176030"/>
          <a:chExt cx="2262293" cy="426720"/>
        </a:xfrm>
      </xdr:grpSpPr>
      <xdr:sp macro="" textlink="">
        <xdr:nvSpPr>
          <xdr:cNvPr id="43" name="Rectangle 42">
            <a:extLst>
              <a:ext uri="{FF2B5EF4-FFF2-40B4-BE49-F238E27FC236}">
                <a16:creationId xmlns:a16="http://schemas.microsoft.com/office/drawing/2014/main" id="{00000000-0008-0000-0000-00002B000000}"/>
              </a:ext>
            </a:extLst>
          </xdr:cNvPr>
          <xdr:cNvSpPr/>
        </xdr:nvSpPr>
        <xdr:spPr>
          <a:xfrm>
            <a:off x="313267" y="3176030"/>
            <a:ext cx="2262293" cy="426720"/>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771167" y="3213095"/>
            <a:ext cx="1645920" cy="308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bg1"/>
                </a:solidFill>
                <a:latin typeface="+mn-lt"/>
                <a:ea typeface="+mn-ea"/>
                <a:cs typeface="+mn-cs"/>
              </a:rPr>
              <a:t>SETTINGS</a:t>
            </a:r>
            <a:r>
              <a:rPr lang="ru-RU" sz="1400">
                <a:solidFill>
                  <a:schemeClr val="bg1"/>
                </a:solidFill>
                <a:latin typeface="+mn-lt"/>
                <a:ea typeface="+mn-ea"/>
                <a:cs typeface="+mn-cs"/>
              </a:rPr>
              <a:t> </a:t>
            </a:r>
            <a:r>
              <a:rPr lang="en-US" sz="1400">
                <a:solidFill>
                  <a:schemeClr val="bg1"/>
                </a:solidFill>
                <a:latin typeface="+mn-lt"/>
                <a:ea typeface="+mn-ea"/>
                <a:cs typeface="+mn-cs"/>
              </a:rPr>
              <a:t>APP</a:t>
            </a:r>
            <a:endParaRPr lang="ru-RU" sz="1400">
              <a:solidFill>
                <a:schemeClr val="bg1"/>
              </a:solidFill>
              <a:latin typeface="+mn-lt"/>
              <a:ea typeface="+mn-ea"/>
              <a:cs typeface="+mn-cs"/>
            </a:endParaRPr>
          </a:p>
        </xdr:txBody>
      </xdr:sp>
      <xdr:pic>
        <xdr:nvPicPr>
          <xdr:cNvPr id="73" name="Graphic 72" descr="Single gear with solid fill">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xmlns="" r:embed="rId21"/>
              </a:ext>
            </a:extLst>
          </a:blip>
          <a:stretch>
            <a:fillRect/>
          </a:stretch>
        </xdr:blipFill>
        <xdr:spPr>
          <a:xfrm>
            <a:off x="477495" y="3225677"/>
            <a:ext cx="292608" cy="293351"/>
          </a:xfrm>
          <a:prstGeom prst="rect">
            <a:avLst/>
          </a:prstGeom>
        </xdr:spPr>
      </xdr:pic>
    </xdr:grpSp>
    <xdr:clientData/>
  </xdr:twoCellAnchor>
  <xdr:twoCellAnchor>
    <xdr:from>
      <xdr:col>0</xdr:col>
      <xdr:colOff>313267</xdr:colOff>
      <xdr:row>19</xdr:row>
      <xdr:rowOff>115143</xdr:rowOff>
    </xdr:from>
    <xdr:to>
      <xdr:col>4</xdr:col>
      <xdr:colOff>137160</xdr:colOff>
      <xdr:row>21</xdr:row>
      <xdr:rowOff>176102</xdr:rowOff>
    </xdr:to>
    <xdr:grpSp>
      <xdr:nvGrpSpPr>
        <xdr:cNvPr id="125" name="Group 124">
          <a:hlinkClick xmlns:r="http://schemas.openxmlformats.org/officeDocument/2006/relationships" r:id="rId22"/>
          <a:extLst>
            <a:ext uri="{FF2B5EF4-FFF2-40B4-BE49-F238E27FC236}">
              <a16:creationId xmlns:a16="http://schemas.microsoft.com/office/drawing/2014/main" id="{00000000-0008-0000-0000-00007D000000}"/>
            </a:ext>
          </a:extLst>
        </xdr:cNvPr>
        <xdr:cNvGrpSpPr/>
      </xdr:nvGrpSpPr>
      <xdr:grpSpPr>
        <a:xfrm>
          <a:off x="313267" y="3620343"/>
          <a:ext cx="2528993" cy="422909"/>
          <a:chOff x="313267" y="3650823"/>
          <a:chExt cx="2262293" cy="426719"/>
        </a:xfrm>
      </xdr:grpSpPr>
      <xdr:sp macro="" textlink="">
        <xdr:nvSpPr>
          <xdr:cNvPr id="45" name="Rectangle 44">
            <a:extLst>
              <a:ext uri="{FF2B5EF4-FFF2-40B4-BE49-F238E27FC236}">
                <a16:creationId xmlns:a16="http://schemas.microsoft.com/office/drawing/2014/main" id="{00000000-0008-0000-0000-00002D000000}"/>
              </a:ext>
            </a:extLst>
          </xdr:cNvPr>
          <xdr:cNvSpPr/>
        </xdr:nvSpPr>
        <xdr:spPr>
          <a:xfrm>
            <a:off x="313267" y="3650823"/>
            <a:ext cx="2262293" cy="426719"/>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771167" y="3681303"/>
            <a:ext cx="1645920"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bg1"/>
                </a:solidFill>
                <a:latin typeface="+mn-lt"/>
                <a:ea typeface="+mn-ea"/>
                <a:cs typeface="+mn-cs"/>
              </a:rPr>
              <a:t>DATABASE</a:t>
            </a:r>
            <a:endParaRPr lang="ru-RU" sz="1400">
              <a:solidFill>
                <a:schemeClr val="bg1"/>
              </a:solidFill>
              <a:latin typeface="+mn-lt"/>
              <a:ea typeface="+mn-ea"/>
              <a:cs typeface="+mn-cs"/>
            </a:endParaRPr>
          </a:p>
        </xdr:txBody>
      </xdr:sp>
      <xdr:pic>
        <xdr:nvPicPr>
          <xdr:cNvPr id="75" name="Graphic 74" descr="Database with solid fill">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xmlns="" r:embed="rId24"/>
              </a:ext>
            </a:extLst>
          </a:blip>
          <a:stretch>
            <a:fillRect/>
          </a:stretch>
        </xdr:blipFill>
        <xdr:spPr>
          <a:xfrm>
            <a:off x="495403" y="3729712"/>
            <a:ext cx="248548" cy="252645"/>
          </a:xfrm>
          <a:prstGeom prst="rect">
            <a:avLst/>
          </a:prstGeom>
        </xdr:spPr>
      </xdr:pic>
    </xdr:grpSp>
    <xdr:clientData/>
  </xdr:twoCellAnchor>
  <xdr:twoCellAnchor>
    <xdr:from>
      <xdr:col>5</xdr:col>
      <xdr:colOff>17283</xdr:colOff>
      <xdr:row>0</xdr:row>
      <xdr:rowOff>226903</xdr:rowOff>
    </xdr:from>
    <xdr:to>
      <xdr:col>6</xdr:col>
      <xdr:colOff>363717</xdr:colOff>
      <xdr:row>2</xdr:row>
      <xdr:rowOff>106676</xdr:rowOff>
    </xdr:to>
    <xdr:sp macro="" textlink="Processing!C3">
      <xdr:nvSpPr>
        <xdr:cNvPr id="76" name="TextBox 75">
          <a:extLst>
            <a:ext uri="{FF2B5EF4-FFF2-40B4-BE49-F238E27FC236}">
              <a16:creationId xmlns:a16="http://schemas.microsoft.com/office/drawing/2014/main" id="{00000000-0008-0000-0000-00004C000000}"/>
            </a:ext>
          </a:extLst>
        </xdr:cNvPr>
        <xdr:cNvSpPr txBox="1"/>
      </xdr:nvSpPr>
      <xdr:spPr>
        <a:xfrm>
          <a:off x="3065283" y="226903"/>
          <a:ext cx="956034" cy="311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516D616-75F3-4686-9437-BD05B2977EE6}" type="TxLink">
            <a:rPr lang="en-US" sz="1200" b="0" i="0" u="none" strike="noStrike">
              <a:solidFill>
                <a:schemeClr val="bg1"/>
              </a:solidFill>
              <a:latin typeface="Aptos Narrow"/>
              <a:ea typeface="+mn-ea"/>
              <a:cs typeface="+mn-cs"/>
            </a:rPr>
            <a:pPr marL="0" indent="0" algn="ctr"/>
            <a:t>Sales Plan</a:t>
          </a:fld>
          <a:endParaRPr lang="ru-RU" sz="1600">
            <a:solidFill>
              <a:schemeClr val="bg1"/>
            </a:solidFill>
            <a:latin typeface="+mn-lt"/>
            <a:ea typeface="+mn-ea"/>
            <a:cs typeface="+mn-cs"/>
          </a:endParaRPr>
        </a:p>
      </xdr:txBody>
    </xdr:sp>
    <xdr:clientData/>
  </xdr:twoCellAnchor>
  <xdr:twoCellAnchor>
    <xdr:from>
      <xdr:col>6</xdr:col>
      <xdr:colOff>477023</xdr:colOff>
      <xdr:row>0</xdr:row>
      <xdr:rowOff>226903</xdr:rowOff>
    </xdr:from>
    <xdr:to>
      <xdr:col>8</xdr:col>
      <xdr:colOff>213857</xdr:colOff>
      <xdr:row>2</xdr:row>
      <xdr:rowOff>106676</xdr:rowOff>
    </xdr:to>
    <xdr:sp macro="" textlink="Processing!C5">
      <xdr:nvSpPr>
        <xdr:cNvPr id="77" name="TextBox 76">
          <a:extLst>
            <a:ext uri="{FF2B5EF4-FFF2-40B4-BE49-F238E27FC236}">
              <a16:creationId xmlns:a16="http://schemas.microsoft.com/office/drawing/2014/main" id="{00000000-0008-0000-0000-00004D000000}"/>
            </a:ext>
          </a:extLst>
        </xdr:cNvPr>
        <xdr:cNvSpPr txBox="1"/>
      </xdr:nvSpPr>
      <xdr:spPr>
        <a:xfrm>
          <a:off x="4134623" y="226903"/>
          <a:ext cx="956034" cy="311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2B0A272-EEED-4A90-82FE-764765951BC3}" type="TxLink">
            <a:rPr lang="en-US" sz="1200" b="0" i="0" u="none" strike="noStrike">
              <a:solidFill>
                <a:schemeClr val="bg1"/>
              </a:solidFill>
              <a:latin typeface="Aptos Narrow"/>
              <a:ea typeface="+mn-ea"/>
              <a:cs typeface="+mn-cs"/>
            </a:rPr>
            <a:pPr marL="0" indent="0" algn="ctr"/>
            <a:t>KPI</a:t>
          </a:fld>
          <a:endParaRPr lang="ru-RU" sz="1800">
            <a:solidFill>
              <a:schemeClr val="bg1"/>
            </a:solidFill>
            <a:latin typeface="+mn-lt"/>
            <a:ea typeface="+mn-ea"/>
            <a:cs typeface="+mn-cs"/>
          </a:endParaRPr>
        </a:p>
      </xdr:txBody>
    </xdr:sp>
    <xdr:clientData/>
  </xdr:twoCellAnchor>
  <xdr:twoCellAnchor>
    <xdr:from>
      <xdr:col>8</xdr:col>
      <xdr:colOff>327163</xdr:colOff>
      <xdr:row>0</xdr:row>
      <xdr:rowOff>226903</xdr:rowOff>
    </xdr:from>
    <xdr:to>
      <xdr:col>10</xdr:col>
      <xdr:colOff>63997</xdr:colOff>
      <xdr:row>2</xdr:row>
      <xdr:rowOff>106676</xdr:rowOff>
    </xdr:to>
    <xdr:sp macro="" textlink="Processing!C9">
      <xdr:nvSpPr>
        <xdr:cNvPr id="81" name="TextBox 80">
          <a:extLst>
            <a:ext uri="{FF2B5EF4-FFF2-40B4-BE49-F238E27FC236}">
              <a16:creationId xmlns:a16="http://schemas.microsoft.com/office/drawing/2014/main" id="{00000000-0008-0000-0000-000051000000}"/>
            </a:ext>
          </a:extLst>
        </xdr:cNvPr>
        <xdr:cNvSpPr txBox="1"/>
      </xdr:nvSpPr>
      <xdr:spPr>
        <a:xfrm>
          <a:off x="5203963" y="226903"/>
          <a:ext cx="956034" cy="311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3FAEDE6-D6B3-4EB6-9B8F-DBA0DF48ECB9}" type="TxLink">
            <a:rPr lang="en-US" sz="1200" b="0" i="0" u="none" strike="noStrike">
              <a:solidFill>
                <a:schemeClr val="bg1"/>
              </a:solidFill>
              <a:latin typeface="Aptos Narrow"/>
              <a:ea typeface="+mn-ea"/>
              <a:cs typeface="+mn-cs"/>
            </a:rPr>
            <a:pPr marL="0" indent="0" algn="ctr"/>
            <a:t>Margin</a:t>
          </a:fld>
          <a:endParaRPr lang="ru-RU" sz="1800">
            <a:solidFill>
              <a:schemeClr val="bg1"/>
            </a:solidFill>
            <a:latin typeface="+mn-lt"/>
            <a:ea typeface="+mn-ea"/>
            <a:cs typeface="+mn-cs"/>
          </a:endParaRPr>
        </a:p>
      </xdr:txBody>
    </xdr:sp>
    <xdr:clientData/>
  </xdr:twoCellAnchor>
  <xdr:twoCellAnchor>
    <xdr:from>
      <xdr:col>10</xdr:col>
      <xdr:colOff>177303</xdr:colOff>
      <xdr:row>0</xdr:row>
      <xdr:rowOff>226903</xdr:rowOff>
    </xdr:from>
    <xdr:to>
      <xdr:col>11</xdr:col>
      <xdr:colOff>523737</xdr:colOff>
      <xdr:row>2</xdr:row>
      <xdr:rowOff>106676</xdr:rowOff>
    </xdr:to>
    <xdr:sp macro="" textlink="Processing!C7">
      <xdr:nvSpPr>
        <xdr:cNvPr id="82" name="TextBox 81">
          <a:extLst>
            <a:ext uri="{FF2B5EF4-FFF2-40B4-BE49-F238E27FC236}">
              <a16:creationId xmlns:a16="http://schemas.microsoft.com/office/drawing/2014/main" id="{00000000-0008-0000-0000-000052000000}"/>
            </a:ext>
          </a:extLst>
        </xdr:cNvPr>
        <xdr:cNvSpPr txBox="1"/>
      </xdr:nvSpPr>
      <xdr:spPr>
        <a:xfrm>
          <a:off x="6273303" y="226903"/>
          <a:ext cx="956034" cy="311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FB5DD69-92E0-4764-A70C-F85A3F431C8D}" type="TxLink">
            <a:rPr lang="en-US" sz="1200" b="0" i="0" u="none" strike="noStrike">
              <a:solidFill>
                <a:schemeClr val="bg1"/>
              </a:solidFill>
              <a:latin typeface="Aptos Narrow"/>
              <a:ea typeface="+mn-ea"/>
              <a:cs typeface="+mn-cs"/>
            </a:rPr>
            <a:pPr marL="0" indent="0" algn="ctr"/>
            <a:t>Conversion</a:t>
          </a:fld>
          <a:endParaRPr lang="ru-RU" sz="1800">
            <a:solidFill>
              <a:schemeClr val="bg1"/>
            </a:solidFill>
            <a:latin typeface="+mn-lt"/>
            <a:ea typeface="+mn-ea"/>
            <a:cs typeface="+mn-cs"/>
          </a:endParaRPr>
        </a:p>
      </xdr:txBody>
    </xdr:sp>
    <xdr:clientData/>
  </xdr:twoCellAnchor>
  <xdr:twoCellAnchor>
    <xdr:from>
      <xdr:col>5</xdr:col>
      <xdr:colOff>17283</xdr:colOff>
      <xdr:row>4</xdr:row>
      <xdr:rowOff>32746</xdr:rowOff>
    </xdr:from>
    <xdr:to>
      <xdr:col>6</xdr:col>
      <xdr:colOff>363717</xdr:colOff>
      <xdr:row>6</xdr:row>
      <xdr:rowOff>37215</xdr:rowOff>
    </xdr:to>
    <xdr:sp macro="" textlink="Processing!C4">
      <xdr:nvSpPr>
        <xdr:cNvPr id="83" name="TextBox 82">
          <a:extLst>
            <a:ext uri="{FF2B5EF4-FFF2-40B4-BE49-F238E27FC236}">
              <a16:creationId xmlns:a16="http://schemas.microsoft.com/office/drawing/2014/main" id="{00000000-0008-0000-0000-000053000000}"/>
            </a:ext>
          </a:extLst>
        </xdr:cNvPr>
        <xdr:cNvSpPr txBox="1"/>
      </xdr:nvSpPr>
      <xdr:spPr>
        <a:xfrm>
          <a:off x="3065283" y="837079"/>
          <a:ext cx="956034" cy="377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AA1E6F2-66DF-432D-8303-6321EE4040C1}" type="TxLink">
            <a:rPr lang="en-US" sz="1500" b="0" i="0" u="none" strike="noStrike">
              <a:gradFill>
                <a:gsLst>
                  <a:gs pos="88000">
                    <a:srgbClr val="21E6DF"/>
                  </a:gs>
                  <a:gs pos="21000">
                    <a:srgbClr val="9F7EF8"/>
                  </a:gs>
                </a:gsLst>
                <a:lin ang="2400000" scaled="0"/>
              </a:gradFill>
              <a:latin typeface="Aptos Narrow"/>
              <a:ea typeface="+mn-ea"/>
              <a:cs typeface="+mn-cs"/>
            </a:rPr>
            <a:pPr marL="0" indent="0" algn="ctr"/>
            <a:t>98%</a:t>
          </a:fld>
          <a:endParaRPr lang="ru-RU" sz="1500">
            <a:gradFill>
              <a:gsLst>
                <a:gs pos="88000">
                  <a:srgbClr val="21E6DF"/>
                </a:gs>
                <a:gs pos="21000">
                  <a:srgbClr val="9F7EF8"/>
                </a:gs>
              </a:gsLst>
              <a:lin ang="2400000" scaled="0"/>
            </a:gradFill>
            <a:latin typeface="+mn-lt"/>
            <a:ea typeface="+mn-ea"/>
            <a:cs typeface="+mn-cs"/>
          </a:endParaRPr>
        </a:p>
      </xdr:txBody>
    </xdr:sp>
    <xdr:clientData/>
  </xdr:twoCellAnchor>
  <xdr:twoCellAnchor>
    <xdr:from>
      <xdr:col>6</xdr:col>
      <xdr:colOff>477023</xdr:colOff>
      <xdr:row>4</xdr:row>
      <xdr:rowOff>32746</xdr:rowOff>
    </xdr:from>
    <xdr:to>
      <xdr:col>8</xdr:col>
      <xdr:colOff>213857</xdr:colOff>
      <xdr:row>6</xdr:row>
      <xdr:rowOff>37215</xdr:rowOff>
    </xdr:to>
    <xdr:sp macro="" textlink="Processing!C6">
      <xdr:nvSpPr>
        <xdr:cNvPr id="84" name="TextBox 83">
          <a:extLst>
            <a:ext uri="{FF2B5EF4-FFF2-40B4-BE49-F238E27FC236}">
              <a16:creationId xmlns:a16="http://schemas.microsoft.com/office/drawing/2014/main" id="{00000000-0008-0000-0000-000054000000}"/>
            </a:ext>
          </a:extLst>
        </xdr:cNvPr>
        <xdr:cNvSpPr txBox="1"/>
      </xdr:nvSpPr>
      <xdr:spPr>
        <a:xfrm>
          <a:off x="4134623" y="837079"/>
          <a:ext cx="956034" cy="377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E87FDEB-8E1D-4C43-8A11-DE57702867CD}" type="TxLink">
            <a:rPr lang="en-US" sz="1500" b="0" i="0" u="none" strike="noStrike">
              <a:gradFill>
                <a:gsLst>
                  <a:gs pos="82000">
                    <a:srgbClr val="D36FF9"/>
                  </a:gs>
                  <a:gs pos="18000">
                    <a:srgbClr val="9F7EF8"/>
                  </a:gs>
                </a:gsLst>
                <a:lin ang="2400000" scaled="0"/>
              </a:gradFill>
              <a:latin typeface="Aptos Narrow"/>
              <a:ea typeface="+mn-ea"/>
              <a:cs typeface="+mn-cs"/>
            </a:rPr>
            <a:pPr marL="0" indent="0" algn="ctr"/>
            <a:t>87%</a:t>
          </a:fld>
          <a:endParaRPr lang="ru-RU" sz="1500">
            <a:gradFill>
              <a:gsLst>
                <a:gs pos="82000">
                  <a:srgbClr val="D36FF9"/>
                </a:gs>
                <a:gs pos="18000">
                  <a:srgbClr val="9F7EF8"/>
                </a:gs>
              </a:gsLst>
              <a:lin ang="2400000" scaled="0"/>
            </a:gradFill>
            <a:latin typeface="+mn-lt"/>
            <a:ea typeface="+mn-ea"/>
            <a:cs typeface="+mn-cs"/>
          </a:endParaRPr>
        </a:p>
      </xdr:txBody>
    </xdr:sp>
    <xdr:clientData/>
  </xdr:twoCellAnchor>
  <xdr:twoCellAnchor>
    <xdr:from>
      <xdr:col>8</xdr:col>
      <xdr:colOff>327163</xdr:colOff>
      <xdr:row>4</xdr:row>
      <xdr:rowOff>32746</xdr:rowOff>
    </xdr:from>
    <xdr:to>
      <xdr:col>10</xdr:col>
      <xdr:colOff>63997</xdr:colOff>
      <xdr:row>6</xdr:row>
      <xdr:rowOff>37215</xdr:rowOff>
    </xdr:to>
    <xdr:sp macro="" textlink="Processing!C10">
      <xdr:nvSpPr>
        <xdr:cNvPr id="85" name="TextBox 84">
          <a:extLst>
            <a:ext uri="{FF2B5EF4-FFF2-40B4-BE49-F238E27FC236}">
              <a16:creationId xmlns:a16="http://schemas.microsoft.com/office/drawing/2014/main" id="{00000000-0008-0000-0000-000055000000}"/>
            </a:ext>
          </a:extLst>
        </xdr:cNvPr>
        <xdr:cNvSpPr txBox="1"/>
      </xdr:nvSpPr>
      <xdr:spPr>
        <a:xfrm>
          <a:off x="5203963" y="837079"/>
          <a:ext cx="956034" cy="377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E853A3D-9249-45FD-BCC9-060D18590FF5}" type="TxLink">
            <a:rPr lang="en-US" sz="1500" b="0" i="0" u="none" strike="noStrike">
              <a:gradFill>
                <a:gsLst>
                  <a:gs pos="88000">
                    <a:srgbClr val="8AF2F0"/>
                  </a:gs>
                  <a:gs pos="21000">
                    <a:srgbClr val="9F7EF8"/>
                  </a:gs>
                </a:gsLst>
                <a:lin ang="2400000" scaled="0"/>
              </a:gradFill>
              <a:latin typeface="Aptos Narrow"/>
              <a:ea typeface="+mn-ea"/>
              <a:cs typeface="+mn-cs"/>
            </a:rPr>
            <a:pPr marL="0" indent="0" algn="ctr"/>
            <a:t>34%</a:t>
          </a:fld>
          <a:endParaRPr lang="ru-RU" sz="1500">
            <a:gradFill>
              <a:gsLst>
                <a:gs pos="88000">
                  <a:srgbClr val="8AF2F0"/>
                </a:gs>
                <a:gs pos="21000">
                  <a:srgbClr val="9F7EF8"/>
                </a:gs>
              </a:gsLst>
              <a:lin ang="2400000" scaled="0"/>
            </a:gradFill>
            <a:latin typeface="+mn-lt"/>
            <a:ea typeface="+mn-ea"/>
            <a:cs typeface="+mn-cs"/>
          </a:endParaRPr>
        </a:p>
      </xdr:txBody>
    </xdr:sp>
    <xdr:clientData/>
  </xdr:twoCellAnchor>
  <xdr:twoCellAnchor>
    <xdr:from>
      <xdr:col>10</xdr:col>
      <xdr:colOff>177303</xdr:colOff>
      <xdr:row>4</xdr:row>
      <xdr:rowOff>32746</xdr:rowOff>
    </xdr:from>
    <xdr:to>
      <xdr:col>11</xdr:col>
      <xdr:colOff>523737</xdr:colOff>
      <xdr:row>6</xdr:row>
      <xdr:rowOff>37215</xdr:rowOff>
    </xdr:to>
    <xdr:sp macro="" textlink="Processing!C8">
      <xdr:nvSpPr>
        <xdr:cNvPr id="86" name="TextBox 85">
          <a:extLst>
            <a:ext uri="{FF2B5EF4-FFF2-40B4-BE49-F238E27FC236}">
              <a16:creationId xmlns:a16="http://schemas.microsoft.com/office/drawing/2014/main" id="{00000000-0008-0000-0000-000056000000}"/>
            </a:ext>
          </a:extLst>
        </xdr:cNvPr>
        <xdr:cNvSpPr txBox="1"/>
      </xdr:nvSpPr>
      <xdr:spPr>
        <a:xfrm>
          <a:off x="6273303" y="837079"/>
          <a:ext cx="956034" cy="377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ACBB896-4F5F-4789-9D32-EDB0698272CB}" type="TxLink">
            <a:rPr lang="en-US" sz="1500" b="0" i="0" u="none" strike="noStrike">
              <a:gradFill>
                <a:gsLst>
                  <a:gs pos="82000">
                    <a:srgbClr val="D36FF9"/>
                  </a:gs>
                  <a:gs pos="18000">
                    <a:srgbClr val="F3ABFD"/>
                  </a:gs>
                </a:gsLst>
                <a:lin ang="2400000" scaled="0"/>
              </a:gradFill>
              <a:latin typeface="Aptos Narrow"/>
              <a:ea typeface="+mn-ea"/>
              <a:cs typeface="+mn-cs"/>
            </a:rPr>
            <a:pPr marL="0" indent="0" algn="ctr"/>
            <a:t>70%</a:t>
          </a:fld>
          <a:endParaRPr lang="ru-RU" sz="1500">
            <a:gradFill>
              <a:gsLst>
                <a:gs pos="82000">
                  <a:srgbClr val="D36FF9"/>
                </a:gs>
                <a:gs pos="18000">
                  <a:srgbClr val="F3ABFD"/>
                </a:gs>
              </a:gsLst>
              <a:lin ang="2400000" scaled="0"/>
            </a:gradFill>
            <a:latin typeface="+mn-lt"/>
            <a:ea typeface="+mn-ea"/>
            <a:cs typeface="+mn-cs"/>
          </a:endParaRPr>
        </a:p>
      </xdr:txBody>
    </xdr:sp>
    <xdr:clientData/>
  </xdr:twoCellAnchor>
  <xdr:twoCellAnchor editAs="oneCell">
    <xdr:from>
      <xdr:col>12</xdr:col>
      <xdr:colOff>228600</xdr:colOff>
      <xdr:row>0</xdr:row>
      <xdr:rowOff>121920</xdr:rowOff>
    </xdr:from>
    <xdr:to>
      <xdr:col>15</xdr:col>
      <xdr:colOff>228600</xdr:colOff>
      <xdr:row>2</xdr:row>
      <xdr:rowOff>114299</xdr:rowOff>
    </xdr:to>
    <mc:AlternateContent xmlns:mc="http://schemas.openxmlformats.org/markup-compatibility/2006" xmlns:a14="http://schemas.microsoft.com/office/drawing/2010/main">
      <mc:Choice Requires="a14">
        <xdr:graphicFrame macro="">
          <xdr:nvGraphicFramePr>
            <xdr:cNvPr id="17" name="Year">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543800" y="121920"/>
              <a:ext cx="1828800" cy="419099"/>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419100</xdr:colOff>
      <xdr:row>19</xdr:row>
      <xdr:rowOff>137160</xdr:rowOff>
    </xdr:from>
    <xdr:to>
      <xdr:col>15</xdr:col>
      <xdr:colOff>237744</xdr:colOff>
      <xdr:row>22</xdr:row>
      <xdr:rowOff>15240</xdr:rowOff>
    </xdr:to>
    <xdr:grpSp>
      <xdr:nvGrpSpPr>
        <xdr:cNvPr id="67" name="Group 66">
          <a:extLst>
            <a:ext uri="{FF2B5EF4-FFF2-40B4-BE49-F238E27FC236}">
              <a16:creationId xmlns:a16="http://schemas.microsoft.com/office/drawing/2014/main" id="{00000000-0008-0000-0000-000043000000}"/>
            </a:ext>
          </a:extLst>
        </xdr:cNvPr>
        <xdr:cNvGrpSpPr/>
      </xdr:nvGrpSpPr>
      <xdr:grpSpPr>
        <a:xfrm>
          <a:off x="3124200" y="3642360"/>
          <a:ext cx="7257669" cy="421005"/>
          <a:chOff x="2857500" y="3672840"/>
          <a:chExt cx="6524244" cy="426720"/>
        </a:xfrm>
      </xdr:grpSpPr>
      <xdr:sp macro="" textlink="">
        <xdr:nvSpPr>
          <xdr:cNvPr id="52" name="Rectangle 51">
            <a:extLst>
              <a:ext uri="{FF2B5EF4-FFF2-40B4-BE49-F238E27FC236}">
                <a16:creationId xmlns:a16="http://schemas.microsoft.com/office/drawing/2014/main" id="{00000000-0008-0000-0000-000034000000}"/>
              </a:ext>
            </a:extLst>
          </xdr:cNvPr>
          <xdr:cNvSpPr/>
        </xdr:nvSpPr>
        <xdr:spPr>
          <a:xfrm>
            <a:off x="3421380" y="3672840"/>
            <a:ext cx="5960364" cy="426720"/>
          </a:xfrm>
          <a:prstGeom prst="rect">
            <a:avLst/>
          </a:prstGeom>
          <a:solidFill>
            <a:srgbClr val="181C2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mc:AlternateContent xmlns:mc="http://schemas.openxmlformats.org/markup-compatibility/2006" xmlns:a14="http://schemas.microsoft.com/office/drawing/2010/main">
        <mc:Choice Requires="a14">
          <xdr:graphicFrame macro="">
            <xdr:nvGraphicFramePr>
              <xdr:cNvPr id="47" name="Name Month">
                <a:extLst>
                  <a:ext uri="{FF2B5EF4-FFF2-40B4-BE49-F238E27FC236}">
                    <a16:creationId xmlns:a16="http://schemas.microsoft.com/office/drawing/2014/main" id="{00000000-0008-0000-0000-00002F000000}"/>
                  </a:ext>
                </a:extLst>
              </xdr:cNvPr>
              <xdr:cNvGraphicFramePr/>
            </xdr:nvGraphicFramePr>
            <xdr:xfrm>
              <a:off x="3390900" y="3718560"/>
              <a:ext cx="5783580" cy="365760"/>
            </xdr:xfrm>
            <a:graphic>
              <a:graphicData uri="http://schemas.microsoft.com/office/drawing/2010/slicer">
                <sle:slicer xmlns:sle="http://schemas.microsoft.com/office/drawing/2010/slicer" name="Name Month"/>
              </a:graphicData>
            </a:graphic>
          </xdr:graphicFrame>
        </mc:Choice>
        <mc:Fallback xmlns="">
          <xdr:sp macro="" textlink="">
            <xdr:nvSpPr>
              <xdr:cNvPr id="0" name=""/>
              <xdr:cNvSpPr>
                <a:spLocks noTextEdit="1"/>
              </xdr:cNvSpPr>
            </xdr:nvSpPr>
            <xdr:spPr>
              <a:xfrm>
                <a:off x="3390900" y="3718560"/>
                <a:ext cx="5783580" cy="36576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65" name="Rectangle 64">
            <a:extLst>
              <a:ext uri="{FF2B5EF4-FFF2-40B4-BE49-F238E27FC236}">
                <a16:creationId xmlns:a16="http://schemas.microsoft.com/office/drawing/2014/main" id="{00000000-0008-0000-0000-000041000000}"/>
              </a:ext>
            </a:extLst>
          </xdr:cNvPr>
          <xdr:cNvSpPr/>
        </xdr:nvSpPr>
        <xdr:spPr>
          <a:xfrm>
            <a:off x="2857500" y="3672840"/>
            <a:ext cx="617219" cy="426720"/>
          </a:xfrm>
          <a:prstGeom prst="rect">
            <a:avLst/>
          </a:prstGeom>
          <a:gradFill>
            <a:gsLst>
              <a:gs pos="0">
                <a:srgbClr val="222632"/>
              </a:gs>
              <a:gs pos="86000">
                <a:srgbClr val="181C28"/>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12</xdr:col>
      <xdr:colOff>385354</xdr:colOff>
      <xdr:row>2</xdr:row>
      <xdr:rowOff>175260</xdr:rowOff>
    </xdr:from>
    <xdr:to>
      <xdr:col>15</xdr:col>
      <xdr:colOff>240030</xdr:colOff>
      <xdr:row>8</xdr:row>
      <xdr:rowOff>72390</xdr:rowOff>
    </xdr:to>
    <xdr:grpSp>
      <xdr:nvGrpSpPr>
        <xdr:cNvPr id="90" name="Group 89">
          <a:extLst>
            <a:ext uri="{FF2B5EF4-FFF2-40B4-BE49-F238E27FC236}">
              <a16:creationId xmlns:a16="http://schemas.microsoft.com/office/drawing/2014/main" id="{00000000-0008-0000-0000-00005A000000}"/>
            </a:ext>
          </a:extLst>
        </xdr:cNvPr>
        <xdr:cNvGrpSpPr/>
      </xdr:nvGrpSpPr>
      <xdr:grpSpPr>
        <a:xfrm>
          <a:off x="8500654" y="594360"/>
          <a:ext cx="1883501" cy="992505"/>
          <a:chOff x="7700554" y="601980"/>
          <a:chExt cx="1683476" cy="994410"/>
        </a:xfrm>
      </xdr:grpSpPr>
      <xdr:sp macro="" textlink="Processing!$E$1">
        <xdr:nvSpPr>
          <xdr:cNvPr id="69" name="TextBox 68">
            <a:extLst>
              <a:ext uri="{FF2B5EF4-FFF2-40B4-BE49-F238E27FC236}">
                <a16:creationId xmlns:a16="http://schemas.microsoft.com/office/drawing/2014/main" id="{00000000-0008-0000-0000-000045000000}"/>
              </a:ext>
            </a:extLst>
          </xdr:cNvPr>
          <xdr:cNvSpPr txBox="1"/>
        </xdr:nvSpPr>
        <xdr:spPr>
          <a:xfrm rot="5400000">
            <a:off x="8763000" y="449580"/>
            <a:ext cx="468630" cy="77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8C50FE-8B5A-4CA6-A199-16317AE571F9}" type="TxLink">
              <a:rPr lang="en-US" sz="3200" b="0" i="0" u="none" strike="noStrike">
                <a:blipFill>
                  <a:blip xmlns:r="http://schemas.openxmlformats.org/officeDocument/2006/relationships" r:embed="rId25">
                    <a:extLst>
                      <a:ext uri="{96DAC541-7B7A-43D3-8B79-37D633B846F1}">
                        <asvg:svgBlip xmlns:asvg="http://schemas.microsoft.com/office/drawing/2016/SVG/main" xmlns="" r:embed="rId26"/>
                      </a:ext>
                    </a:extLst>
                  </a:blip>
                  <a:stretch>
                    <a:fillRect/>
                  </a:stretch>
                </a:blipFill>
                <a:latin typeface="Arial" panose="020B0604020202020204" pitchFamily="34" charset="0"/>
                <a:cs typeface="Arial" panose="020B0604020202020204" pitchFamily="34" charset="0"/>
              </a:rPr>
              <a:pPr algn="ctr"/>
              <a:t>█</a:t>
            </a:fld>
            <a:endParaRPr lang="ru-RU" sz="3200">
              <a:blipFill>
                <a:blip xmlns:r="http://schemas.openxmlformats.org/officeDocument/2006/relationships" r:embed="rId25">
                  <a:extLst>
                    <a:ext uri="{96DAC541-7B7A-43D3-8B79-37D633B846F1}">
                      <asvg:svgBlip xmlns:asvg="http://schemas.microsoft.com/office/drawing/2016/SVG/main" xmlns="" r:embed="rId26"/>
                    </a:ext>
                  </a:extLst>
                </a:blip>
                <a:stretch>
                  <a:fillRect/>
                </a:stretch>
              </a:blipFill>
              <a:latin typeface="Arial" panose="020B0604020202020204" pitchFamily="34" charset="0"/>
              <a:cs typeface="Arial" panose="020B0604020202020204" pitchFamily="34" charset="0"/>
            </a:endParaRPr>
          </a:p>
        </xdr:txBody>
      </xdr:sp>
      <xdr:sp macro="" textlink="Processing!$F$1">
        <xdr:nvSpPr>
          <xdr:cNvPr id="72" name="TextBox 71">
            <a:extLst>
              <a:ext uri="{FF2B5EF4-FFF2-40B4-BE49-F238E27FC236}">
                <a16:creationId xmlns:a16="http://schemas.microsoft.com/office/drawing/2014/main" id="{00000000-0008-0000-0000-000048000000}"/>
              </a:ext>
            </a:extLst>
          </xdr:cNvPr>
          <xdr:cNvSpPr txBox="1"/>
        </xdr:nvSpPr>
        <xdr:spPr>
          <a:xfrm rot="5400000">
            <a:off x="8763000" y="975360"/>
            <a:ext cx="468630" cy="77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DB755B-5502-43D7-A499-5DBAF9ECE3B2}" type="TxLink">
              <a:rPr lang="en-US" sz="3200" b="0" i="0" u="none" strike="noStrike">
                <a:blipFill>
                  <a:blip xmlns:r="http://schemas.openxmlformats.org/officeDocument/2006/relationships" r:embed="rId27">
                    <a:extLst>
                      <a:ext uri="{96DAC541-7B7A-43D3-8B79-37D633B846F1}">
                        <asvg:svgBlip xmlns:asvg="http://schemas.microsoft.com/office/drawing/2016/SVG/main" xmlns="" r:embed="rId28"/>
                      </a:ext>
                    </a:extLst>
                  </a:blip>
                  <a:stretch>
                    <a:fillRect/>
                  </a:stretch>
                </a:blipFill>
                <a:latin typeface="Arial" panose="020B0604020202020204" pitchFamily="34" charset="0"/>
                <a:cs typeface="Arial" panose="020B0604020202020204" pitchFamily="34" charset="0"/>
              </a:rPr>
              <a:pPr algn="ctr"/>
              <a:t>█</a:t>
            </a:fld>
            <a:endParaRPr lang="ru-RU" sz="3200">
              <a:blipFill>
                <a:blip xmlns:r="http://schemas.openxmlformats.org/officeDocument/2006/relationships" r:embed="rId27">
                  <a:extLst>
                    <a:ext uri="{96DAC541-7B7A-43D3-8B79-37D633B846F1}">
                      <asvg:svgBlip xmlns:asvg="http://schemas.microsoft.com/office/drawing/2016/SVG/main" xmlns="" r:embed="rId28"/>
                    </a:ext>
                  </a:extLst>
                </a:blip>
                <a:stretch>
                  <a:fillRect/>
                </a:stretch>
              </a:blipFill>
              <a:latin typeface="Arial" panose="020B0604020202020204" pitchFamily="34" charset="0"/>
              <a:cs typeface="Arial" panose="020B0604020202020204" pitchFamily="34" charset="0"/>
            </a:endParaRPr>
          </a:p>
        </xdr:txBody>
      </xdr:sp>
      <xdr:sp macro="" textlink="Processing!$E$2">
        <xdr:nvSpPr>
          <xdr:cNvPr id="74" name="TextBox 73">
            <a:extLst>
              <a:ext uri="{FF2B5EF4-FFF2-40B4-BE49-F238E27FC236}">
                <a16:creationId xmlns:a16="http://schemas.microsoft.com/office/drawing/2014/main" id="{00000000-0008-0000-0000-00004A000000}"/>
              </a:ext>
            </a:extLst>
          </xdr:cNvPr>
          <xdr:cNvSpPr txBox="1"/>
        </xdr:nvSpPr>
        <xdr:spPr>
          <a:xfrm rot="5400000">
            <a:off x="8740140" y="449580"/>
            <a:ext cx="468630" cy="77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1C9E98-D9E4-48F3-994F-69B88C07C4E1}" type="TxLink">
              <a:rPr lang="en-US" sz="3200" b="0" i="0" u="none" strike="noStrike">
                <a:blipFill>
                  <a:blip xmlns:r="http://schemas.openxmlformats.org/officeDocument/2006/relationships" r:embed="rId29">
                    <a:extLst>
                      <a:ext uri="{96DAC541-7B7A-43D3-8B79-37D633B846F1}">
                        <asvg:svgBlip xmlns:asvg="http://schemas.microsoft.com/office/drawing/2016/SVG/main" xmlns="" r:embed="rId30"/>
                      </a:ext>
                    </a:extLst>
                  </a:blip>
                  <a:stretch>
                    <a:fillRect/>
                  </a:stretch>
                </a:blipFill>
                <a:latin typeface="Aptos Narrow"/>
                <a:cs typeface="Arial" panose="020B0604020202020204" pitchFamily="34" charset="0"/>
              </a:rPr>
              <a:pPr algn="ctr"/>
              <a:t> </a:t>
            </a:fld>
            <a:endParaRPr lang="ru-RU" sz="3200">
              <a:blipFill>
                <a:blip xmlns:r="http://schemas.openxmlformats.org/officeDocument/2006/relationships" r:embed="rId29">
                  <a:extLst>
                    <a:ext uri="{96DAC541-7B7A-43D3-8B79-37D633B846F1}">
                      <asvg:svgBlip xmlns:asvg="http://schemas.microsoft.com/office/drawing/2016/SVG/main" xmlns="" r:embed="rId30"/>
                    </a:ext>
                  </a:extLst>
                </a:blip>
                <a:stretch>
                  <a:fillRect/>
                </a:stretch>
              </a:blipFill>
              <a:latin typeface="Arial" panose="020B0604020202020204" pitchFamily="34" charset="0"/>
              <a:cs typeface="Arial" panose="020B0604020202020204" pitchFamily="34" charset="0"/>
            </a:endParaRPr>
          </a:p>
        </xdr:txBody>
      </xdr:sp>
      <xdr:sp macro="" textlink="Processing!$F$2">
        <xdr:nvSpPr>
          <xdr:cNvPr id="89" name="TextBox 88">
            <a:extLst>
              <a:ext uri="{FF2B5EF4-FFF2-40B4-BE49-F238E27FC236}">
                <a16:creationId xmlns:a16="http://schemas.microsoft.com/office/drawing/2014/main" id="{00000000-0008-0000-0000-000059000000}"/>
              </a:ext>
            </a:extLst>
          </xdr:cNvPr>
          <xdr:cNvSpPr txBox="1"/>
        </xdr:nvSpPr>
        <xdr:spPr>
          <a:xfrm rot="5400000">
            <a:off x="8740140" y="975360"/>
            <a:ext cx="468630" cy="77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728D50-5FA4-45AB-AB0C-48FDA6DBCDB5}" type="TxLink">
              <a:rPr lang="en-US" sz="3200" b="0" i="0" u="none" strike="noStrike">
                <a:blipFill>
                  <a:blip xmlns:r="http://schemas.openxmlformats.org/officeDocument/2006/relationships" r:embed="rId29">
                    <a:extLst>
                      <a:ext uri="{96DAC541-7B7A-43D3-8B79-37D633B846F1}">
                        <asvg:svgBlip xmlns:asvg="http://schemas.microsoft.com/office/drawing/2016/SVG/main" xmlns="" r:embed="rId30"/>
                      </a:ext>
                    </a:extLst>
                  </a:blip>
                  <a:stretch>
                    <a:fillRect/>
                  </a:stretch>
                </a:blipFill>
                <a:latin typeface="Aptos Narrow"/>
                <a:cs typeface="Arial" panose="020B0604020202020204" pitchFamily="34" charset="0"/>
              </a:rPr>
              <a:pPr algn="ctr"/>
              <a:t> </a:t>
            </a:fld>
            <a:endParaRPr lang="ru-RU" sz="3200">
              <a:blipFill>
                <a:blip xmlns:r="http://schemas.openxmlformats.org/officeDocument/2006/relationships" r:embed="rId29">
                  <a:extLst>
                    <a:ext uri="{96DAC541-7B7A-43D3-8B79-37D633B846F1}">
                      <asvg:svgBlip xmlns:asvg="http://schemas.microsoft.com/office/drawing/2016/SVG/main" xmlns="" r:embed="rId30"/>
                    </a:ext>
                  </a:extLst>
                </a:blip>
                <a:stretch>
                  <a:fillRect/>
                </a:stretch>
              </a:blipFill>
              <a:latin typeface="Arial" panose="020B0604020202020204" pitchFamily="34" charset="0"/>
              <a:cs typeface="Arial" panose="020B0604020202020204" pitchFamily="34" charset="0"/>
            </a:endParaRPr>
          </a:p>
        </xdr:txBody>
      </xdr:sp>
      <mc:AlternateContent xmlns:mc="http://schemas.openxmlformats.org/markup-compatibility/2006">
        <mc:Choice xmlns:a14="http://schemas.microsoft.com/office/drawing/2010/main" Requires="a14">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7780020" y="723900"/>
                <a:ext cx="1394460" cy="2209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7780020" y="1257300"/>
                <a:ext cx="1394460" cy="2209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grpSp>
        <xdr:nvGrpSpPr>
          <xdr:cNvPr id="33" name="Group 32">
            <a:extLst>
              <a:ext uri="{FF2B5EF4-FFF2-40B4-BE49-F238E27FC236}">
                <a16:creationId xmlns:a16="http://schemas.microsoft.com/office/drawing/2014/main" id="{00000000-0008-0000-0000-000021000000}"/>
              </a:ext>
            </a:extLst>
          </xdr:cNvPr>
          <xdr:cNvGrpSpPr/>
        </xdr:nvGrpSpPr>
        <xdr:grpSpPr>
          <a:xfrm>
            <a:off x="7700554" y="693420"/>
            <a:ext cx="274320" cy="274320"/>
            <a:chOff x="7654834" y="653142"/>
            <a:chExt cx="357051" cy="362495"/>
          </a:xfrm>
        </xdr:grpSpPr>
        <xdr:sp macro="" textlink="">
          <xdr:nvSpPr>
            <xdr:cNvPr id="30" name="Oval 29">
              <a:extLst>
                <a:ext uri="{FF2B5EF4-FFF2-40B4-BE49-F238E27FC236}">
                  <a16:creationId xmlns:a16="http://schemas.microsoft.com/office/drawing/2014/main" id="{00000000-0008-0000-0000-00001E000000}"/>
                </a:ext>
              </a:extLst>
            </xdr:cNvPr>
            <xdr:cNvSpPr/>
          </xdr:nvSpPr>
          <xdr:spPr>
            <a:xfrm>
              <a:off x="7654834" y="653142"/>
              <a:ext cx="357051" cy="357051"/>
            </a:xfrm>
            <a:prstGeom prst="ellipse">
              <a:avLst/>
            </a:prstGeom>
            <a:gradFill flip="none" rotWithShape="1">
              <a:gsLst>
                <a:gs pos="0">
                  <a:schemeClr val="bg1"/>
                </a:gs>
                <a:gs pos="35000">
                  <a:srgbClr val="FBE6FE"/>
                </a:gs>
                <a:gs pos="100000">
                  <a:schemeClr val="accent5">
                    <a:lumMod val="100000"/>
                  </a:schemeClr>
                </a:gs>
              </a:gsLst>
              <a:path path="circle">
                <a:fillToRect l="50000" t="-80000" r="50000" b="18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pic>
          <xdr:nvPicPr>
            <xdr:cNvPr id="27" name="Graphic 26" descr="Continuous Improvement with solid fill">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 uri="{96DAC541-7B7A-43D3-8B79-37D633B846F1}">
                  <asvg:svgBlip xmlns:asvg="http://schemas.microsoft.com/office/drawing/2016/SVG/main" xmlns="" r:embed="rId32"/>
                </a:ext>
              </a:extLst>
            </a:blip>
            <a:stretch>
              <a:fillRect/>
            </a:stretch>
          </xdr:blipFill>
          <xdr:spPr>
            <a:xfrm>
              <a:off x="7658099" y="665117"/>
              <a:ext cx="350520" cy="350520"/>
            </a:xfrm>
            <a:prstGeom prst="rect">
              <a:avLst/>
            </a:prstGeom>
          </xdr:spPr>
        </xdr:pic>
      </xdr:grpSp>
      <xdr:grpSp>
        <xdr:nvGrpSpPr>
          <xdr:cNvPr id="32" name="Group 31">
            <a:extLst>
              <a:ext uri="{FF2B5EF4-FFF2-40B4-BE49-F238E27FC236}">
                <a16:creationId xmlns:a16="http://schemas.microsoft.com/office/drawing/2014/main" id="{00000000-0008-0000-0000-000020000000}"/>
              </a:ext>
            </a:extLst>
          </xdr:cNvPr>
          <xdr:cNvGrpSpPr/>
        </xdr:nvGrpSpPr>
        <xdr:grpSpPr>
          <a:xfrm>
            <a:off x="7700554" y="1234440"/>
            <a:ext cx="274320" cy="274320"/>
            <a:chOff x="7654834" y="1188719"/>
            <a:chExt cx="357051" cy="357051"/>
          </a:xfrm>
        </xdr:grpSpPr>
        <xdr:sp macro="" textlink="">
          <xdr:nvSpPr>
            <xdr:cNvPr id="31" name="Oval 30">
              <a:extLst>
                <a:ext uri="{FF2B5EF4-FFF2-40B4-BE49-F238E27FC236}">
                  <a16:creationId xmlns:a16="http://schemas.microsoft.com/office/drawing/2014/main" id="{00000000-0008-0000-0000-00001F000000}"/>
                </a:ext>
              </a:extLst>
            </xdr:cNvPr>
            <xdr:cNvSpPr/>
          </xdr:nvSpPr>
          <xdr:spPr>
            <a:xfrm>
              <a:off x="7654834" y="1188719"/>
              <a:ext cx="357051" cy="357051"/>
            </a:xfrm>
            <a:prstGeom prst="ellipse">
              <a:avLst/>
            </a:prstGeom>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pic>
          <xdr:nvPicPr>
            <xdr:cNvPr id="29" name="Graphic 28" descr="Store with solid fill">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 uri="{96DAC541-7B7A-43D3-8B79-37D633B846F1}">
                  <asvg:svgBlip xmlns:asvg="http://schemas.microsoft.com/office/drawing/2016/SVG/main" xmlns="" r:embed="rId34"/>
                </a:ext>
              </a:extLst>
            </a:blip>
            <a:stretch>
              <a:fillRect/>
            </a:stretch>
          </xdr:blipFill>
          <xdr:spPr>
            <a:xfrm>
              <a:off x="7696199" y="1230084"/>
              <a:ext cx="274320" cy="274320"/>
            </a:xfrm>
            <a:prstGeom prst="rect">
              <a:avLst/>
            </a:prstGeom>
          </xdr:spPr>
        </xdr:pic>
      </xdr:grpSp>
    </xdr:grpSp>
    <xdr:clientData/>
  </xdr:twoCellAnchor>
  <xdr:twoCellAnchor>
    <xdr:from>
      <xdr:col>4</xdr:col>
      <xdr:colOff>581163</xdr:colOff>
      <xdr:row>9</xdr:row>
      <xdr:rowOff>127843</xdr:rowOff>
    </xdr:from>
    <xdr:to>
      <xdr:col>6</xdr:col>
      <xdr:colOff>317997</xdr:colOff>
      <xdr:row>11</xdr:row>
      <xdr:rowOff>68576</xdr:rowOff>
    </xdr:to>
    <xdr:sp macro="" textlink="Processing!AB31">
      <xdr:nvSpPr>
        <xdr:cNvPr id="56" name="TextBox 55">
          <a:extLst>
            <a:ext uri="{FF2B5EF4-FFF2-40B4-BE49-F238E27FC236}">
              <a16:creationId xmlns:a16="http://schemas.microsoft.com/office/drawing/2014/main" id="{00000000-0008-0000-0000-000038000000}"/>
            </a:ext>
          </a:extLst>
        </xdr:cNvPr>
        <xdr:cNvSpPr txBox="1"/>
      </xdr:nvSpPr>
      <xdr:spPr>
        <a:xfrm>
          <a:off x="3019563" y="183472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C42051D5-2D13-48A8-80EA-D3C4DC029891}" type="TxLink">
            <a:rPr lang="en-US" sz="1100" b="0" i="0" u="none" strike="noStrike">
              <a:solidFill>
                <a:srgbClr val="D36FF9"/>
              </a:solidFill>
              <a:latin typeface="Aptos Narrow"/>
              <a:ea typeface="+mn-ea"/>
              <a:cs typeface="+mn-cs"/>
            </a:rPr>
            <a:pPr marL="0" indent="0" algn="l"/>
            <a:t>6,401</a:t>
          </a:fld>
          <a:endParaRPr lang="ru-RU" sz="1600">
            <a:solidFill>
              <a:srgbClr val="D36FF9"/>
            </a:solidFill>
            <a:latin typeface="+mn-lt"/>
            <a:ea typeface="+mn-ea"/>
            <a:cs typeface="+mn-cs"/>
          </a:endParaRPr>
        </a:p>
      </xdr:txBody>
    </xdr:sp>
    <xdr:clientData/>
  </xdr:twoCellAnchor>
  <xdr:twoCellAnchor>
    <xdr:from>
      <xdr:col>5</xdr:col>
      <xdr:colOff>436383</xdr:colOff>
      <xdr:row>9</xdr:row>
      <xdr:rowOff>127843</xdr:rowOff>
    </xdr:from>
    <xdr:to>
      <xdr:col>7</xdr:col>
      <xdr:colOff>173217</xdr:colOff>
      <xdr:row>11</xdr:row>
      <xdr:rowOff>68576</xdr:rowOff>
    </xdr:to>
    <xdr:sp macro="" textlink="Processing!AC31">
      <xdr:nvSpPr>
        <xdr:cNvPr id="60" name="TextBox 59">
          <a:extLst>
            <a:ext uri="{FF2B5EF4-FFF2-40B4-BE49-F238E27FC236}">
              <a16:creationId xmlns:a16="http://schemas.microsoft.com/office/drawing/2014/main" id="{00000000-0008-0000-0000-00003C000000}"/>
            </a:ext>
          </a:extLst>
        </xdr:cNvPr>
        <xdr:cNvSpPr txBox="1"/>
      </xdr:nvSpPr>
      <xdr:spPr>
        <a:xfrm>
          <a:off x="3484383" y="183472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4218FAB5-BBE5-45ED-ADCE-06969E8FC56F}" type="TxLink">
            <a:rPr lang="en-US" sz="1100" b="0" i="0" u="none" strike="noStrike">
              <a:solidFill>
                <a:srgbClr val="21E6DF"/>
              </a:solidFill>
              <a:latin typeface="Aptos Narrow"/>
              <a:ea typeface="+mn-ea"/>
              <a:cs typeface="+mn-cs"/>
            </a:rPr>
            <a:pPr marL="0" indent="0" algn="l"/>
            <a:t>7,432</a:t>
          </a:fld>
          <a:endParaRPr lang="ru-RU" sz="1600">
            <a:solidFill>
              <a:srgbClr val="21E6DF"/>
            </a:solidFill>
            <a:latin typeface="+mn-lt"/>
            <a:ea typeface="+mn-ea"/>
            <a:cs typeface="+mn-cs"/>
          </a:endParaRPr>
        </a:p>
      </xdr:txBody>
    </xdr:sp>
    <xdr:clientData/>
  </xdr:twoCellAnchor>
  <xdr:twoCellAnchor>
    <xdr:from>
      <xdr:col>12</xdr:col>
      <xdr:colOff>215403</xdr:colOff>
      <xdr:row>9</xdr:row>
      <xdr:rowOff>127843</xdr:rowOff>
    </xdr:from>
    <xdr:to>
      <xdr:col>13</xdr:col>
      <xdr:colOff>561837</xdr:colOff>
      <xdr:row>11</xdr:row>
      <xdr:rowOff>68576</xdr:rowOff>
    </xdr:to>
    <xdr:sp macro="" textlink="Processing!Z31">
      <xdr:nvSpPr>
        <xdr:cNvPr id="61" name="TextBox 60">
          <a:extLst>
            <a:ext uri="{FF2B5EF4-FFF2-40B4-BE49-F238E27FC236}">
              <a16:creationId xmlns:a16="http://schemas.microsoft.com/office/drawing/2014/main" id="{00000000-0008-0000-0000-00003D000000}"/>
            </a:ext>
          </a:extLst>
        </xdr:cNvPr>
        <xdr:cNvSpPr txBox="1"/>
      </xdr:nvSpPr>
      <xdr:spPr>
        <a:xfrm>
          <a:off x="7530603" y="183472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A8474DBE-86F9-49C3-B286-9CF1FAA0207C}" type="TxLink">
            <a:rPr lang="en-US" sz="1100" b="0" i="0" u="none" strike="noStrike">
              <a:solidFill>
                <a:schemeClr val="bg1">
                  <a:lumMod val="95000"/>
                </a:schemeClr>
              </a:solidFill>
              <a:latin typeface="Aptos Narrow"/>
              <a:ea typeface="+mn-ea"/>
              <a:cs typeface="+mn-cs"/>
            </a:rPr>
            <a:pPr marL="0" indent="0" algn="r"/>
            <a:t>TOTAL:</a:t>
          </a:fld>
          <a:endParaRPr lang="ru-RU" sz="1600">
            <a:solidFill>
              <a:schemeClr val="bg1">
                <a:lumMod val="95000"/>
              </a:schemeClr>
            </a:solidFill>
            <a:latin typeface="+mn-lt"/>
            <a:ea typeface="+mn-ea"/>
            <a:cs typeface="+mn-cs"/>
          </a:endParaRPr>
        </a:p>
      </xdr:txBody>
    </xdr:sp>
    <xdr:clientData/>
  </xdr:twoCellAnchor>
  <xdr:twoCellAnchor>
    <xdr:from>
      <xdr:col>13</xdr:col>
      <xdr:colOff>184923</xdr:colOff>
      <xdr:row>9</xdr:row>
      <xdr:rowOff>120223</xdr:rowOff>
    </xdr:from>
    <xdr:to>
      <xdr:col>14</xdr:col>
      <xdr:colOff>531357</xdr:colOff>
      <xdr:row>11</xdr:row>
      <xdr:rowOff>60956</xdr:rowOff>
    </xdr:to>
    <xdr:sp macro="" textlink="Processing!AA31">
      <xdr:nvSpPr>
        <xdr:cNvPr id="62" name="TextBox 61">
          <a:extLst>
            <a:ext uri="{FF2B5EF4-FFF2-40B4-BE49-F238E27FC236}">
              <a16:creationId xmlns:a16="http://schemas.microsoft.com/office/drawing/2014/main" id="{00000000-0008-0000-0000-00003E000000}"/>
            </a:ext>
          </a:extLst>
        </xdr:cNvPr>
        <xdr:cNvSpPr txBox="1"/>
      </xdr:nvSpPr>
      <xdr:spPr>
        <a:xfrm>
          <a:off x="8109723" y="182710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506EF0FF-CE5E-4C5F-9107-EB6375D92911}" type="TxLink">
            <a:rPr lang="en-US" sz="1200" b="0" i="0" u="none" strike="noStrike">
              <a:solidFill>
                <a:schemeClr val="bg1">
                  <a:lumMod val="95000"/>
                </a:schemeClr>
              </a:solidFill>
              <a:latin typeface="Aptos Narrow"/>
              <a:ea typeface="+mn-ea"/>
              <a:cs typeface="+mn-cs"/>
            </a:rPr>
            <a:pPr marL="0" indent="0" algn="r"/>
            <a:t>13,833</a:t>
          </a:fld>
          <a:endParaRPr lang="ru-RU" sz="1800">
            <a:solidFill>
              <a:schemeClr val="bg1">
                <a:lumMod val="95000"/>
              </a:schemeClr>
            </a:solidFill>
            <a:latin typeface="+mn-lt"/>
            <a:ea typeface="+mn-ea"/>
            <a:cs typeface="+mn-cs"/>
          </a:endParaRPr>
        </a:p>
      </xdr:txBody>
    </xdr:sp>
    <xdr:clientData/>
  </xdr:twoCellAnchor>
  <xdr:twoCellAnchor>
    <xdr:from>
      <xdr:col>18</xdr:col>
      <xdr:colOff>329703</xdr:colOff>
      <xdr:row>9</xdr:row>
      <xdr:rowOff>181183</xdr:rowOff>
    </xdr:from>
    <xdr:to>
      <xdr:col>20</xdr:col>
      <xdr:colOff>66537</xdr:colOff>
      <xdr:row>11</xdr:row>
      <xdr:rowOff>121916</xdr:rowOff>
    </xdr:to>
    <xdr:sp macro="" textlink="">
      <xdr:nvSpPr>
        <xdr:cNvPr id="63" name="TextBox 62">
          <a:extLst>
            <a:ext uri="{FF2B5EF4-FFF2-40B4-BE49-F238E27FC236}">
              <a16:creationId xmlns:a16="http://schemas.microsoft.com/office/drawing/2014/main" id="{00000000-0008-0000-0000-00003F000000}"/>
            </a:ext>
          </a:extLst>
        </xdr:cNvPr>
        <xdr:cNvSpPr txBox="1"/>
      </xdr:nvSpPr>
      <xdr:spPr>
        <a:xfrm>
          <a:off x="11302503" y="188806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pl-PL" sz="1400" b="0" i="0" u="none" strike="noStrike">
              <a:solidFill>
                <a:srgbClr val="C1E5F5"/>
              </a:solidFill>
              <a:latin typeface="Aptos Narrow"/>
              <a:ea typeface="+mn-ea"/>
              <a:cs typeface="+mn-cs"/>
            </a:rPr>
            <a:t>Max ROI</a:t>
          </a:r>
          <a:endParaRPr lang="en-US" sz="1400" b="0" i="0" u="none" strike="noStrike">
            <a:solidFill>
              <a:srgbClr val="C1E5F5"/>
            </a:solidFill>
            <a:latin typeface="Aptos Narrow"/>
            <a:ea typeface="+mn-ea"/>
            <a:cs typeface="+mn-cs"/>
          </a:endParaRPr>
        </a:p>
      </xdr:txBody>
    </xdr:sp>
    <xdr:clientData/>
  </xdr:twoCellAnchor>
  <xdr:twoCellAnchor>
    <xdr:from>
      <xdr:col>20</xdr:col>
      <xdr:colOff>518161</xdr:colOff>
      <xdr:row>10</xdr:row>
      <xdr:rowOff>13543</xdr:rowOff>
    </xdr:from>
    <xdr:to>
      <xdr:col>21</xdr:col>
      <xdr:colOff>455157</xdr:colOff>
      <xdr:row>11</xdr:row>
      <xdr:rowOff>137156</xdr:rowOff>
    </xdr:to>
    <xdr:sp macro="" textlink="Processing!I17">
      <xdr:nvSpPr>
        <xdr:cNvPr id="87" name="TextBox 86">
          <a:extLst>
            <a:ext uri="{FF2B5EF4-FFF2-40B4-BE49-F238E27FC236}">
              <a16:creationId xmlns:a16="http://schemas.microsoft.com/office/drawing/2014/main" id="{00000000-0008-0000-0000-000057000000}"/>
            </a:ext>
          </a:extLst>
        </xdr:cNvPr>
        <xdr:cNvSpPr txBox="1"/>
      </xdr:nvSpPr>
      <xdr:spPr>
        <a:xfrm>
          <a:off x="12710161" y="1903303"/>
          <a:ext cx="546596"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3C02FEB4-11DB-4037-82D3-7BEA47DB636A}" type="TxLink">
            <a:rPr lang="en-US" sz="1200" b="0" i="0" u="none" strike="noStrike">
              <a:solidFill>
                <a:srgbClr val="D36FF9"/>
              </a:solidFill>
              <a:latin typeface="Aptos Narrow"/>
              <a:ea typeface="+mn-ea"/>
              <a:cs typeface="+mn-cs"/>
            </a:rPr>
            <a:pPr marL="0" indent="0" algn="r"/>
            <a:t>#NAME?</a:t>
          </a:fld>
          <a:endParaRPr lang="en-US" sz="1600" b="0" i="0" u="none" strike="noStrike">
            <a:solidFill>
              <a:srgbClr val="D36FF9"/>
            </a:solidFill>
            <a:latin typeface="Aptos Narrow"/>
            <a:ea typeface="+mn-ea"/>
            <a:cs typeface="+mn-cs"/>
          </a:endParaRPr>
        </a:p>
      </xdr:txBody>
    </xdr:sp>
    <xdr:clientData/>
  </xdr:twoCellAnchor>
  <xdr:twoCellAnchor>
    <xdr:from>
      <xdr:col>21</xdr:col>
      <xdr:colOff>320041</xdr:colOff>
      <xdr:row>10</xdr:row>
      <xdr:rowOff>13543</xdr:rowOff>
    </xdr:from>
    <xdr:to>
      <xdr:col>22</xdr:col>
      <xdr:colOff>257037</xdr:colOff>
      <xdr:row>11</xdr:row>
      <xdr:rowOff>137156</xdr:rowOff>
    </xdr:to>
    <xdr:sp macro="" textlink="Processing!J17">
      <xdr:nvSpPr>
        <xdr:cNvPr id="88" name="TextBox 87">
          <a:extLst>
            <a:ext uri="{FF2B5EF4-FFF2-40B4-BE49-F238E27FC236}">
              <a16:creationId xmlns:a16="http://schemas.microsoft.com/office/drawing/2014/main" id="{00000000-0008-0000-0000-000058000000}"/>
            </a:ext>
          </a:extLst>
        </xdr:cNvPr>
        <xdr:cNvSpPr txBox="1"/>
      </xdr:nvSpPr>
      <xdr:spPr>
        <a:xfrm>
          <a:off x="13121641" y="1903303"/>
          <a:ext cx="546596"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1950E93D-C47C-4CAC-8790-07910409F7DF}" type="TxLink">
            <a:rPr lang="en-US" sz="1100" b="0" i="0" u="none" strike="noStrike">
              <a:solidFill>
                <a:srgbClr val="21E6DF"/>
              </a:solidFill>
              <a:latin typeface="Aptos Narrow"/>
              <a:ea typeface="+mn-ea"/>
              <a:cs typeface="+mn-cs"/>
            </a:rPr>
            <a:pPr marL="0" indent="0" algn="r"/>
            <a:t>#NAME?</a:t>
          </a:fld>
          <a:endParaRPr lang="en-US" sz="1600" b="0" i="0" u="none" strike="noStrike">
            <a:solidFill>
              <a:srgbClr val="21E6DF"/>
            </a:solidFill>
            <a:latin typeface="Aptos Narrow"/>
            <a:ea typeface="+mn-ea"/>
            <a:cs typeface="+mn-cs"/>
          </a:endParaRPr>
        </a:p>
      </xdr:txBody>
    </xdr:sp>
    <xdr:clientData/>
  </xdr:twoCellAnchor>
  <xdr:twoCellAnchor>
    <xdr:from>
      <xdr:col>16</xdr:col>
      <xdr:colOff>78243</xdr:colOff>
      <xdr:row>23</xdr:row>
      <xdr:rowOff>89743</xdr:rowOff>
    </xdr:from>
    <xdr:to>
      <xdr:col>17</xdr:col>
      <xdr:colOff>108723</xdr:colOff>
      <xdr:row>25</xdr:row>
      <xdr:rowOff>30476</xdr:rowOff>
    </xdr:to>
    <xdr:sp macro="" textlink="Processing!R18">
      <xdr:nvSpPr>
        <xdr:cNvPr id="91" name="TextBox 90">
          <a:extLst>
            <a:ext uri="{FF2B5EF4-FFF2-40B4-BE49-F238E27FC236}">
              <a16:creationId xmlns:a16="http://schemas.microsoft.com/office/drawing/2014/main" id="{00000000-0008-0000-0000-00005B000000}"/>
            </a:ext>
          </a:extLst>
        </xdr:cNvPr>
        <xdr:cNvSpPr txBox="1"/>
      </xdr:nvSpPr>
      <xdr:spPr>
        <a:xfrm>
          <a:off x="9831843" y="4356943"/>
          <a:ext cx="640080"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116FD32B-79B0-4D47-AC26-B8D465CDC4E6}" type="TxLink">
            <a:rPr lang="en-US" sz="1400" b="0" i="0" u="none" strike="noStrike">
              <a:solidFill>
                <a:srgbClr val="D36FF9"/>
              </a:solidFill>
              <a:latin typeface="Aptos Narrow"/>
              <a:ea typeface="+mn-ea"/>
              <a:cs typeface="+mn-cs"/>
            </a:rPr>
            <a:pPr marL="0" indent="0" algn="l"/>
            <a:t>Lower</a:t>
          </a:fld>
          <a:endParaRPr lang="en-US" sz="1800" b="0" i="0" u="none" strike="noStrike">
            <a:solidFill>
              <a:srgbClr val="D36FF9"/>
            </a:solidFill>
            <a:latin typeface="Aptos Narrow"/>
            <a:ea typeface="+mn-ea"/>
            <a:cs typeface="+mn-cs"/>
          </a:endParaRPr>
        </a:p>
      </xdr:txBody>
    </xdr:sp>
    <xdr:clientData/>
  </xdr:twoCellAnchor>
  <xdr:twoCellAnchor>
    <xdr:from>
      <xdr:col>17</xdr:col>
      <xdr:colOff>53859</xdr:colOff>
      <xdr:row>23</xdr:row>
      <xdr:rowOff>89743</xdr:rowOff>
    </xdr:from>
    <xdr:to>
      <xdr:col>18</xdr:col>
      <xdr:colOff>84339</xdr:colOff>
      <xdr:row>25</xdr:row>
      <xdr:rowOff>30476</xdr:rowOff>
    </xdr:to>
    <xdr:sp macro="" textlink="Processing!U31">
      <xdr:nvSpPr>
        <xdr:cNvPr id="92" name="TextBox 91">
          <a:extLst>
            <a:ext uri="{FF2B5EF4-FFF2-40B4-BE49-F238E27FC236}">
              <a16:creationId xmlns:a16="http://schemas.microsoft.com/office/drawing/2014/main" id="{00000000-0008-0000-0000-00005C000000}"/>
            </a:ext>
          </a:extLst>
        </xdr:cNvPr>
        <xdr:cNvSpPr txBox="1"/>
      </xdr:nvSpPr>
      <xdr:spPr>
        <a:xfrm>
          <a:off x="10417059" y="4356943"/>
          <a:ext cx="640080"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0A994942-380E-480A-A348-16CDF40857CD}" type="TxLink">
            <a:rPr lang="en-US" sz="1400" b="0" i="0" u="none" strike="noStrike">
              <a:solidFill>
                <a:schemeClr val="bg1"/>
              </a:solidFill>
              <a:latin typeface="Aptos Narrow"/>
              <a:ea typeface="+mn-ea"/>
              <a:cs typeface="+mn-cs"/>
            </a:rPr>
            <a:pPr marL="0" indent="0" algn="l"/>
            <a:t>311</a:t>
          </a:fld>
          <a:endParaRPr lang="en-US" sz="2400" b="0" i="0" u="none" strike="noStrike">
            <a:solidFill>
              <a:schemeClr val="bg1"/>
            </a:solidFill>
            <a:latin typeface="Aptos Narrow"/>
            <a:ea typeface="+mn-ea"/>
            <a:cs typeface="+mn-cs"/>
          </a:endParaRPr>
        </a:p>
      </xdr:txBody>
    </xdr:sp>
    <xdr:clientData/>
  </xdr:twoCellAnchor>
  <xdr:twoCellAnchor>
    <xdr:from>
      <xdr:col>18</xdr:col>
      <xdr:colOff>197115</xdr:colOff>
      <xdr:row>23</xdr:row>
      <xdr:rowOff>89743</xdr:rowOff>
    </xdr:from>
    <xdr:to>
      <xdr:col>19</xdr:col>
      <xdr:colOff>227595</xdr:colOff>
      <xdr:row>25</xdr:row>
      <xdr:rowOff>30476</xdr:rowOff>
    </xdr:to>
    <xdr:sp macro="" textlink="Processing!S18">
      <xdr:nvSpPr>
        <xdr:cNvPr id="93" name="TextBox 92">
          <a:extLst>
            <a:ext uri="{FF2B5EF4-FFF2-40B4-BE49-F238E27FC236}">
              <a16:creationId xmlns:a16="http://schemas.microsoft.com/office/drawing/2014/main" id="{00000000-0008-0000-0000-00005D000000}"/>
            </a:ext>
          </a:extLst>
        </xdr:cNvPr>
        <xdr:cNvSpPr txBox="1"/>
      </xdr:nvSpPr>
      <xdr:spPr>
        <a:xfrm>
          <a:off x="11169915" y="4356943"/>
          <a:ext cx="640080"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343BD9C-E740-45A4-8587-D813D4869FDB}" type="TxLink">
            <a:rPr lang="en-US" sz="1400" b="0" i="0" u="none" strike="noStrike">
              <a:solidFill>
                <a:srgbClr val="21E6DF"/>
              </a:solidFill>
              <a:latin typeface="Aptos Narrow"/>
              <a:ea typeface="+mn-ea"/>
              <a:cs typeface="+mn-cs"/>
            </a:rPr>
            <a:pPr marL="0" indent="0" algn="ctr"/>
            <a:t>Middle</a:t>
          </a:fld>
          <a:endParaRPr lang="en-US" sz="2400" b="0" i="0" u="none" strike="noStrike">
            <a:solidFill>
              <a:srgbClr val="21E6DF"/>
            </a:solidFill>
            <a:latin typeface="Aptos Narrow"/>
            <a:ea typeface="+mn-ea"/>
            <a:cs typeface="+mn-cs"/>
          </a:endParaRPr>
        </a:p>
      </xdr:txBody>
    </xdr:sp>
    <xdr:clientData/>
  </xdr:twoCellAnchor>
  <xdr:twoCellAnchor>
    <xdr:from>
      <xdr:col>19</xdr:col>
      <xdr:colOff>187971</xdr:colOff>
      <xdr:row>23</xdr:row>
      <xdr:rowOff>89743</xdr:rowOff>
    </xdr:from>
    <xdr:to>
      <xdr:col>20</xdr:col>
      <xdr:colOff>218451</xdr:colOff>
      <xdr:row>25</xdr:row>
      <xdr:rowOff>30476</xdr:rowOff>
    </xdr:to>
    <xdr:sp macro="" textlink="Processing!V31">
      <xdr:nvSpPr>
        <xdr:cNvPr id="94" name="TextBox 93">
          <a:extLst>
            <a:ext uri="{FF2B5EF4-FFF2-40B4-BE49-F238E27FC236}">
              <a16:creationId xmlns:a16="http://schemas.microsoft.com/office/drawing/2014/main" id="{00000000-0008-0000-0000-00005E000000}"/>
            </a:ext>
          </a:extLst>
        </xdr:cNvPr>
        <xdr:cNvSpPr txBox="1"/>
      </xdr:nvSpPr>
      <xdr:spPr>
        <a:xfrm>
          <a:off x="11770371" y="4356943"/>
          <a:ext cx="640080"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805B7B8D-0836-4150-804D-744CCD2811F9}" type="TxLink">
            <a:rPr lang="en-US" sz="1400" b="0" i="0" u="none" strike="noStrike">
              <a:solidFill>
                <a:schemeClr val="bg1"/>
              </a:solidFill>
              <a:latin typeface="Aptos Narrow"/>
              <a:ea typeface="+mn-ea"/>
              <a:cs typeface="+mn-cs"/>
            </a:rPr>
            <a:pPr marL="0" indent="0" algn="l"/>
            <a:t>656</a:t>
          </a:fld>
          <a:endParaRPr lang="en-US" sz="2400" b="0" i="0" u="none" strike="noStrike">
            <a:solidFill>
              <a:schemeClr val="bg1"/>
            </a:solidFill>
            <a:latin typeface="Aptos Narrow"/>
            <a:ea typeface="+mn-ea"/>
            <a:cs typeface="+mn-cs"/>
          </a:endParaRPr>
        </a:p>
      </xdr:txBody>
    </xdr:sp>
    <xdr:clientData/>
  </xdr:twoCellAnchor>
  <xdr:twoCellAnchor>
    <xdr:from>
      <xdr:col>20</xdr:col>
      <xdr:colOff>277887</xdr:colOff>
      <xdr:row>23</xdr:row>
      <xdr:rowOff>89743</xdr:rowOff>
    </xdr:from>
    <xdr:to>
      <xdr:col>21</xdr:col>
      <xdr:colOff>308367</xdr:colOff>
      <xdr:row>25</xdr:row>
      <xdr:rowOff>30476</xdr:rowOff>
    </xdr:to>
    <xdr:sp macro="" textlink="Processing!T18">
      <xdr:nvSpPr>
        <xdr:cNvPr id="95" name="TextBox 94">
          <a:extLst>
            <a:ext uri="{FF2B5EF4-FFF2-40B4-BE49-F238E27FC236}">
              <a16:creationId xmlns:a16="http://schemas.microsoft.com/office/drawing/2014/main" id="{00000000-0008-0000-0000-00005F000000}"/>
            </a:ext>
          </a:extLst>
        </xdr:cNvPr>
        <xdr:cNvSpPr txBox="1"/>
      </xdr:nvSpPr>
      <xdr:spPr>
        <a:xfrm>
          <a:off x="12469887" y="4356943"/>
          <a:ext cx="640080"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FEC40EDC-4A7B-45B8-82FA-2FC0974BF6F0}" type="TxLink">
            <a:rPr lang="en-US" sz="1400" b="0" i="0" u="none" strike="noStrike">
              <a:solidFill>
                <a:srgbClr val="1E81AE"/>
              </a:solidFill>
              <a:latin typeface="Aptos Narrow"/>
              <a:ea typeface="+mn-ea"/>
              <a:cs typeface="+mn-cs"/>
            </a:rPr>
            <a:pPr marL="0" indent="0" algn="r"/>
            <a:t>High</a:t>
          </a:fld>
          <a:endParaRPr lang="en-US" sz="2400" b="0" i="0" u="none" strike="noStrike">
            <a:solidFill>
              <a:srgbClr val="1E81AE"/>
            </a:solidFill>
            <a:latin typeface="Aptos Narrow"/>
            <a:ea typeface="+mn-ea"/>
            <a:cs typeface="+mn-cs"/>
          </a:endParaRPr>
        </a:p>
      </xdr:txBody>
    </xdr:sp>
    <xdr:clientData/>
  </xdr:twoCellAnchor>
  <xdr:twoCellAnchor>
    <xdr:from>
      <xdr:col>21</xdr:col>
      <xdr:colOff>253503</xdr:colOff>
      <xdr:row>23</xdr:row>
      <xdr:rowOff>89743</xdr:rowOff>
    </xdr:from>
    <xdr:to>
      <xdr:col>22</xdr:col>
      <xdr:colOff>283983</xdr:colOff>
      <xdr:row>25</xdr:row>
      <xdr:rowOff>30476</xdr:rowOff>
    </xdr:to>
    <xdr:sp macro="" textlink="Processing!W31">
      <xdr:nvSpPr>
        <xdr:cNvPr id="96" name="TextBox 95">
          <a:extLst>
            <a:ext uri="{FF2B5EF4-FFF2-40B4-BE49-F238E27FC236}">
              <a16:creationId xmlns:a16="http://schemas.microsoft.com/office/drawing/2014/main" id="{00000000-0008-0000-0000-000060000000}"/>
            </a:ext>
          </a:extLst>
        </xdr:cNvPr>
        <xdr:cNvSpPr txBox="1"/>
      </xdr:nvSpPr>
      <xdr:spPr>
        <a:xfrm>
          <a:off x="13055103" y="4356943"/>
          <a:ext cx="640080"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E3B42806-9065-46CE-BB68-361B50152CA7}" type="TxLink">
            <a:rPr lang="en-US" sz="1400" b="0" i="0" u="none" strike="noStrike">
              <a:solidFill>
                <a:schemeClr val="bg1"/>
              </a:solidFill>
              <a:latin typeface="Aptos Narrow"/>
              <a:ea typeface="+mn-ea"/>
              <a:cs typeface="+mn-cs"/>
            </a:rPr>
            <a:pPr marL="0" indent="0" algn="r"/>
            <a:t>1,022</a:t>
          </a:fld>
          <a:endParaRPr lang="en-US" sz="2400" b="0" i="0" u="none" strike="noStrike">
            <a:solidFill>
              <a:schemeClr val="bg1"/>
            </a:solidFill>
            <a:latin typeface="Aptos Narrow"/>
            <a:ea typeface="+mn-ea"/>
            <a:cs typeface="+mn-cs"/>
          </a:endParaRPr>
        </a:p>
      </xdr:txBody>
    </xdr:sp>
    <xdr:clientData/>
  </xdr:twoCellAnchor>
  <xdr:twoCellAnchor>
    <xdr:from>
      <xdr:col>7</xdr:col>
      <xdr:colOff>588783</xdr:colOff>
      <xdr:row>23</xdr:row>
      <xdr:rowOff>89743</xdr:rowOff>
    </xdr:from>
    <xdr:to>
      <xdr:col>9</xdr:col>
      <xdr:colOff>325617</xdr:colOff>
      <xdr:row>25</xdr:row>
      <xdr:rowOff>30476</xdr:rowOff>
    </xdr:to>
    <xdr:sp macro="" textlink="Processing!A12">
      <xdr:nvSpPr>
        <xdr:cNvPr id="97" name="TextBox 96">
          <a:extLst>
            <a:ext uri="{FF2B5EF4-FFF2-40B4-BE49-F238E27FC236}">
              <a16:creationId xmlns:a16="http://schemas.microsoft.com/office/drawing/2014/main" id="{00000000-0008-0000-0000-000061000000}"/>
            </a:ext>
          </a:extLst>
        </xdr:cNvPr>
        <xdr:cNvSpPr txBox="1"/>
      </xdr:nvSpPr>
      <xdr:spPr>
        <a:xfrm>
          <a:off x="4855983" y="435694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8D160B9-64B5-4105-8F5E-68823EA287CB}" type="TxLink">
            <a:rPr lang="en-US" sz="1400" b="0" i="0" u="none" strike="noStrike">
              <a:solidFill>
                <a:srgbClr val="C1E5F5"/>
              </a:solidFill>
              <a:latin typeface="Aptos Narrow"/>
              <a:ea typeface="+mn-ea"/>
              <a:cs typeface="+mn-cs"/>
            </a:rPr>
            <a:pPr marL="0" indent="0" algn="ctr"/>
            <a:t>Channels</a:t>
          </a:fld>
          <a:endParaRPr lang="ru-RU" sz="1400" b="0" i="0" u="none" strike="noStrike">
            <a:solidFill>
              <a:srgbClr val="C1E5F5"/>
            </a:solidFill>
            <a:latin typeface="Aptos Narrow"/>
            <a:ea typeface="+mn-ea"/>
            <a:cs typeface="+mn-cs"/>
          </a:endParaRPr>
        </a:p>
      </xdr:txBody>
    </xdr:sp>
    <xdr:clientData/>
  </xdr:twoCellAnchor>
  <xdr:twoCellAnchor>
    <xdr:from>
      <xdr:col>8</xdr:col>
      <xdr:colOff>162063</xdr:colOff>
      <xdr:row>26</xdr:row>
      <xdr:rowOff>143083</xdr:rowOff>
    </xdr:from>
    <xdr:to>
      <xdr:col>9</xdr:col>
      <xdr:colOff>508497</xdr:colOff>
      <xdr:row>28</xdr:row>
      <xdr:rowOff>83816</xdr:rowOff>
    </xdr:to>
    <xdr:sp macro="" textlink="Processing!A13">
      <xdr:nvSpPr>
        <xdr:cNvPr id="98" name="TextBox 97">
          <a:extLst>
            <a:ext uri="{FF2B5EF4-FFF2-40B4-BE49-F238E27FC236}">
              <a16:creationId xmlns:a16="http://schemas.microsoft.com/office/drawing/2014/main" id="{00000000-0008-0000-0000-000062000000}"/>
            </a:ext>
          </a:extLst>
        </xdr:cNvPr>
        <xdr:cNvSpPr txBox="1"/>
      </xdr:nvSpPr>
      <xdr:spPr>
        <a:xfrm>
          <a:off x="5038863" y="495892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EBBC2B0C-F135-44FC-9DDE-404FCA810F7D}" type="TxLink">
            <a:rPr lang="en-US" sz="1100" b="0" i="0" u="none" strike="noStrike">
              <a:solidFill>
                <a:schemeClr val="bg1">
                  <a:lumMod val="95000"/>
                </a:schemeClr>
              </a:solidFill>
              <a:latin typeface="Aptos Narrow"/>
              <a:ea typeface="+mn-ea"/>
              <a:cs typeface="+mn-cs"/>
            </a:rPr>
            <a:pPr marL="0" indent="0" algn="l"/>
            <a:t>FaceBook</a:t>
          </a:fld>
          <a:endParaRPr lang="ru-RU" sz="1400" b="0" i="0" u="none" strike="noStrike">
            <a:solidFill>
              <a:schemeClr val="bg1">
                <a:lumMod val="95000"/>
              </a:schemeClr>
            </a:solidFill>
            <a:latin typeface="Aptos Narrow"/>
            <a:ea typeface="+mn-ea"/>
            <a:cs typeface="+mn-cs"/>
          </a:endParaRPr>
        </a:p>
      </xdr:txBody>
    </xdr:sp>
    <xdr:clientData/>
  </xdr:twoCellAnchor>
  <xdr:twoCellAnchor>
    <xdr:from>
      <xdr:col>8</xdr:col>
      <xdr:colOff>162063</xdr:colOff>
      <xdr:row>28</xdr:row>
      <xdr:rowOff>33863</xdr:rowOff>
    </xdr:from>
    <xdr:to>
      <xdr:col>9</xdr:col>
      <xdr:colOff>508497</xdr:colOff>
      <xdr:row>29</xdr:row>
      <xdr:rowOff>157476</xdr:rowOff>
    </xdr:to>
    <xdr:sp macro="" textlink="Processing!A14">
      <xdr:nvSpPr>
        <xdr:cNvPr id="99" name="TextBox 98">
          <a:extLst>
            <a:ext uri="{FF2B5EF4-FFF2-40B4-BE49-F238E27FC236}">
              <a16:creationId xmlns:a16="http://schemas.microsoft.com/office/drawing/2014/main" id="{00000000-0008-0000-0000-000063000000}"/>
            </a:ext>
          </a:extLst>
        </xdr:cNvPr>
        <xdr:cNvSpPr txBox="1"/>
      </xdr:nvSpPr>
      <xdr:spPr>
        <a:xfrm>
          <a:off x="5038863" y="521546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5B441F85-3634-4B4E-9775-9A66242CE0B6}" type="TxLink">
            <a:rPr lang="en-US" sz="1100" b="0" i="0" u="none" strike="noStrike">
              <a:solidFill>
                <a:schemeClr val="bg1">
                  <a:lumMod val="95000"/>
                </a:schemeClr>
              </a:solidFill>
              <a:latin typeface="Aptos Narrow"/>
              <a:ea typeface="+mn-ea"/>
              <a:cs typeface="+mn-cs"/>
            </a:rPr>
            <a:pPr marL="0" indent="0" algn="l"/>
            <a:t>Instagram</a:t>
          </a:fld>
          <a:endParaRPr lang="ru-RU" sz="1400" b="0" i="0" u="none" strike="noStrike">
            <a:solidFill>
              <a:schemeClr val="bg1">
                <a:lumMod val="95000"/>
              </a:schemeClr>
            </a:solidFill>
            <a:latin typeface="Aptos Narrow"/>
            <a:ea typeface="+mn-ea"/>
            <a:cs typeface="+mn-cs"/>
          </a:endParaRPr>
        </a:p>
      </xdr:txBody>
    </xdr:sp>
    <xdr:clientData/>
  </xdr:twoCellAnchor>
  <xdr:twoCellAnchor>
    <xdr:from>
      <xdr:col>8</xdr:col>
      <xdr:colOff>162063</xdr:colOff>
      <xdr:row>29</xdr:row>
      <xdr:rowOff>107523</xdr:rowOff>
    </xdr:from>
    <xdr:to>
      <xdr:col>9</xdr:col>
      <xdr:colOff>508497</xdr:colOff>
      <xdr:row>31</xdr:row>
      <xdr:rowOff>48256</xdr:rowOff>
    </xdr:to>
    <xdr:sp macro="" textlink="Processing!A15">
      <xdr:nvSpPr>
        <xdr:cNvPr id="100" name="TextBox 99">
          <a:extLst>
            <a:ext uri="{FF2B5EF4-FFF2-40B4-BE49-F238E27FC236}">
              <a16:creationId xmlns:a16="http://schemas.microsoft.com/office/drawing/2014/main" id="{00000000-0008-0000-0000-000064000000}"/>
            </a:ext>
          </a:extLst>
        </xdr:cNvPr>
        <xdr:cNvSpPr txBox="1"/>
      </xdr:nvSpPr>
      <xdr:spPr>
        <a:xfrm>
          <a:off x="5038863" y="547200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154EE53E-6ED0-413B-BE9F-A56E0794BC30}" type="TxLink">
            <a:rPr lang="en-US" sz="1100" b="0" i="0" u="none" strike="noStrike">
              <a:solidFill>
                <a:schemeClr val="bg1">
                  <a:lumMod val="95000"/>
                </a:schemeClr>
              </a:solidFill>
              <a:latin typeface="Aptos Narrow"/>
              <a:ea typeface="+mn-ea"/>
              <a:cs typeface="+mn-cs"/>
            </a:rPr>
            <a:pPr marL="0" indent="0" algn="l"/>
            <a:t>Online Store</a:t>
          </a:fld>
          <a:endParaRPr lang="ru-RU" sz="1400" b="0" i="0" u="none" strike="noStrike">
            <a:solidFill>
              <a:schemeClr val="bg1">
                <a:lumMod val="95000"/>
              </a:schemeClr>
            </a:solidFill>
            <a:latin typeface="Aptos Narrow"/>
            <a:ea typeface="+mn-ea"/>
            <a:cs typeface="+mn-cs"/>
          </a:endParaRPr>
        </a:p>
      </xdr:txBody>
    </xdr:sp>
    <xdr:clientData/>
  </xdr:twoCellAnchor>
  <xdr:twoCellAnchor>
    <xdr:from>
      <xdr:col>8</xdr:col>
      <xdr:colOff>162063</xdr:colOff>
      <xdr:row>30</xdr:row>
      <xdr:rowOff>173563</xdr:rowOff>
    </xdr:from>
    <xdr:to>
      <xdr:col>9</xdr:col>
      <xdr:colOff>508497</xdr:colOff>
      <xdr:row>32</xdr:row>
      <xdr:rowOff>114296</xdr:rowOff>
    </xdr:to>
    <xdr:sp macro="" textlink="Processing!A16">
      <xdr:nvSpPr>
        <xdr:cNvPr id="101" name="TextBox 100">
          <a:extLst>
            <a:ext uri="{FF2B5EF4-FFF2-40B4-BE49-F238E27FC236}">
              <a16:creationId xmlns:a16="http://schemas.microsoft.com/office/drawing/2014/main" id="{00000000-0008-0000-0000-000065000000}"/>
            </a:ext>
          </a:extLst>
        </xdr:cNvPr>
        <xdr:cNvSpPr txBox="1"/>
      </xdr:nvSpPr>
      <xdr:spPr>
        <a:xfrm>
          <a:off x="5038863" y="572092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A25C0AC4-C00C-4C05-A12E-99E060D2842E}" type="TxLink">
            <a:rPr lang="en-US" sz="1100" b="0" i="0" u="none" strike="noStrike">
              <a:solidFill>
                <a:schemeClr val="bg1">
                  <a:lumMod val="95000"/>
                </a:schemeClr>
              </a:solidFill>
              <a:latin typeface="Aptos Narrow"/>
              <a:ea typeface="+mn-ea"/>
              <a:cs typeface="+mn-cs"/>
            </a:rPr>
            <a:pPr marL="0" indent="0" algn="l"/>
            <a:t>Shopify</a:t>
          </a:fld>
          <a:endParaRPr lang="ru-RU" sz="1400" b="0" i="0" u="none" strike="noStrike">
            <a:solidFill>
              <a:schemeClr val="bg1">
                <a:lumMod val="95000"/>
              </a:schemeClr>
            </a:solidFill>
            <a:latin typeface="Aptos Narrow"/>
            <a:ea typeface="+mn-ea"/>
            <a:cs typeface="+mn-cs"/>
          </a:endParaRPr>
        </a:p>
      </xdr:txBody>
    </xdr:sp>
    <xdr:clientData/>
  </xdr:twoCellAnchor>
  <xdr:twoCellAnchor>
    <xdr:from>
      <xdr:col>8</xdr:col>
      <xdr:colOff>38100</xdr:colOff>
      <xdr:row>27</xdr:row>
      <xdr:rowOff>22860</xdr:rowOff>
    </xdr:from>
    <xdr:to>
      <xdr:col>8</xdr:col>
      <xdr:colOff>175260</xdr:colOff>
      <xdr:row>27</xdr:row>
      <xdr:rowOff>160020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4914900" y="5021580"/>
          <a:ext cx="137160" cy="137160"/>
        </a:xfrm>
        <a:prstGeom prst="ellipse">
          <a:avLst/>
        </a:prstGeom>
        <a:noFill/>
        <a:ln>
          <a:solidFill>
            <a:srgbClr val="33B9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8</xdr:col>
      <xdr:colOff>38100</xdr:colOff>
      <xdr:row>28</xdr:row>
      <xdr:rowOff>83820</xdr:rowOff>
    </xdr:from>
    <xdr:to>
      <xdr:col>8</xdr:col>
      <xdr:colOff>175260</xdr:colOff>
      <xdr:row>29</xdr:row>
      <xdr:rowOff>38100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4914900" y="5265420"/>
          <a:ext cx="137160" cy="137160"/>
        </a:xfrm>
        <a:prstGeom prst="ellipse">
          <a:avLst/>
        </a:prstGeom>
        <a:noFill/>
        <a:ln>
          <a:solidFill>
            <a:srgbClr val="CC66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8</xdr:col>
      <xdr:colOff>38100</xdr:colOff>
      <xdr:row>29</xdr:row>
      <xdr:rowOff>144780</xdr:rowOff>
    </xdr:from>
    <xdr:to>
      <xdr:col>8</xdr:col>
      <xdr:colOff>175260</xdr:colOff>
      <xdr:row>30</xdr:row>
      <xdr:rowOff>99060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4914900" y="5509260"/>
          <a:ext cx="137160" cy="137160"/>
        </a:xfrm>
        <a:prstGeom prst="ellipse">
          <a:avLst/>
        </a:prstGeom>
        <a:noFill/>
        <a:ln>
          <a:solidFill>
            <a:srgbClr val="7133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8</xdr:col>
      <xdr:colOff>38100</xdr:colOff>
      <xdr:row>31</xdr:row>
      <xdr:rowOff>45720</xdr:rowOff>
    </xdr:from>
    <xdr:to>
      <xdr:col>8</xdr:col>
      <xdr:colOff>175260</xdr:colOff>
      <xdr:row>32</xdr:row>
      <xdr:rowOff>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4914900" y="5775960"/>
          <a:ext cx="137160" cy="137160"/>
        </a:xfrm>
        <a:prstGeom prst="ellipse">
          <a:avLst/>
        </a:prstGeom>
        <a:noFill/>
        <a:ln>
          <a:solidFill>
            <a:srgbClr val="00FF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13</xdr:col>
      <xdr:colOff>306843</xdr:colOff>
      <xdr:row>23</xdr:row>
      <xdr:rowOff>89743</xdr:rowOff>
    </xdr:from>
    <xdr:to>
      <xdr:col>15</xdr:col>
      <xdr:colOff>43677</xdr:colOff>
      <xdr:row>25</xdr:row>
      <xdr:rowOff>30476</xdr:rowOff>
    </xdr:to>
    <xdr:sp macro="" textlink="Processing!H11">
      <xdr:nvSpPr>
        <xdr:cNvPr id="106" name="TextBox 105">
          <a:extLst>
            <a:ext uri="{FF2B5EF4-FFF2-40B4-BE49-F238E27FC236}">
              <a16:creationId xmlns:a16="http://schemas.microsoft.com/office/drawing/2014/main" id="{00000000-0008-0000-0000-00006A000000}"/>
            </a:ext>
          </a:extLst>
        </xdr:cNvPr>
        <xdr:cNvSpPr txBox="1"/>
      </xdr:nvSpPr>
      <xdr:spPr>
        <a:xfrm>
          <a:off x="8231643" y="435694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2F8DE68-20AB-43C1-A4C6-9ED627E59D23}" type="TxLink">
            <a:rPr lang="en-US" sz="1400" b="0" i="0" u="none" strike="noStrike">
              <a:solidFill>
                <a:srgbClr val="C1E5F5"/>
              </a:solidFill>
              <a:latin typeface="Aptos Narrow"/>
              <a:ea typeface="+mn-ea"/>
              <a:cs typeface="+mn-cs"/>
            </a:rPr>
            <a:pPr marL="0" indent="0" algn="ctr"/>
            <a:t>Coverage</a:t>
          </a:fld>
          <a:endParaRPr lang="ru-RU" sz="1400" b="0" i="0" u="none" strike="noStrike">
            <a:solidFill>
              <a:srgbClr val="C1E5F5"/>
            </a:solidFill>
            <a:latin typeface="Aptos Narrow"/>
            <a:ea typeface="+mn-ea"/>
            <a:cs typeface="+mn-cs"/>
          </a:endParaRPr>
        </a:p>
      </xdr:txBody>
    </xdr:sp>
    <xdr:clientData/>
  </xdr:twoCellAnchor>
  <xdr:twoCellAnchor>
    <xdr:from>
      <xdr:col>13</xdr:col>
      <xdr:colOff>166090</xdr:colOff>
      <xdr:row>31</xdr:row>
      <xdr:rowOff>158323</xdr:rowOff>
    </xdr:from>
    <xdr:to>
      <xdr:col>14</xdr:col>
      <xdr:colOff>512524</xdr:colOff>
      <xdr:row>33</xdr:row>
      <xdr:rowOff>99056</xdr:rowOff>
    </xdr:to>
    <xdr:sp macro="" textlink="Processing!H12">
      <xdr:nvSpPr>
        <xdr:cNvPr id="108" name="TextBox 107">
          <a:extLst>
            <a:ext uri="{FF2B5EF4-FFF2-40B4-BE49-F238E27FC236}">
              <a16:creationId xmlns:a16="http://schemas.microsoft.com/office/drawing/2014/main" id="{00000000-0008-0000-0000-00006C000000}"/>
            </a:ext>
          </a:extLst>
        </xdr:cNvPr>
        <xdr:cNvSpPr txBox="1"/>
      </xdr:nvSpPr>
      <xdr:spPr>
        <a:xfrm>
          <a:off x="8090890" y="588856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6376BCBF-CF1B-424B-A997-D07A7C32EED4}" type="TxLink">
            <a:rPr lang="en-US" sz="1100" b="0" i="0" u="none" strike="noStrike">
              <a:solidFill>
                <a:schemeClr val="bg1">
                  <a:lumMod val="95000"/>
                </a:schemeClr>
              </a:solidFill>
              <a:latin typeface="Aptos Narrow"/>
              <a:ea typeface="+mn-ea"/>
              <a:cs typeface="+mn-cs"/>
            </a:rPr>
            <a:pPr marL="0" indent="0" algn="r"/>
            <a:t>Market Share</a:t>
          </a:fld>
          <a:endParaRPr lang="ru-RU" sz="1100" b="0" i="0" u="none" strike="noStrike">
            <a:solidFill>
              <a:schemeClr val="bg1">
                <a:lumMod val="95000"/>
              </a:schemeClr>
            </a:solidFill>
            <a:latin typeface="Aptos Narrow"/>
            <a:ea typeface="+mn-ea"/>
            <a:cs typeface="+mn-cs"/>
          </a:endParaRPr>
        </a:p>
      </xdr:txBody>
    </xdr:sp>
    <xdr:clientData/>
  </xdr:twoCellAnchor>
  <xdr:twoCellAnchor>
    <xdr:from>
      <xdr:col>14</xdr:col>
      <xdr:colOff>541020</xdr:colOff>
      <xdr:row>32</xdr:row>
      <xdr:rowOff>38100</xdr:rowOff>
    </xdr:from>
    <xdr:to>
      <xdr:col>15</xdr:col>
      <xdr:colOff>68580</xdr:colOff>
      <xdr:row>32</xdr:row>
      <xdr:rowOff>175260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9075420" y="5951220"/>
          <a:ext cx="137160" cy="137160"/>
        </a:xfrm>
        <a:prstGeom prst="ellipse">
          <a:avLst/>
        </a:prstGeom>
        <a:noFill/>
        <a:ln>
          <a:solidFill>
            <a:srgbClr val="FD00F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459243</xdr:colOff>
      <xdr:row>33</xdr:row>
      <xdr:rowOff>49103</xdr:rowOff>
    </xdr:from>
    <xdr:to>
      <xdr:col>14</xdr:col>
      <xdr:colOff>512524</xdr:colOff>
      <xdr:row>35</xdr:row>
      <xdr:rowOff>121920</xdr:rowOff>
    </xdr:to>
    <xdr:sp macro="" textlink="Processing!I12">
      <xdr:nvSpPr>
        <xdr:cNvPr id="110" name="TextBox 109">
          <a:extLst>
            <a:ext uri="{FF2B5EF4-FFF2-40B4-BE49-F238E27FC236}">
              <a16:creationId xmlns:a16="http://schemas.microsoft.com/office/drawing/2014/main" id="{00000000-0008-0000-0000-00006E000000}"/>
            </a:ext>
          </a:extLst>
        </xdr:cNvPr>
        <xdr:cNvSpPr txBox="1"/>
      </xdr:nvSpPr>
      <xdr:spPr>
        <a:xfrm>
          <a:off x="7774443" y="6145103"/>
          <a:ext cx="1272481" cy="438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4C6056FB-BAE5-400E-B5FF-76BB1C712113}" type="TxLink">
            <a:rPr lang="en-US" sz="1100" b="0" i="0" u="none" strike="noStrike">
              <a:solidFill>
                <a:schemeClr val="bg1">
                  <a:lumMod val="95000"/>
                </a:schemeClr>
              </a:solidFill>
              <a:latin typeface="Aptos Narrow"/>
              <a:ea typeface="+mn-ea"/>
              <a:cs typeface="+mn-cs"/>
            </a:rPr>
            <a:pPr marL="0" indent="0" algn="r"/>
            <a:t>Scaling Potential</a:t>
          </a:fld>
          <a:endParaRPr lang="ru-RU" sz="1400" b="0" i="0" u="none" strike="noStrike">
            <a:solidFill>
              <a:schemeClr val="bg1">
                <a:lumMod val="95000"/>
              </a:schemeClr>
            </a:solidFill>
            <a:latin typeface="Aptos Narrow"/>
            <a:ea typeface="+mn-ea"/>
            <a:cs typeface="+mn-cs"/>
          </a:endParaRPr>
        </a:p>
      </xdr:txBody>
    </xdr:sp>
    <xdr:clientData/>
  </xdr:twoCellAnchor>
  <xdr:twoCellAnchor>
    <xdr:from>
      <xdr:col>14</xdr:col>
      <xdr:colOff>541020</xdr:colOff>
      <xdr:row>33</xdr:row>
      <xdr:rowOff>99060</xdr:rowOff>
    </xdr:from>
    <xdr:to>
      <xdr:col>15</xdr:col>
      <xdr:colOff>68580</xdr:colOff>
      <xdr:row>34</xdr:row>
      <xdr:rowOff>53340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9075420" y="6195060"/>
          <a:ext cx="137160" cy="137160"/>
        </a:xfrm>
        <a:prstGeom prst="ellipse">
          <a:avLst/>
        </a:prstGeom>
        <a:noFill/>
        <a:ln>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10</xdr:col>
      <xdr:colOff>604023</xdr:colOff>
      <xdr:row>27</xdr:row>
      <xdr:rowOff>143824</xdr:rowOff>
    </xdr:from>
    <xdr:to>
      <xdr:col>13</xdr:col>
      <xdr:colOff>47704</xdr:colOff>
      <xdr:row>31</xdr:row>
      <xdr:rowOff>118638</xdr:rowOff>
    </xdr:to>
    <xdr:sp macro="" textlink="Processing!H13">
      <xdr:nvSpPr>
        <xdr:cNvPr id="112" name="TextBox 111">
          <a:extLst>
            <a:ext uri="{FF2B5EF4-FFF2-40B4-BE49-F238E27FC236}">
              <a16:creationId xmlns:a16="http://schemas.microsoft.com/office/drawing/2014/main" id="{00000000-0008-0000-0000-000070000000}"/>
            </a:ext>
          </a:extLst>
        </xdr:cNvPr>
        <xdr:cNvSpPr txBox="1"/>
      </xdr:nvSpPr>
      <xdr:spPr>
        <a:xfrm>
          <a:off x="6700023" y="5142544"/>
          <a:ext cx="1272481" cy="70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7579937-4E95-4B8F-8383-9A89C1F41538}" type="TxLink">
            <a:rPr lang="en-US" sz="2800" b="0" i="0" u="none" strike="noStrike">
              <a:solidFill>
                <a:schemeClr val="bg1"/>
              </a:solidFill>
              <a:latin typeface="+mn-lt"/>
              <a:ea typeface="+mn-ea"/>
              <a:cs typeface="Arial" panose="020B0604020202020204" pitchFamily="34" charset="0"/>
            </a:rPr>
            <a:pPr marL="0" indent="0" algn="ctr"/>
            <a:t>65%</a:t>
          </a:fld>
          <a:endParaRPr lang="ru-RU" sz="4800" b="0" i="0" u="none" strike="noStrike">
            <a:solidFill>
              <a:schemeClr val="bg1"/>
            </a:solidFill>
            <a:latin typeface="+mn-lt"/>
            <a:ea typeface="+mn-ea"/>
            <a:cs typeface="Arial" panose="020B0604020202020204" pitchFamily="34" charset="0"/>
          </a:endParaRPr>
        </a:p>
      </xdr:txBody>
    </xdr:sp>
    <xdr:clientData/>
  </xdr:twoCellAnchor>
  <xdr:twoCellAnchor>
    <xdr:from>
      <xdr:col>15</xdr:col>
      <xdr:colOff>573774</xdr:colOff>
      <xdr:row>2</xdr:row>
      <xdr:rowOff>44023</xdr:rowOff>
    </xdr:from>
    <xdr:to>
      <xdr:col>22</xdr:col>
      <xdr:colOff>487680</xdr:colOff>
      <xdr:row>8</xdr:row>
      <xdr:rowOff>53340</xdr:rowOff>
    </xdr:to>
    <xdr:grpSp>
      <xdr:nvGrpSpPr>
        <xdr:cNvPr id="124" name="Group 123">
          <a:extLst>
            <a:ext uri="{FF2B5EF4-FFF2-40B4-BE49-F238E27FC236}">
              <a16:creationId xmlns:a16="http://schemas.microsoft.com/office/drawing/2014/main" id="{00000000-0008-0000-0000-00007C000000}"/>
            </a:ext>
          </a:extLst>
        </xdr:cNvPr>
        <xdr:cNvGrpSpPr/>
      </xdr:nvGrpSpPr>
      <xdr:grpSpPr>
        <a:xfrm>
          <a:off x="10717899" y="463123"/>
          <a:ext cx="4647831" cy="1104692"/>
          <a:chOff x="9717774" y="470743"/>
          <a:chExt cx="4181106" cy="1106597"/>
        </a:xfrm>
      </xdr:grpSpPr>
      <xdr:sp macro="" textlink="Processing!AB31">
        <xdr:nvSpPr>
          <xdr:cNvPr id="114" name="TextBox 113">
            <a:extLst>
              <a:ext uri="{FF2B5EF4-FFF2-40B4-BE49-F238E27FC236}">
                <a16:creationId xmlns:a16="http://schemas.microsoft.com/office/drawing/2014/main" id="{00000000-0008-0000-0000-000072000000}"/>
              </a:ext>
            </a:extLst>
          </xdr:cNvPr>
          <xdr:cNvSpPr txBox="1"/>
        </xdr:nvSpPr>
        <xdr:spPr>
          <a:xfrm>
            <a:off x="11980914" y="944034"/>
            <a:ext cx="1163353"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42051D5-2D13-48A8-80EA-D3C4DC029891}" type="TxLink">
              <a:rPr lang="en-US" sz="2800" b="0" i="0" u="none" strike="noStrike">
                <a:solidFill>
                  <a:schemeClr val="bg1"/>
                </a:solidFill>
                <a:latin typeface="Aptos Narrow"/>
                <a:ea typeface="+mn-ea"/>
                <a:cs typeface="+mn-cs"/>
              </a:rPr>
              <a:pPr marL="0" indent="0" algn="l"/>
              <a:t>6,401</a:t>
            </a:fld>
            <a:endParaRPr lang="ru-RU" sz="4000">
              <a:solidFill>
                <a:schemeClr val="bg1"/>
              </a:solidFill>
              <a:latin typeface="+mn-lt"/>
              <a:ea typeface="+mn-ea"/>
              <a:cs typeface="+mn-cs"/>
            </a:endParaRPr>
          </a:p>
        </xdr:txBody>
      </xdr:sp>
      <xdr:graphicFrame macro="">
        <xdr:nvGraphicFramePr>
          <xdr:cNvPr id="115" name="Chart 114">
            <a:extLst>
              <a:ext uri="{FF2B5EF4-FFF2-40B4-BE49-F238E27FC236}">
                <a16:creationId xmlns:a16="http://schemas.microsoft.com/office/drawing/2014/main" id="{00000000-0008-0000-0000-000073000000}"/>
              </a:ext>
            </a:extLst>
          </xdr:cNvPr>
          <xdr:cNvGraphicFramePr>
            <a:graphicFrameLocks/>
          </xdr:cNvGraphicFramePr>
        </xdr:nvGraphicFramePr>
        <xdr:xfrm>
          <a:off x="12984480" y="662940"/>
          <a:ext cx="914400" cy="914400"/>
        </xdr:xfrm>
        <a:graphic>
          <a:graphicData uri="http://schemas.openxmlformats.org/drawingml/2006/chart">
            <c:chart xmlns:c="http://schemas.openxmlformats.org/drawingml/2006/chart" xmlns:r="http://schemas.openxmlformats.org/officeDocument/2006/relationships" r:id="rId35"/>
          </a:graphicData>
        </a:graphic>
      </xdr:graphicFrame>
      <xdr:sp macro="" textlink="Processing!A2">
        <xdr:nvSpPr>
          <xdr:cNvPr id="116" name="TextBox 115">
            <a:extLst>
              <a:ext uri="{FF2B5EF4-FFF2-40B4-BE49-F238E27FC236}">
                <a16:creationId xmlns:a16="http://schemas.microsoft.com/office/drawing/2014/main" id="{00000000-0008-0000-0000-000074000000}"/>
              </a:ext>
            </a:extLst>
          </xdr:cNvPr>
          <xdr:cNvSpPr txBox="1"/>
        </xdr:nvSpPr>
        <xdr:spPr>
          <a:xfrm>
            <a:off x="13121640" y="921174"/>
            <a:ext cx="640079" cy="404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5D84C58-1455-499C-9025-E782161EC7F2}" type="TxLink">
              <a:rPr lang="en-US" sz="1400" b="0" i="0" u="none" strike="noStrike">
                <a:solidFill>
                  <a:schemeClr val="bg1"/>
                </a:solidFill>
                <a:latin typeface="Aptos Narrow"/>
                <a:ea typeface="+mn-ea"/>
                <a:cs typeface="+mn-cs"/>
              </a:rPr>
              <a:pPr marL="0" indent="0" algn="ctr"/>
              <a:t>46%</a:t>
            </a:fld>
            <a:endParaRPr lang="ru-RU" sz="2400">
              <a:solidFill>
                <a:schemeClr val="bg1"/>
              </a:solidFill>
              <a:latin typeface="+mn-lt"/>
              <a:ea typeface="+mn-ea"/>
              <a:cs typeface="+mn-cs"/>
            </a:endParaRPr>
          </a:p>
        </xdr:txBody>
      </xdr:sp>
      <xdr:graphicFrame macro="">
        <xdr:nvGraphicFramePr>
          <xdr:cNvPr id="117" name="Chart 116">
            <a:extLst>
              <a:ext uri="{FF2B5EF4-FFF2-40B4-BE49-F238E27FC236}">
                <a16:creationId xmlns:a16="http://schemas.microsoft.com/office/drawing/2014/main" id="{00000000-0008-0000-0000-000075000000}"/>
              </a:ext>
            </a:extLst>
          </xdr:cNvPr>
          <xdr:cNvGraphicFramePr>
            <a:graphicFrameLocks/>
          </xdr:cNvGraphicFramePr>
        </xdr:nvGraphicFramePr>
        <xdr:xfrm>
          <a:off x="10774680" y="662940"/>
          <a:ext cx="914400" cy="914400"/>
        </xdr:xfrm>
        <a:graphic>
          <a:graphicData uri="http://schemas.openxmlformats.org/drawingml/2006/chart">
            <c:chart xmlns:c="http://schemas.openxmlformats.org/drawingml/2006/chart" xmlns:r="http://schemas.openxmlformats.org/officeDocument/2006/relationships" r:id="rId36"/>
          </a:graphicData>
        </a:graphic>
      </xdr:graphicFrame>
      <xdr:sp macro="" textlink="Processing!C2">
        <xdr:nvSpPr>
          <xdr:cNvPr id="118" name="TextBox 117">
            <a:extLst>
              <a:ext uri="{FF2B5EF4-FFF2-40B4-BE49-F238E27FC236}">
                <a16:creationId xmlns:a16="http://schemas.microsoft.com/office/drawing/2014/main" id="{00000000-0008-0000-0000-000076000000}"/>
              </a:ext>
            </a:extLst>
          </xdr:cNvPr>
          <xdr:cNvSpPr txBox="1"/>
        </xdr:nvSpPr>
        <xdr:spPr>
          <a:xfrm>
            <a:off x="10911840" y="921174"/>
            <a:ext cx="640079" cy="404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4FC0EE-2E15-4B80-A014-5D40893D0F93}" type="TxLink">
              <a:rPr lang="en-US" sz="1400" b="0" i="0" u="none" strike="noStrike">
                <a:solidFill>
                  <a:schemeClr val="bg1"/>
                </a:solidFill>
                <a:latin typeface="Aptos Narrow"/>
                <a:ea typeface="+mn-ea"/>
                <a:cs typeface="+mn-cs"/>
              </a:rPr>
              <a:pPr marL="0" indent="0" algn="ctr"/>
              <a:t>54%</a:t>
            </a:fld>
            <a:endParaRPr lang="ru-RU" sz="1400" b="0" i="0" u="none" strike="noStrike">
              <a:solidFill>
                <a:schemeClr val="bg1"/>
              </a:solidFill>
              <a:latin typeface="Aptos Narrow"/>
              <a:ea typeface="+mn-ea"/>
              <a:cs typeface="+mn-cs"/>
            </a:endParaRPr>
          </a:p>
        </xdr:txBody>
      </xdr:sp>
      <xdr:sp macro="" textlink="Processing!AC31">
        <xdr:nvSpPr>
          <xdr:cNvPr id="119" name="TextBox 118">
            <a:extLst>
              <a:ext uri="{FF2B5EF4-FFF2-40B4-BE49-F238E27FC236}">
                <a16:creationId xmlns:a16="http://schemas.microsoft.com/office/drawing/2014/main" id="{00000000-0008-0000-0000-000077000000}"/>
              </a:ext>
            </a:extLst>
          </xdr:cNvPr>
          <xdr:cNvSpPr txBox="1"/>
        </xdr:nvSpPr>
        <xdr:spPr>
          <a:xfrm>
            <a:off x="9740634" y="944034"/>
            <a:ext cx="1163353"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117C0BF-15BF-4D62-AAAB-3E36F2430503}" type="TxLink">
              <a:rPr lang="en-US" sz="2800" b="0" i="0" u="none" strike="noStrike">
                <a:solidFill>
                  <a:schemeClr val="bg1"/>
                </a:solidFill>
                <a:latin typeface="Aptos Narrow"/>
                <a:ea typeface="+mn-ea"/>
                <a:cs typeface="+mn-cs"/>
              </a:rPr>
              <a:pPr marL="0" indent="0" algn="l"/>
              <a:t>7,432</a:t>
            </a:fld>
            <a:endParaRPr lang="ru-RU" sz="2800" b="0" i="0" u="none" strike="noStrike">
              <a:solidFill>
                <a:schemeClr val="bg1"/>
              </a:solidFill>
              <a:latin typeface="Aptos Narrow"/>
              <a:ea typeface="+mn-ea"/>
              <a:cs typeface="+mn-cs"/>
            </a:endParaRPr>
          </a:p>
        </xdr:txBody>
      </xdr:sp>
      <xdr:sp macro="" textlink="Processing!C1">
        <xdr:nvSpPr>
          <xdr:cNvPr id="122" name="TextBox 121">
            <a:extLst>
              <a:ext uri="{FF2B5EF4-FFF2-40B4-BE49-F238E27FC236}">
                <a16:creationId xmlns:a16="http://schemas.microsoft.com/office/drawing/2014/main" id="{00000000-0008-0000-0000-00007A000000}"/>
              </a:ext>
            </a:extLst>
          </xdr:cNvPr>
          <xdr:cNvSpPr txBox="1"/>
        </xdr:nvSpPr>
        <xdr:spPr>
          <a:xfrm>
            <a:off x="9717774" y="470743"/>
            <a:ext cx="1400038"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0AC02A3-4616-4E40-AF5B-2B7ECA1EC5C8}" type="TxLink">
              <a:rPr lang="en-US" sz="1600" b="0" i="0" u="none" strike="noStrike">
                <a:solidFill>
                  <a:schemeClr val="bg1"/>
                </a:solidFill>
                <a:latin typeface="Aptos Narrow"/>
                <a:ea typeface="+mn-ea"/>
                <a:cs typeface="+mn-cs"/>
              </a:rPr>
              <a:pPr marL="0" indent="0" algn="l"/>
              <a:t>Mass Market</a:t>
            </a:fld>
            <a:endParaRPr lang="ru-RU" sz="4400">
              <a:solidFill>
                <a:schemeClr val="bg1"/>
              </a:solidFill>
              <a:latin typeface="+mn-lt"/>
              <a:ea typeface="+mn-ea"/>
              <a:cs typeface="+mn-cs"/>
            </a:endParaRPr>
          </a:p>
        </xdr:txBody>
      </xdr:sp>
      <xdr:sp macro="" textlink="Processing!A1">
        <xdr:nvSpPr>
          <xdr:cNvPr id="123" name="TextBox 122">
            <a:extLst>
              <a:ext uri="{FF2B5EF4-FFF2-40B4-BE49-F238E27FC236}">
                <a16:creationId xmlns:a16="http://schemas.microsoft.com/office/drawing/2014/main" id="{00000000-0008-0000-0000-00007B000000}"/>
              </a:ext>
            </a:extLst>
          </xdr:cNvPr>
          <xdr:cNvSpPr txBox="1"/>
        </xdr:nvSpPr>
        <xdr:spPr>
          <a:xfrm>
            <a:off x="11958054" y="470743"/>
            <a:ext cx="1400038"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CF9AC78-C28C-4E7B-8334-D69A6EA2A83E}" type="TxLink">
              <a:rPr lang="en-US" sz="1600" b="0" i="0" u="none" strike="noStrike">
                <a:solidFill>
                  <a:schemeClr val="bg1"/>
                </a:solidFill>
                <a:latin typeface="Aptos Narrow"/>
                <a:ea typeface="+mn-ea"/>
                <a:cs typeface="+mn-cs"/>
              </a:rPr>
              <a:pPr marL="0" indent="0" algn="l"/>
              <a:t>Niche Market</a:t>
            </a:fld>
            <a:endParaRPr lang="ru-RU" sz="6000">
              <a:solidFill>
                <a:schemeClr val="bg1"/>
              </a:solidFill>
              <a:latin typeface="+mn-lt"/>
              <a:ea typeface="+mn-ea"/>
              <a:cs typeface="+mn-cs"/>
            </a:endParaRPr>
          </a:p>
        </xdr:txBody>
      </xdr:sp>
    </xdr:grpSp>
    <xdr:clientData/>
  </xdr:twoCellAnchor>
  <xdr:twoCellAnchor>
    <xdr:from>
      <xdr:col>13</xdr:col>
      <xdr:colOff>63003</xdr:colOff>
      <xdr:row>3</xdr:row>
      <xdr:rowOff>59263</xdr:rowOff>
    </xdr:from>
    <xdr:to>
      <xdr:col>14</xdr:col>
      <xdr:colOff>409437</xdr:colOff>
      <xdr:row>4</xdr:row>
      <xdr:rowOff>182876</xdr:rowOff>
    </xdr:to>
    <xdr:sp macro="" textlink="Processing!A1">
      <xdr:nvSpPr>
        <xdr:cNvPr id="126" name="TextBox 125">
          <a:extLst>
            <a:ext uri="{FF2B5EF4-FFF2-40B4-BE49-F238E27FC236}">
              <a16:creationId xmlns:a16="http://schemas.microsoft.com/office/drawing/2014/main" id="{00000000-0008-0000-0000-00007E000000}"/>
            </a:ext>
          </a:extLst>
        </xdr:cNvPr>
        <xdr:cNvSpPr txBox="1"/>
      </xdr:nvSpPr>
      <xdr:spPr>
        <a:xfrm>
          <a:off x="7987803" y="66886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52FC8E7-876F-4F2D-9C4F-62B17EEADB99}" type="TxLink">
            <a:rPr lang="en-US" sz="900" b="0" i="0" u="none" strike="noStrike">
              <a:solidFill>
                <a:schemeClr val="bg1">
                  <a:lumMod val="75000"/>
                </a:schemeClr>
              </a:solidFill>
              <a:latin typeface="Aptos Narrow"/>
              <a:ea typeface="+mn-ea"/>
              <a:cs typeface="+mn-cs"/>
            </a:rPr>
            <a:pPr marL="0" indent="0" algn="l"/>
            <a:t>Niche Market</a:t>
          </a:fld>
          <a:endParaRPr lang="ru-RU" sz="1200">
            <a:solidFill>
              <a:schemeClr val="bg1">
                <a:lumMod val="75000"/>
              </a:schemeClr>
            </a:solidFill>
            <a:latin typeface="+mn-lt"/>
            <a:ea typeface="+mn-ea"/>
            <a:cs typeface="+mn-cs"/>
          </a:endParaRPr>
        </a:p>
      </xdr:txBody>
    </xdr:sp>
    <xdr:clientData/>
  </xdr:twoCellAnchor>
  <xdr:twoCellAnchor>
    <xdr:from>
      <xdr:col>13</xdr:col>
      <xdr:colOff>63003</xdr:colOff>
      <xdr:row>6</xdr:row>
      <xdr:rowOff>59263</xdr:rowOff>
    </xdr:from>
    <xdr:to>
      <xdr:col>14</xdr:col>
      <xdr:colOff>409437</xdr:colOff>
      <xdr:row>7</xdr:row>
      <xdr:rowOff>182876</xdr:rowOff>
    </xdr:to>
    <xdr:sp macro="" textlink="Processing!C1">
      <xdr:nvSpPr>
        <xdr:cNvPr id="127" name="TextBox 126">
          <a:extLst>
            <a:ext uri="{FF2B5EF4-FFF2-40B4-BE49-F238E27FC236}">
              <a16:creationId xmlns:a16="http://schemas.microsoft.com/office/drawing/2014/main" id="{00000000-0008-0000-0000-00007F000000}"/>
            </a:ext>
          </a:extLst>
        </xdr:cNvPr>
        <xdr:cNvSpPr txBox="1"/>
      </xdr:nvSpPr>
      <xdr:spPr>
        <a:xfrm>
          <a:off x="7987803" y="1217503"/>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C4F03B3-7D88-469B-9A7A-14230B5396F6}" type="TxLink">
            <a:rPr lang="en-US" sz="900" b="0" i="0" u="none" strike="noStrike">
              <a:solidFill>
                <a:schemeClr val="bg1">
                  <a:lumMod val="75000"/>
                </a:schemeClr>
              </a:solidFill>
              <a:latin typeface="Aptos Narrow"/>
              <a:ea typeface="+mn-ea"/>
              <a:cs typeface="+mn-cs"/>
            </a:rPr>
            <a:pPr marL="0" indent="0" algn="l"/>
            <a:t>Mass Market</a:t>
          </a:fld>
          <a:endParaRPr lang="ru-RU" sz="1000">
            <a:solidFill>
              <a:schemeClr val="bg1">
                <a:lumMod val="75000"/>
              </a:scheme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45720</xdr:colOff>
      <xdr:row>1</xdr:row>
      <xdr:rowOff>45720</xdr:rowOff>
    </xdr:to>
    <xdr:sp macro="" textlink="">
      <xdr:nvSpPr>
        <xdr:cNvPr id="107" name="Rectangle 106">
          <a:extLst>
            <a:ext uri="{FF2B5EF4-FFF2-40B4-BE49-F238E27FC236}">
              <a16:creationId xmlns:a16="http://schemas.microsoft.com/office/drawing/2014/main" id="{00000000-0008-0000-0100-00006B000000}"/>
            </a:ext>
          </a:extLst>
        </xdr:cNvPr>
        <xdr:cNvSpPr/>
      </xdr:nvSpPr>
      <xdr:spPr>
        <a:xfrm>
          <a:off x="0" y="0"/>
          <a:ext cx="655320" cy="289560"/>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320040</xdr:colOff>
      <xdr:row>1</xdr:row>
      <xdr:rowOff>7620</xdr:rowOff>
    </xdr:from>
    <xdr:to>
      <xdr:col>23</xdr:col>
      <xdr:colOff>60960</xdr:colOff>
      <xdr:row>37</xdr:row>
      <xdr:rowOff>22860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320040" y="251460"/>
          <a:ext cx="13761720" cy="6598920"/>
        </a:xfrm>
        <a:prstGeom prst="rect">
          <a:avLst/>
        </a:prstGeom>
        <a:gradFill flip="none" rotWithShape="1">
          <a:gsLst>
            <a:gs pos="17000">
              <a:srgbClr val="262834"/>
            </a:gs>
            <a:gs pos="0">
              <a:srgbClr val="282C38"/>
            </a:gs>
            <a:gs pos="68000">
              <a:srgbClr val="121622"/>
            </a:gs>
          </a:gsLst>
          <a:lin ang="2400000" scaled="0"/>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411480</xdr:colOff>
      <xdr:row>9</xdr:row>
      <xdr:rowOff>101727</xdr:rowOff>
    </xdr:from>
    <xdr:to>
      <xdr:col>15</xdr:col>
      <xdr:colOff>251460</xdr:colOff>
      <xdr:row>22</xdr:row>
      <xdr:rowOff>7620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2849880" y="1837394"/>
          <a:ext cx="6545580" cy="2327359"/>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411480</xdr:colOff>
      <xdr:row>23</xdr:row>
      <xdr:rowOff>30480</xdr:rowOff>
    </xdr:from>
    <xdr:to>
      <xdr:col>10</xdr:col>
      <xdr:colOff>594360</xdr:colOff>
      <xdr:row>35</xdr:row>
      <xdr:rowOff>121920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2849880" y="4297680"/>
          <a:ext cx="3840480" cy="22860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487680</xdr:colOff>
      <xdr:row>23</xdr:row>
      <xdr:rowOff>30480</xdr:rowOff>
    </xdr:from>
    <xdr:to>
      <xdr:col>22</xdr:col>
      <xdr:colOff>518160</xdr:colOff>
      <xdr:row>35</xdr:row>
      <xdr:rowOff>121920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631680" y="4297680"/>
          <a:ext cx="4297680" cy="22860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487680</xdr:colOff>
      <xdr:row>9</xdr:row>
      <xdr:rowOff>99060</xdr:rowOff>
    </xdr:from>
    <xdr:to>
      <xdr:col>22</xdr:col>
      <xdr:colOff>518160</xdr:colOff>
      <xdr:row>22</xdr:row>
      <xdr:rowOff>7620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9631680" y="1805940"/>
          <a:ext cx="4297680" cy="22860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ru-RU" sz="1100"/>
        </a:p>
      </xdr:txBody>
    </xdr:sp>
    <xdr:clientData/>
  </xdr:twoCellAnchor>
  <xdr:twoCellAnchor>
    <xdr:from>
      <xdr:col>12</xdr:col>
      <xdr:colOff>251460</xdr:colOff>
      <xdr:row>2</xdr:row>
      <xdr:rowOff>175260</xdr:rowOff>
    </xdr:from>
    <xdr:to>
      <xdr:col>15</xdr:col>
      <xdr:colOff>251460</xdr:colOff>
      <xdr:row>5</xdr:row>
      <xdr:rowOff>83820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7566660" y="601980"/>
          <a:ext cx="1828800" cy="4572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251460</xdr:colOff>
      <xdr:row>5</xdr:row>
      <xdr:rowOff>167640</xdr:rowOff>
    </xdr:from>
    <xdr:to>
      <xdr:col>15</xdr:col>
      <xdr:colOff>251460</xdr:colOff>
      <xdr:row>8</xdr:row>
      <xdr:rowOff>76200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7566660" y="1143000"/>
          <a:ext cx="1828800" cy="4572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487680</xdr:colOff>
      <xdr:row>1</xdr:row>
      <xdr:rowOff>167640</xdr:rowOff>
    </xdr:from>
    <xdr:to>
      <xdr:col>19</xdr:col>
      <xdr:colOff>129540</xdr:colOff>
      <xdr:row>8</xdr:row>
      <xdr:rowOff>76200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9631680" y="411480"/>
          <a:ext cx="2080260" cy="1188720"/>
        </a:xfrm>
        <a:prstGeom prst="rect">
          <a:avLst/>
        </a:prstGeom>
        <a:gradFill>
          <a:gsLst>
            <a:gs pos="12000">
              <a:srgbClr val="21E6DF"/>
            </a:gs>
            <a:gs pos="86000">
              <a:srgbClr val="9F7EF8"/>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129540</xdr:colOff>
      <xdr:row>3</xdr:row>
      <xdr:rowOff>30480</xdr:rowOff>
    </xdr:from>
    <xdr:to>
      <xdr:col>6</xdr:col>
      <xdr:colOff>251460</xdr:colOff>
      <xdr:row>7</xdr:row>
      <xdr:rowOff>30480</xdr:rowOff>
    </xdr:to>
    <xdr:sp macro="" textlink="">
      <xdr:nvSpPr>
        <xdr:cNvPr id="13" name="Oval 12">
          <a:extLst>
            <a:ext uri="{FF2B5EF4-FFF2-40B4-BE49-F238E27FC236}">
              <a16:creationId xmlns:a16="http://schemas.microsoft.com/office/drawing/2014/main" id="{00000000-0008-0000-0100-00000D000000}"/>
            </a:ext>
          </a:extLst>
        </xdr:cNvPr>
        <xdr:cNvSpPr/>
      </xdr:nvSpPr>
      <xdr:spPr>
        <a:xfrm>
          <a:off x="3177540" y="640080"/>
          <a:ext cx="731520" cy="731520"/>
        </a:xfrm>
        <a:prstGeom prst="ellipse">
          <a:avLst/>
        </a:prstGeom>
        <a:noFill/>
        <a:ln w="69850">
          <a:solidFill>
            <a:srgbClr val="2F333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313267</xdr:colOff>
      <xdr:row>11</xdr:row>
      <xdr:rowOff>156631</xdr:rowOff>
    </xdr:from>
    <xdr:to>
      <xdr:col>4</xdr:col>
      <xdr:colOff>137160</xdr:colOff>
      <xdr:row>14</xdr:row>
      <xdr:rowOff>31324</xdr:rowOff>
    </xdr:to>
    <xdr:sp macro="" textlink="">
      <xdr:nvSpPr>
        <xdr:cNvPr id="37" name="Rectangle 36">
          <a:extLst>
            <a:ext uri="{FF2B5EF4-FFF2-40B4-BE49-F238E27FC236}">
              <a16:creationId xmlns:a16="http://schemas.microsoft.com/office/drawing/2014/main" id="{00000000-0008-0000-0100-000025000000}"/>
            </a:ext>
          </a:extLst>
        </xdr:cNvPr>
        <xdr:cNvSpPr/>
      </xdr:nvSpPr>
      <xdr:spPr>
        <a:xfrm>
          <a:off x="313267" y="2229271"/>
          <a:ext cx="2262293" cy="423333"/>
        </a:xfrm>
        <a:prstGeom prst="rect">
          <a:avLst/>
        </a:prstGeom>
        <a:solidFill>
          <a:srgbClr val="0B304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320040</xdr:colOff>
      <xdr:row>11</xdr:row>
      <xdr:rowOff>149585</xdr:rowOff>
    </xdr:from>
    <xdr:to>
      <xdr:col>0</xdr:col>
      <xdr:colOff>365760</xdr:colOff>
      <xdr:row>14</xdr:row>
      <xdr:rowOff>27665</xdr:rowOff>
    </xdr:to>
    <xdr:sp macro="" textlink="">
      <xdr:nvSpPr>
        <xdr:cNvPr id="36" name="Rectangle 35">
          <a:extLst>
            <a:ext uri="{FF2B5EF4-FFF2-40B4-BE49-F238E27FC236}">
              <a16:creationId xmlns:a16="http://schemas.microsoft.com/office/drawing/2014/main" id="{00000000-0008-0000-0100-000024000000}"/>
            </a:ext>
          </a:extLst>
        </xdr:cNvPr>
        <xdr:cNvSpPr/>
      </xdr:nvSpPr>
      <xdr:spPr>
        <a:xfrm>
          <a:off x="320040" y="2213912"/>
          <a:ext cx="45720" cy="424345"/>
        </a:xfrm>
        <a:prstGeom prst="rect">
          <a:avLst/>
        </a:prstGeom>
        <a:solidFill>
          <a:srgbClr val="1DE1EB"/>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xdr:col>
      <xdr:colOff>161567</xdr:colOff>
      <xdr:row>12</xdr:row>
      <xdr:rowOff>38097</xdr:rowOff>
    </xdr:from>
    <xdr:to>
      <xdr:col>4</xdr:col>
      <xdr:colOff>411480</xdr:colOff>
      <xdr:row>13</xdr:row>
      <xdr:rowOff>163404</xdr:rowOff>
    </xdr:to>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771167" y="2293617"/>
          <a:ext cx="2078713" cy="308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rgbClr val="1DE1EB"/>
              </a:solidFill>
              <a:latin typeface="+mn-lt"/>
              <a:ea typeface="+mn-ea"/>
              <a:cs typeface="+mn-cs"/>
            </a:rPr>
            <a:t>STOCK CONTROL</a:t>
          </a:r>
          <a:endParaRPr lang="ru-RU" sz="1400">
            <a:solidFill>
              <a:srgbClr val="1DE1EB"/>
            </a:solidFill>
            <a:latin typeface="+mn-lt"/>
            <a:ea typeface="+mn-ea"/>
            <a:cs typeface="+mn-cs"/>
          </a:endParaRPr>
        </a:p>
      </xdr:txBody>
    </xdr:sp>
    <xdr:clientData/>
  </xdr:twoCellAnchor>
  <xdr:twoCellAnchor>
    <xdr:from>
      <xdr:col>0</xdr:col>
      <xdr:colOff>110068</xdr:colOff>
      <xdr:row>0</xdr:row>
      <xdr:rowOff>93132</xdr:rowOff>
    </xdr:from>
    <xdr:to>
      <xdr:col>4</xdr:col>
      <xdr:colOff>137160</xdr:colOff>
      <xdr:row>8</xdr:row>
      <xdr:rowOff>98212</xdr:rowOff>
    </xdr:to>
    <xdr:sp macro="" textlink="">
      <xdr:nvSpPr>
        <xdr:cNvPr id="45" name="Rectangle 44">
          <a:hlinkClick xmlns:r="http://schemas.openxmlformats.org/officeDocument/2006/relationships" r:id="rId1"/>
          <a:extLst>
            <a:ext uri="{FF2B5EF4-FFF2-40B4-BE49-F238E27FC236}">
              <a16:creationId xmlns:a16="http://schemas.microsoft.com/office/drawing/2014/main" id="{00000000-0008-0000-0100-00002D000000}"/>
            </a:ext>
          </a:extLst>
        </xdr:cNvPr>
        <xdr:cNvSpPr/>
      </xdr:nvSpPr>
      <xdr:spPr>
        <a:xfrm>
          <a:off x="110068" y="93132"/>
          <a:ext cx="2465492" cy="1554480"/>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284481</xdr:colOff>
      <xdr:row>0</xdr:row>
      <xdr:rowOff>201613</xdr:rowOff>
    </xdr:from>
    <xdr:to>
      <xdr:col>3</xdr:col>
      <xdr:colOff>572348</xdr:colOff>
      <xdr:row>8</xdr:row>
      <xdr:rowOff>56294</xdr:rowOff>
    </xdr:to>
    <xdr:grpSp>
      <xdr:nvGrpSpPr>
        <xdr:cNvPr id="46" name="Group 45">
          <a:extLst>
            <a:ext uri="{FF2B5EF4-FFF2-40B4-BE49-F238E27FC236}">
              <a16:creationId xmlns:a16="http://schemas.microsoft.com/office/drawing/2014/main" id="{00000000-0008-0000-0100-00002E000000}"/>
            </a:ext>
          </a:extLst>
        </xdr:cNvPr>
        <xdr:cNvGrpSpPr/>
      </xdr:nvGrpSpPr>
      <xdr:grpSpPr>
        <a:xfrm>
          <a:off x="284481" y="201613"/>
          <a:ext cx="2316692" cy="1369156"/>
          <a:chOff x="304802" y="176212"/>
          <a:chExt cx="2116667" cy="1404081"/>
        </a:xfrm>
      </xdr:grpSpPr>
      <xdr:grpSp>
        <xdr:nvGrpSpPr>
          <xdr:cNvPr id="47" name="Group 46">
            <a:extLst>
              <a:ext uri="{FF2B5EF4-FFF2-40B4-BE49-F238E27FC236}">
                <a16:creationId xmlns:a16="http://schemas.microsoft.com/office/drawing/2014/main" id="{00000000-0008-0000-0100-00002F000000}"/>
              </a:ext>
            </a:extLst>
          </xdr:cNvPr>
          <xdr:cNvGrpSpPr/>
        </xdr:nvGrpSpPr>
        <xdr:grpSpPr>
          <a:xfrm>
            <a:off x="876760" y="564960"/>
            <a:ext cx="970874" cy="688886"/>
            <a:chOff x="817491" y="521780"/>
            <a:chExt cx="970874" cy="674562"/>
          </a:xfrm>
        </xdr:grpSpPr>
        <xdr:sp macro="" textlink="">
          <xdr:nvSpPr>
            <xdr:cNvPr id="53" name="Rectangle 52">
              <a:extLst>
                <a:ext uri="{FF2B5EF4-FFF2-40B4-BE49-F238E27FC236}">
                  <a16:creationId xmlns:a16="http://schemas.microsoft.com/office/drawing/2014/main" id="{00000000-0008-0000-0100-000035000000}"/>
                </a:ext>
              </a:extLst>
            </xdr:cNvPr>
            <xdr:cNvSpPr/>
          </xdr:nvSpPr>
          <xdr:spPr>
            <a:xfrm rot="10800000">
              <a:off x="817491" y="713483"/>
              <a:ext cx="9144" cy="446314"/>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4" name="Rectangle 53">
              <a:extLst>
                <a:ext uri="{FF2B5EF4-FFF2-40B4-BE49-F238E27FC236}">
                  <a16:creationId xmlns:a16="http://schemas.microsoft.com/office/drawing/2014/main" id="{00000000-0008-0000-0100-000036000000}"/>
                </a:ext>
              </a:extLst>
            </xdr:cNvPr>
            <xdr:cNvSpPr/>
          </xdr:nvSpPr>
          <xdr:spPr>
            <a:xfrm rot="10800000">
              <a:off x="986928" y="713483"/>
              <a:ext cx="9144" cy="446314"/>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5" name="Rectangle 54">
              <a:extLst>
                <a:ext uri="{FF2B5EF4-FFF2-40B4-BE49-F238E27FC236}">
                  <a16:creationId xmlns:a16="http://schemas.microsoft.com/office/drawing/2014/main" id="{00000000-0008-0000-0100-000037000000}"/>
                </a:ext>
              </a:extLst>
            </xdr:cNvPr>
            <xdr:cNvSpPr/>
          </xdr:nvSpPr>
          <xdr:spPr>
            <a:xfrm rot="10800000">
              <a:off x="1608066" y="750028"/>
              <a:ext cx="9144" cy="446314"/>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9" name="Rectangle 58">
              <a:extLst>
                <a:ext uri="{FF2B5EF4-FFF2-40B4-BE49-F238E27FC236}">
                  <a16:creationId xmlns:a16="http://schemas.microsoft.com/office/drawing/2014/main" id="{00000000-0008-0000-0100-00003B000000}"/>
                </a:ext>
              </a:extLst>
            </xdr:cNvPr>
            <xdr:cNvSpPr/>
          </xdr:nvSpPr>
          <xdr:spPr>
            <a:xfrm rot="10800000">
              <a:off x="1779221" y="750028"/>
              <a:ext cx="9144" cy="446314"/>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6" name="Rectangle 55">
              <a:extLst>
                <a:ext uri="{FF2B5EF4-FFF2-40B4-BE49-F238E27FC236}">
                  <a16:creationId xmlns:a16="http://schemas.microsoft.com/office/drawing/2014/main" id="{00000000-0008-0000-0100-000038000000}"/>
                </a:ext>
              </a:extLst>
            </xdr:cNvPr>
            <xdr:cNvSpPr/>
          </xdr:nvSpPr>
          <xdr:spPr>
            <a:xfrm rot="10800000">
              <a:off x="1184111" y="582318"/>
              <a:ext cx="9144" cy="446313"/>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7" name="Rectangle 56">
              <a:extLst>
                <a:ext uri="{FF2B5EF4-FFF2-40B4-BE49-F238E27FC236}">
                  <a16:creationId xmlns:a16="http://schemas.microsoft.com/office/drawing/2014/main" id="{00000000-0008-0000-0100-000039000000}"/>
                </a:ext>
              </a:extLst>
            </xdr:cNvPr>
            <xdr:cNvSpPr/>
          </xdr:nvSpPr>
          <xdr:spPr>
            <a:xfrm rot="10800000">
              <a:off x="1415585" y="582318"/>
              <a:ext cx="9144" cy="446313"/>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8" name="Rectangle 57">
              <a:extLst>
                <a:ext uri="{FF2B5EF4-FFF2-40B4-BE49-F238E27FC236}">
                  <a16:creationId xmlns:a16="http://schemas.microsoft.com/office/drawing/2014/main" id="{00000000-0008-0000-0100-00003A000000}"/>
                </a:ext>
              </a:extLst>
            </xdr:cNvPr>
            <xdr:cNvSpPr/>
          </xdr:nvSpPr>
          <xdr:spPr>
            <a:xfrm rot="10800000">
              <a:off x="1296401" y="521780"/>
              <a:ext cx="9144" cy="446313"/>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sp macro="" textlink="">
        <xdr:nvSpPr>
          <xdr:cNvPr id="48" name="Star: 5 Points 47">
            <a:extLst>
              <a:ext uri="{FF2B5EF4-FFF2-40B4-BE49-F238E27FC236}">
                <a16:creationId xmlns:a16="http://schemas.microsoft.com/office/drawing/2014/main" id="{00000000-0008-0000-0100-000030000000}"/>
              </a:ext>
            </a:extLst>
          </xdr:cNvPr>
          <xdr:cNvSpPr/>
        </xdr:nvSpPr>
        <xdr:spPr>
          <a:xfrm>
            <a:off x="1178457" y="176212"/>
            <a:ext cx="365760" cy="373697"/>
          </a:xfrm>
          <a:prstGeom prst="star5">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49" name="Star: 5 Points 48">
            <a:extLst>
              <a:ext uri="{FF2B5EF4-FFF2-40B4-BE49-F238E27FC236}">
                <a16:creationId xmlns:a16="http://schemas.microsoft.com/office/drawing/2014/main" id="{00000000-0008-0000-0100-000031000000}"/>
              </a:ext>
            </a:extLst>
          </xdr:cNvPr>
          <xdr:cNvSpPr/>
        </xdr:nvSpPr>
        <xdr:spPr>
          <a:xfrm>
            <a:off x="1616607" y="448733"/>
            <a:ext cx="274320" cy="284904"/>
          </a:xfrm>
          <a:prstGeom prst="star5">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0" name="Star: 5 Points 49">
            <a:extLst>
              <a:ext uri="{FF2B5EF4-FFF2-40B4-BE49-F238E27FC236}">
                <a16:creationId xmlns:a16="http://schemas.microsoft.com/office/drawing/2014/main" id="{00000000-0008-0000-0100-000032000000}"/>
              </a:ext>
            </a:extLst>
          </xdr:cNvPr>
          <xdr:cNvSpPr/>
        </xdr:nvSpPr>
        <xdr:spPr>
          <a:xfrm>
            <a:off x="826032" y="397931"/>
            <a:ext cx="274320" cy="284904"/>
          </a:xfrm>
          <a:prstGeom prst="star5">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1" name="TextBox 50">
            <a:extLst>
              <a:ext uri="{FF2B5EF4-FFF2-40B4-BE49-F238E27FC236}">
                <a16:creationId xmlns:a16="http://schemas.microsoft.com/office/drawing/2014/main" id="{00000000-0008-0000-0100-000033000000}"/>
              </a:ext>
            </a:extLst>
          </xdr:cNvPr>
          <xdr:cNvSpPr txBox="1"/>
        </xdr:nvSpPr>
        <xdr:spPr>
          <a:xfrm>
            <a:off x="304802" y="986276"/>
            <a:ext cx="2116667" cy="373884"/>
          </a:xfrm>
          <a:prstGeom prst="rect">
            <a:avLst/>
          </a:prstGeom>
          <a:noFill/>
          <a:ln w="9525" cmpd="sng">
            <a:noFill/>
          </a:ln>
          <a:effectLst>
            <a:outerShdw blurRad="50800" dist="38100" dir="16200000"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gradFill>
                  <a:gsLst>
                    <a:gs pos="25000">
                      <a:srgbClr val="C1A35F"/>
                    </a:gs>
                    <a:gs pos="75000">
                      <a:srgbClr val="C1A35F"/>
                    </a:gs>
                    <a:gs pos="0">
                      <a:srgbClr val="94632A"/>
                    </a:gs>
                    <a:gs pos="50000">
                      <a:srgbClr val="F3E999"/>
                    </a:gs>
                    <a:gs pos="100000">
                      <a:srgbClr val="94632A"/>
                    </a:gs>
                  </a:gsLst>
                  <a:lin ang="0" scaled="1"/>
                </a:gradFill>
                <a:latin typeface="Century Gothic" panose="020B0502020202020204" pitchFamily="34" charset="0"/>
                <a:ea typeface="ADLaM Display" panose="02010000000000000000" pitchFamily="2" charset="0"/>
                <a:cs typeface="ADLaM Display" panose="02010000000000000000" pitchFamily="2" charset="0"/>
              </a:rPr>
              <a:t>COMPARISON</a:t>
            </a:r>
            <a:endParaRPr lang="ru-RU" sz="1800" b="1">
              <a:gradFill>
                <a:gsLst>
                  <a:gs pos="25000">
                    <a:srgbClr val="C1A35F"/>
                  </a:gs>
                  <a:gs pos="75000">
                    <a:srgbClr val="C1A35F"/>
                  </a:gs>
                  <a:gs pos="0">
                    <a:srgbClr val="94632A"/>
                  </a:gs>
                  <a:gs pos="50000">
                    <a:srgbClr val="F3E999"/>
                  </a:gs>
                  <a:gs pos="100000">
                    <a:srgbClr val="94632A"/>
                  </a:gs>
                </a:gsLst>
                <a:lin ang="0" scaled="1"/>
              </a:gradFill>
              <a:latin typeface="Century Gothic" panose="020B0502020202020204" pitchFamily="34" charset="0"/>
              <a:ea typeface="ADLaM Display" panose="02010000000000000000" pitchFamily="2" charset="0"/>
              <a:cs typeface="ADLaM Display" panose="02010000000000000000" pitchFamily="2" charset="0"/>
            </a:endParaRPr>
          </a:p>
        </xdr:txBody>
      </xdr:sp>
      <xdr:sp macro="" textlink="">
        <xdr:nvSpPr>
          <xdr:cNvPr id="52" name="TextBox 51">
            <a:extLst>
              <a:ext uri="{FF2B5EF4-FFF2-40B4-BE49-F238E27FC236}">
                <a16:creationId xmlns:a16="http://schemas.microsoft.com/office/drawing/2014/main" id="{00000000-0008-0000-0100-000034000000}"/>
              </a:ext>
            </a:extLst>
          </xdr:cNvPr>
          <xdr:cNvSpPr txBox="1"/>
        </xdr:nvSpPr>
        <xdr:spPr>
          <a:xfrm>
            <a:off x="304802" y="1206411"/>
            <a:ext cx="2116667" cy="373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0" spc="110" baseline="0">
                <a:gradFill>
                  <a:gsLst>
                    <a:gs pos="25000">
                      <a:srgbClr val="C1A35F"/>
                    </a:gs>
                    <a:gs pos="75000">
                      <a:srgbClr val="C1A35F"/>
                    </a:gs>
                    <a:gs pos="0">
                      <a:srgbClr val="94632A"/>
                    </a:gs>
                    <a:gs pos="50000">
                      <a:srgbClr val="F3E999"/>
                    </a:gs>
                    <a:gs pos="100000">
                      <a:srgbClr val="94632A"/>
                    </a:gs>
                  </a:gsLst>
                  <a:lin ang="0" scaled="1"/>
                </a:gradFill>
                <a:latin typeface="Century Gothic" panose="020B0502020202020204" pitchFamily="34" charset="0"/>
                <a:ea typeface="ADLaM Display" panose="02010000000000000000" pitchFamily="2" charset="0"/>
                <a:cs typeface="ADLaM Display" panose="02010000000000000000" pitchFamily="2" charset="0"/>
              </a:rPr>
              <a:t>niche vs massmarket</a:t>
            </a:r>
            <a:endParaRPr lang="ru-RU" sz="1000" b="0" spc="110" baseline="0">
              <a:gradFill>
                <a:gsLst>
                  <a:gs pos="25000">
                    <a:srgbClr val="C1A35F"/>
                  </a:gs>
                  <a:gs pos="75000">
                    <a:srgbClr val="C1A35F"/>
                  </a:gs>
                  <a:gs pos="0">
                    <a:srgbClr val="94632A"/>
                  </a:gs>
                  <a:gs pos="50000">
                    <a:srgbClr val="F3E999"/>
                  </a:gs>
                  <a:gs pos="100000">
                    <a:srgbClr val="94632A"/>
                  </a:gs>
                </a:gsLst>
                <a:lin ang="0" scaled="1"/>
              </a:gradFill>
              <a:latin typeface="Century Gothic" panose="020B0502020202020204" pitchFamily="34" charset="0"/>
              <a:ea typeface="ADLaM Display" panose="02010000000000000000" pitchFamily="2" charset="0"/>
              <a:cs typeface="ADLaM Display" panose="02010000000000000000" pitchFamily="2" charset="0"/>
            </a:endParaRPr>
          </a:p>
        </xdr:txBody>
      </xdr:sp>
    </xdr:grpSp>
    <xdr:clientData/>
  </xdr:twoCellAnchor>
  <xdr:twoCellAnchor>
    <xdr:from>
      <xdr:col>4</xdr:col>
      <xdr:colOff>411480</xdr:colOff>
      <xdr:row>0</xdr:row>
      <xdr:rowOff>93132</xdr:rowOff>
    </xdr:from>
    <xdr:to>
      <xdr:col>8</xdr:col>
      <xdr:colOff>167640</xdr:colOff>
      <xdr:row>8</xdr:row>
      <xdr:rowOff>98212</xdr:rowOff>
    </xdr:to>
    <xdr:sp macro="" textlink="">
      <xdr:nvSpPr>
        <xdr:cNvPr id="60" name="Rectangle 59">
          <a:extLst>
            <a:ext uri="{FF2B5EF4-FFF2-40B4-BE49-F238E27FC236}">
              <a16:creationId xmlns:a16="http://schemas.microsoft.com/office/drawing/2014/main" id="{00000000-0008-0000-0100-00003C000000}"/>
            </a:ext>
          </a:extLst>
        </xdr:cNvPr>
        <xdr:cNvSpPr/>
      </xdr:nvSpPr>
      <xdr:spPr>
        <a:xfrm>
          <a:off x="2849880" y="93132"/>
          <a:ext cx="2194560" cy="152908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8</xdr:col>
      <xdr:colOff>350520</xdr:colOff>
      <xdr:row>0</xdr:row>
      <xdr:rowOff>93132</xdr:rowOff>
    </xdr:from>
    <xdr:to>
      <xdr:col>12</xdr:col>
      <xdr:colOff>106680</xdr:colOff>
      <xdr:row>8</xdr:row>
      <xdr:rowOff>98212</xdr:rowOff>
    </xdr:to>
    <xdr:sp macro="" textlink="">
      <xdr:nvSpPr>
        <xdr:cNvPr id="61" name="Rectangle 60">
          <a:extLst>
            <a:ext uri="{FF2B5EF4-FFF2-40B4-BE49-F238E27FC236}">
              <a16:creationId xmlns:a16="http://schemas.microsoft.com/office/drawing/2014/main" id="{00000000-0008-0000-0100-00003D000000}"/>
            </a:ext>
          </a:extLst>
        </xdr:cNvPr>
        <xdr:cNvSpPr/>
      </xdr:nvSpPr>
      <xdr:spPr>
        <a:xfrm>
          <a:off x="5227320" y="93132"/>
          <a:ext cx="2194560" cy="155448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76200</xdr:colOff>
      <xdr:row>0</xdr:row>
      <xdr:rowOff>0</xdr:rowOff>
    </xdr:from>
    <xdr:to>
      <xdr:col>7</xdr:col>
      <xdr:colOff>502920</xdr:colOff>
      <xdr:row>8</xdr:row>
      <xdr:rowOff>121920</xdr:rowOff>
    </xdr:to>
    <xdr:graphicFrame macro="">
      <xdr:nvGraphicFramePr>
        <xdr:cNvPr id="62" name="Chart 61">
          <a:extLst>
            <a:ext uri="{FF2B5EF4-FFF2-40B4-BE49-F238E27FC236}">
              <a16:creationId xmlns:a16="http://schemas.microsoft.com/office/drawing/2014/main" id="{00000000-0008-0000-0100-00003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464820</xdr:colOff>
      <xdr:row>1</xdr:row>
      <xdr:rowOff>148791</xdr:rowOff>
    </xdr:from>
    <xdr:to>
      <xdr:col>7</xdr:col>
      <xdr:colOff>114300</xdr:colOff>
      <xdr:row>6</xdr:row>
      <xdr:rowOff>95050</xdr:rowOff>
    </xdr:to>
    <xdr:sp macro="" textlink="">
      <xdr:nvSpPr>
        <xdr:cNvPr id="63" name="Oval 62">
          <a:extLst>
            <a:ext uri="{FF2B5EF4-FFF2-40B4-BE49-F238E27FC236}">
              <a16:creationId xmlns:a16="http://schemas.microsoft.com/office/drawing/2014/main" id="{00000000-0008-0000-0100-00003F000000}"/>
            </a:ext>
          </a:extLst>
        </xdr:cNvPr>
        <xdr:cNvSpPr/>
      </xdr:nvSpPr>
      <xdr:spPr>
        <a:xfrm>
          <a:off x="3512820" y="392631"/>
          <a:ext cx="868680" cy="860659"/>
        </a:xfrm>
        <a:prstGeom prst="ellipse">
          <a:avLst/>
        </a:prstGeom>
        <a:noFill/>
        <a:ln w="12700">
          <a:solidFill>
            <a:srgbClr val="19405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0</xdr:colOff>
      <xdr:row>0</xdr:row>
      <xdr:rowOff>0</xdr:rowOff>
    </xdr:from>
    <xdr:to>
      <xdr:col>11</xdr:col>
      <xdr:colOff>426720</xdr:colOff>
      <xdr:row>8</xdr:row>
      <xdr:rowOff>121920</xdr:rowOff>
    </xdr:to>
    <xdr:graphicFrame macro="">
      <xdr:nvGraphicFramePr>
        <xdr:cNvPr id="65" name="Chart 64">
          <a:extLst>
            <a:ext uri="{FF2B5EF4-FFF2-40B4-BE49-F238E27FC236}">
              <a16:creationId xmlns:a16="http://schemas.microsoft.com/office/drawing/2014/main" id="{00000000-0008-0000-0100-00004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388620</xdr:colOff>
      <xdr:row>1</xdr:row>
      <xdr:rowOff>148791</xdr:rowOff>
    </xdr:from>
    <xdr:to>
      <xdr:col>11</xdr:col>
      <xdr:colOff>38100</xdr:colOff>
      <xdr:row>6</xdr:row>
      <xdr:rowOff>95050</xdr:rowOff>
    </xdr:to>
    <xdr:sp macro="" textlink="">
      <xdr:nvSpPr>
        <xdr:cNvPr id="66" name="Oval 65">
          <a:extLst>
            <a:ext uri="{FF2B5EF4-FFF2-40B4-BE49-F238E27FC236}">
              <a16:creationId xmlns:a16="http://schemas.microsoft.com/office/drawing/2014/main" id="{00000000-0008-0000-0100-000042000000}"/>
            </a:ext>
          </a:extLst>
        </xdr:cNvPr>
        <xdr:cNvSpPr/>
      </xdr:nvSpPr>
      <xdr:spPr>
        <a:xfrm>
          <a:off x="5875020" y="394324"/>
          <a:ext cx="868680" cy="877593"/>
        </a:xfrm>
        <a:prstGeom prst="ellipse">
          <a:avLst/>
        </a:prstGeom>
        <a:noFill/>
        <a:ln w="12700">
          <a:solidFill>
            <a:srgbClr val="4D295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19</xdr:col>
      <xdr:colOff>266700</xdr:colOff>
      <xdr:row>1</xdr:row>
      <xdr:rowOff>167640</xdr:rowOff>
    </xdr:from>
    <xdr:to>
      <xdr:col>22</xdr:col>
      <xdr:colOff>518160</xdr:colOff>
      <xdr:row>8</xdr:row>
      <xdr:rowOff>76200</xdr:rowOff>
    </xdr:to>
    <xdr:sp macro="" textlink="">
      <xdr:nvSpPr>
        <xdr:cNvPr id="69" name="Rectangle 68">
          <a:extLst>
            <a:ext uri="{FF2B5EF4-FFF2-40B4-BE49-F238E27FC236}">
              <a16:creationId xmlns:a16="http://schemas.microsoft.com/office/drawing/2014/main" id="{00000000-0008-0000-0100-000045000000}"/>
            </a:ext>
          </a:extLst>
        </xdr:cNvPr>
        <xdr:cNvSpPr/>
      </xdr:nvSpPr>
      <xdr:spPr>
        <a:xfrm>
          <a:off x="11849100" y="411480"/>
          <a:ext cx="2080260" cy="1188720"/>
        </a:xfrm>
        <a:prstGeom prst="rect">
          <a:avLst/>
        </a:prstGeom>
        <a:gradFill>
          <a:gsLst>
            <a:gs pos="13000">
              <a:srgbClr val="D36FF9"/>
            </a:gs>
            <a:gs pos="86000">
              <a:srgbClr val="9F7EF8"/>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586740</xdr:colOff>
      <xdr:row>9</xdr:row>
      <xdr:rowOff>29633</xdr:rowOff>
    </xdr:from>
    <xdr:to>
      <xdr:col>15</xdr:col>
      <xdr:colOff>45720</xdr:colOff>
      <xdr:row>21</xdr:row>
      <xdr:rowOff>45720</xdr:rowOff>
    </xdr:to>
    <xdr:graphicFrame macro="">
      <xdr:nvGraphicFramePr>
        <xdr:cNvPr id="70" name="Chart 69">
          <a:extLst>
            <a:ext uri="{FF2B5EF4-FFF2-40B4-BE49-F238E27FC236}">
              <a16:creationId xmlns:a16="http://schemas.microsoft.com/office/drawing/2014/main" id="{00000000-0008-0000-0100-00004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83819</xdr:colOff>
      <xdr:row>11</xdr:row>
      <xdr:rowOff>76200</xdr:rowOff>
    </xdr:from>
    <xdr:to>
      <xdr:col>22</xdr:col>
      <xdr:colOff>289560</xdr:colOff>
      <xdr:row>21</xdr:row>
      <xdr:rowOff>42333</xdr:rowOff>
    </xdr:to>
    <xdr:graphicFrame macro="">
      <xdr:nvGraphicFramePr>
        <xdr:cNvPr id="71" name="Chart 70">
          <a:extLst>
            <a:ext uri="{FF2B5EF4-FFF2-40B4-BE49-F238E27FC236}">
              <a16:creationId xmlns:a16="http://schemas.microsoft.com/office/drawing/2014/main" id="{00000000-0008-0000-0100-00004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220980</xdr:colOff>
      <xdr:row>23</xdr:row>
      <xdr:rowOff>30480</xdr:rowOff>
    </xdr:from>
    <xdr:to>
      <xdr:col>15</xdr:col>
      <xdr:colOff>251460</xdr:colOff>
      <xdr:row>35</xdr:row>
      <xdr:rowOff>121920</xdr:rowOff>
    </xdr:to>
    <xdr:sp macro="" textlink="">
      <xdr:nvSpPr>
        <xdr:cNvPr id="72" name="Rectangle 71">
          <a:extLst>
            <a:ext uri="{FF2B5EF4-FFF2-40B4-BE49-F238E27FC236}">
              <a16:creationId xmlns:a16="http://schemas.microsoft.com/office/drawing/2014/main" id="{00000000-0008-0000-0100-000048000000}"/>
            </a:ext>
          </a:extLst>
        </xdr:cNvPr>
        <xdr:cNvSpPr/>
      </xdr:nvSpPr>
      <xdr:spPr>
        <a:xfrm>
          <a:off x="6926580" y="4297680"/>
          <a:ext cx="2468880" cy="22860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548640</xdr:colOff>
      <xdr:row>23</xdr:row>
      <xdr:rowOff>60960</xdr:rowOff>
    </xdr:from>
    <xdr:to>
      <xdr:col>11</xdr:col>
      <xdr:colOff>0</xdr:colOff>
      <xdr:row>34</xdr:row>
      <xdr:rowOff>167640</xdr:rowOff>
    </xdr:to>
    <xdr:graphicFrame macro="">
      <xdr:nvGraphicFramePr>
        <xdr:cNvPr id="74" name="Chart 73">
          <a:extLst>
            <a:ext uri="{FF2B5EF4-FFF2-40B4-BE49-F238E27FC236}">
              <a16:creationId xmlns:a16="http://schemas.microsoft.com/office/drawing/2014/main" id="{00000000-0008-0000-0100-00004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506730</xdr:colOff>
      <xdr:row>23</xdr:row>
      <xdr:rowOff>49342</xdr:rowOff>
    </xdr:from>
    <xdr:to>
      <xdr:col>14</xdr:col>
      <xdr:colOff>575310</xdr:colOff>
      <xdr:row>33</xdr:row>
      <xdr:rowOff>72285</xdr:rowOff>
    </xdr:to>
    <xdr:graphicFrame macro="">
      <xdr:nvGraphicFramePr>
        <xdr:cNvPr id="75" name="Chart 74">
          <a:extLst>
            <a:ext uri="{FF2B5EF4-FFF2-40B4-BE49-F238E27FC236}">
              <a16:creationId xmlns:a16="http://schemas.microsoft.com/office/drawing/2014/main" id="{00000000-0008-0000-0100-00004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99060</xdr:colOff>
      <xdr:row>23</xdr:row>
      <xdr:rowOff>60960</xdr:rowOff>
    </xdr:from>
    <xdr:to>
      <xdr:col>22</xdr:col>
      <xdr:colOff>367862</xdr:colOff>
      <xdr:row>34</xdr:row>
      <xdr:rowOff>160020</xdr:rowOff>
    </xdr:to>
    <xdr:graphicFrame macro="">
      <xdr:nvGraphicFramePr>
        <xdr:cNvPr id="79" name="Chart 78">
          <a:extLst>
            <a:ext uri="{FF2B5EF4-FFF2-40B4-BE49-F238E27FC236}">
              <a16:creationId xmlns:a16="http://schemas.microsoft.com/office/drawing/2014/main" id="{00000000-0008-0000-0100-00004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510354</xdr:colOff>
      <xdr:row>25</xdr:row>
      <xdr:rowOff>155931</xdr:rowOff>
    </xdr:from>
    <xdr:to>
      <xdr:col>16</xdr:col>
      <xdr:colOff>510354</xdr:colOff>
      <xdr:row>33</xdr:row>
      <xdr:rowOff>61294</xdr:rowOff>
    </xdr:to>
    <xdr:cxnSp macro="">
      <xdr:nvCxnSpPr>
        <xdr:cNvPr id="81" name="Straight Connector 80">
          <a:extLst>
            <a:ext uri="{FF2B5EF4-FFF2-40B4-BE49-F238E27FC236}">
              <a16:creationId xmlns:a16="http://schemas.microsoft.com/office/drawing/2014/main" id="{00000000-0008-0000-0100-000051000000}"/>
            </a:ext>
          </a:extLst>
        </xdr:cNvPr>
        <xdr:cNvCxnSpPr/>
      </xdr:nvCxnSpPr>
      <xdr:spPr>
        <a:xfrm>
          <a:off x="10263954" y="4788891"/>
          <a:ext cx="0" cy="1368403"/>
        </a:xfrm>
        <a:prstGeom prst="line">
          <a:avLst/>
        </a:prstGeom>
        <a:ln w="12700">
          <a:solidFill>
            <a:schemeClr val="tx1">
              <a:lumMod val="75000"/>
              <a:lumOff val="2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403860</xdr:colOff>
      <xdr:row>19</xdr:row>
      <xdr:rowOff>144780</xdr:rowOff>
    </xdr:from>
    <xdr:to>
      <xdr:col>15</xdr:col>
      <xdr:colOff>222504</xdr:colOff>
      <xdr:row>22</xdr:row>
      <xdr:rowOff>22860</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3108960" y="3649980"/>
          <a:ext cx="7257669" cy="421005"/>
          <a:chOff x="2857500" y="3672840"/>
          <a:chExt cx="6524244" cy="426720"/>
        </a:xfrm>
      </xdr:grpSpPr>
      <xdr:sp macro="" textlink="">
        <xdr:nvSpPr>
          <xdr:cNvPr id="18" name="Rectangle 17">
            <a:extLst>
              <a:ext uri="{FF2B5EF4-FFF2-40B4-BE49-F238E27FC236}">
                <a16:creationId xmlns:a16="http://schemas.microsoft.com/office/drawing/2014/main" id="{00000000-0008-0000-0100-000012000000}"/>
              </a:ext>
            </a:extLst>
          </xdr:cNvPr>
          <xdr:cNvSpPr/>
        </xdr:nvSpPr>
        <xdr:spPr>
          <a:xfrm>
            <a:off x="3421380" y="3672840"/>
            <a:ext cx="5960364" cy="426720"/>
          </a:xfrm>
          <a:prstGeom prst="rect">
            <a:avLst/>
          </a:prstGeom>
          <a:solidFill>
            <a:srgbClr val="181C2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mc:AlternateContent xmlns:mc="http://schemas.openxmlformats.org/markup-compatibility/2006" xmlns:a14="http://schemas.microsoft.com/office/drawing/2010/main">
        <mc:Choice Requires="a14">
          <xdr:graphicFrame macro="">
            <xdr:nvGraphicFramePr>
              <xdr:cNvPr id="19" name="Name Month 1">
                <a:extLst>
                  <a:ext uri="{FF2B5EF4-FFF2-40B4-BE49-F238E27FC236}">
                    <a16:creationId xmlns:a16="http://schemas.microsoft.com/office/drawing/2014/main" id="{00000000-0008-0000-0100-000013000000}"/>
                  </a:ext>
                </a:extLst>
              </xdr:cNvPr>
              <xdr:cNvGraphicFramePr/>
            </xdr:nvGraphicFramePr>
            <xdr:xfrm>
              <a:off x="3390900" y="3718560"/>
              <a:ext cx="5783580" cy="365760"/>
            </xdr:xfrm>
            <a:graphic>
              <a:graphicData uri="http://schemas.microsoft.com/office/drawing/2010/slicer">
                <sle:slicer xmlns:sle="http://schemas.microsoft.com/office/drawing/2010/slicer" name="Name Month 1"/>
              </a:graphicData>
            </a:graphic>
          </xdr:graphicFrame>
        </mc:Choice>
        <mc:Fallback xmlns="">
          <xdr:sp macro="" textlink="">
            <xdr:nvSpPr>
              <xdr:cNvPr id="0" name=""/>
              <xdr:cNvSpPr>
                <a:spLocks noTextEdit="1"/>
              </xdr:cNvSpPr>
            </xdr:nvSpPr>
            <xdr:spPr>
              <a:xfrm>
                <a:off x="3375660" y="3726180"/>
                <a:ext cx="5783580" cy="36576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0" name="Rectangle 19">
            <a:extLst>
              <a:ext uri="{FF2B5EF4-FFF2-40B4-BE49-F238E27FC236}">
                <a16:creationId xmlns:a16="http://schemas.microsoft.com/office/drawing/2014/main" id="{00000000-0008-0000-0100-000014000000}"/>
              </a:ext>
            </a:extLst>
          </xdr:cNvPr>
          <xdr:cNvSpPr/>
        </xdr:nvSpPr>
        <xdr:spPr>
          <a:xfrm>
            <a:off x="2857500" y="3672840"/>
            <a:ext cx="617219" cy="426720"/>
          </a:xfrm>
          <a:prstGeom prst="rect">
            <a:avLst/>
          </a:prstGeom>
          <a:gradFill>
            <a:gsLst>
              <a:gs pos="0">
                <a:srgbClr val="222632"/>
              </a:gs>
              <a:gs pos="86000">
                <a:srgbClr val="181C28"/>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5</xdr:col>
      <xdr:colOff>466367</xdr:colOff>
      <xdr:row>2</xdr:row>
      <xdr:rowOff>146471</xdr:rowOff>
    </xdr:from>
    <xdr:to>
      <xdr:col>7</xdr:col>
      <xdr:colOff>144780</xdr:colOff>
      <xdr:row>4</xdr:row>
      <xdr:rowOff>45721</xdr:rowOff>
    </xdr:to>
    <xdr:sp macro="" textlink="Processing!B33">
      <xdr:nvSpPr>
        <xdr:cNvPr id="27" name="TextBox 26">
          <a:extLst>
            <a:ext uri="{FF2B5EF4-FFF2-40B4-BE49-F238E27FC236}">
              <a16:creationId xmlns:a16="http://schemas.microsoft.com/office/drawing/2014/main" id="{00000000-0008-0000-0100-00001B000000}"/>
            </a:ext>
          </a:extLst>
        </xdr:cNvPr>
        <xdr:cNvSpPr txBox="1"/>
      </xdr:nvSpPr>
      <xdr:spPr>
        <a:xfrm>
          <a:off x="3514367" y="573191"/>
          <a:ext cx="897613" cy="265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2C4AFB-961B-47B0-9D14-1B23F703AE81}" type="TxLink">
            <a:rPr lang="en-US" sz="1800" b="0" i="0" u="none" strike="noStrike">
              <a:solidFill>
                <a:schemeClr val="accent1">
                  <a:lumMod val="20000"/>
                  <a:lumOff val="80000"/>
                </a:schemeClr>
              </a:solidFill>
              <a:latin typeface="Aptos Narrow"/>
            </a:rPr>
            <a:pPr algn="ctr"/>
            <a:t>59%</a:t>
          </a:fld>
          <a:endParaRPr lang="ru-RU" sz="2400">
            <a:solidFill>
              <a:schemeClr val="accent1">
                <a:lumMod val="20000"/>
                <a:lumOff val="80000"/>
              </a:schemeClr>
            </a:solidFill>
          </a:endParaRPr>
        </a:p>
      </xdr:txBody>
    </xdr:sp>
    <xdr:clientData/>
  </xdr:twoCellAnchor>
  <xdr:twoCellAnchor>
    <xdr:from>
      <xdr:col>9</xdr:col>
      <xdr:colOff>430967</xdr:colOff>
      <xdr:row>2</xdr:row>
      <xdr:rowOff>146471</xdr:rowOff>
    </xdr:from>
    <xdr:to>
      <xdr:col>11</xdr:col>
      <xdr:colOff>27779</xdr:colOff>
      <xdr:row>4</xdr:row>
      <xdr:rowOff>91935</xdr:rowOff>
    </xdr:to>
    <xdr:sp macro="" textlink="Processing!B35">
      <xdr:nvSpPr>
        <xdr:cNvPr id="28" name="TextBox 27">
          <a:extLst>
            <a:ext uri="{FF2B5EF4-FFF2-40B4-BE49-F238E27FC236}">
              <a16:creationId xmlns:a16="http://schemas.microsoft.com/office/drawing/2014/main" id="{00000000-0008-0000-0100-00001C000000}"/>
            </a:ext>
          </a:extLst>
        </xdr:cNvPr>
        <xdr:cNvSpPr txBox="1"/>
      </xdr:nvSpPr>
      <xdr:spPr>
        <a:xfrm>
          <a:off x="5917367" y="573191"/>
          <a:ext cx="816012" cy="311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2DA2A7A-982A-4BDB-A6CB-879A1C10BD6B}" type="TxLink">
            <a:rPr lang="en-US" sz="1800" b="0" i="0" u="none" strike="noStrike">
              <a:solidFill>
                <a:schemeClr val="accent5">
                  <a:lumMod val="20000"/>
                  <a:lumOff val="80000"/>
                </a:schemeClr>
              </a:solidFill>
              <a:latin typeface="Aptos Narrow"/>
            </a:rPr>
            <a:pPr algn="ctr"/>
            <a:t>82%</a:t>
          </a:fld>
          <a:endParaRPr lang="ru-RU" sz="4800">
            <a:solidFill>
              <a:schemeClr val="accent5">
                <a:lumMod val="20000"/>
                <a:lumOff val="80000"/>
              </a:schemeClr>
            </a:solidFill>
          </a:endParaRPr>
        </a:p>
      </xdr:txBody>
    </xdr:sp>
    <xdr:clientData/>
  </xdr:twoCellAnchor>
  <xdr:twoCellAnchor editAs="oneCell">
    <xdr:from>
      <xdr:col>12</xdr:col>
      <xdr:colOff>228600</xdr:colOff>
      <xdr:row>0</xdr:row>
      <xdr:rowOff>121920</xdr:rowOff>
    </xdr:from>
    <xdr:to>
      <xdr:col>15</xdr:col>
      <xdr:colOff>228600</xdr:colOff>
      <xdr:row>2</xdr:row>
      <xdr:rowOff>114299</xdr:rowOff>
    </xdr:to>
    <mc:AlternateContent xmlns:mc="http://schemas.openxmlformats.org/markup-compatibility/2006" xmlns:a14="http://schemas.microsoft.com/office/drawing/2010/main">
      <mc:Choice Requires="a14">
        <xdr:graphicFrame macro="">
          <xdr:nvGraphicFramePr>
            <xdr:cNvPr id="29" name="Year 1">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7543800" y="121920"/>
              <a:ext cx="1828800" cy="419099"/>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388620</xdr:colOff>
      <xdr:row>2</xdr:row>
      <xdr:rowOff>175260</xdr:rowOff>
    </xdr:from>
    <xdr:to>
      <xdr:col>15</xdr:col>
      <xdr:colOff>243296</xdr:colOff>
      <xdr:row>8</xdr:row>
      <xdr:rowOff>72390</xdr:rowOff>
    </xdr:to>
    <xdr:grpSp>
      <xdr:nvGrpSpPr>
        <xdr:cNvPr id="30" name="Group 29">
          <a:extLst>
            <a:ext uri="{FF2B5EF4-FFF2-40B4-BE49-F238E27FC236}">
              <a16:creationId xmlns:a16="http://schemas.microsoft.com/office/drawing/2014/main" id="{00000000-0008-0000-0100-00001E000000}"/>
            </a:ext>
          </a:extLst>
        </xdr:cNvPr>
        <xdr:cNvGrpSpPr/>
      </xdr:nvGrpSpPr>
      <xdr:grpSpPr>
        <a:xfrm>
          <a:off x="8503920" y="594360"/>
          <a:ext cx="1883501" cy="992505"/>
          <a:chOff x="7700554" y="601980"/>
          <a:chExt cx="1683476" cy="994410"/>
        </a:xfrm>
      </xdr:grpSpPr>
      <xdr:sp macro="" textlink="Processing!$E$1">
        <xdr:nvSpPr>
          <xdr:cNvPr id="31" name="TextBox 30">
            <a:extLst>
              <a:ext uri="{FF2B5EF4-FFF2-40B4-BE49-F238E27FC236}">
                <a16:creationId xmlns:a16="http://schemas.microsoft.com/office/drawing/2014/main" id="{00000000-0008-0000-0100-00001F000000}"/>
              </a:ext>
            </a:extLst>
          </xdr:cNvPr>
          <xdr:cNvSpPr txBox="1"/>
        </xdr:nvSpPr>
        <xdr:spPr>
          <a:xfrm rot="5400000">
            <a:off x="8763000" y="449580"/>
            <a:ext cx="468630" cy="77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8C50FE-8B5A-4CA6-A199-16317AE571F9}" type="TxLink">
              <a:rPr lang="en-US" sz="3200" b="0" i="0" u="none" strike="noStrike">
                <a:blipFill>
                  <a:blip xmlns:r="http://schemas.openxmlformats.org/officeDocument/2006/relationships" r:embed="rId9">
                    <a:extLst>
                      <a:ext uri="{96DAC541-7B7A-43D3-8B79-37D633B846F1}">
                        <asvg:svgBlip xmlns:asvg="http://schemas.microsoft.com/office/drawing/2016/SVG/main" xmlns="" r:embed="rId10"/>
                      </a:ext>
                    </a:extLst>
                  </a:blip>
                  <a:stretch>
                    <a:fillRect/>
                  </a:stretch>
                </a:blipFill>
                <a:latin typeface="Arial" panose="020B0604020202020204" pitchFamily="34" charset="0"/>
                <a:cs typeface="Arial" panose="020B0604020202020204" pitchFamily="34" charset="0"/>
              </a:rPr>
              <a:pPr algn="ctr"/>
              <a:t>█</a:t>
            </a:fld>
            <a:endParaRPr lang="ru-RU" sz="3200">
              <a:blipFill>
                <a:blip xmlns:r="http://schemas.openxmlformats.org/officeDocument/2006/relationships" r:embed="rId9">
                  <a:extLst>
                    <a:ext uri="{96DAC541-7B7A-43D3-8B79-37D633B846F1}">
                      <asvg:svgBlip xmlns:asvg="http://schemas.microsoft.com/office/drawing/2016/SVG/main" xmlns="" r:embed="rId10"/>
                    </a:ext>
                  </a:extLst>
                </a:blip>
                <a:stretch>
                  <a:fillRect/>
                </a:stretch>
              </a:blipFill>
              <a:latin typeface="Arial" panose="020B0604020202020204" pitchFamily="34" charset="0"/>
              <a:cs typeface="Arial" panose="020B0604020202020204" pitchFamily="34" charset="0"/>
            </a:endParaRPr>
          </a:p>
        </xdr:txBody>
      </xdr:sp>
      <xdr:sp macro="" textlink="Processing!$F$1">
        <xdr:nvSpPr>
          <xdr:cNvPr id="32" name="TextBox 31">
            <a:extLst>
              <a:ext uri="{FF2B5EF4-FFF2-40B4-BE49-F238E27FC236}">
                <a16:creationId xmlns:a16="http://schemas.microsoft.com/office/drawing/2014/main" id="{00000000-0008-0000-0100-000020000000}"/>
              </a:ext>
            </a:extLst>
          </xdr:cNvPr>
          <xdr:cNvSpPr txBox="1"/>
        </xdr:nvSpPr>
        <xdr:spPr>
          <a:xfrm rot="5400000">
            <a:off x="8763000" y="975360"/>
            <a:ext cx="468630" cy="77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DB755B-5502-43D7-A499-5DBAF9ECE3B2}" type="TxLink">
              <a:rPr lang="en-US" sz="3200" b="0" i="0" u="none" strike="noStrike">
                <a:blipFill>
                  <a:blip xmlns:r="http://schemas.openxmlformats.org/officeDocument/2006/relationships" r:embed="rId11">
                    <a:extLst>
                      <a:ext uri="{96DAC541-7B7A-43D3-8B79-37D633B846F1}">
                        <asvg:svgBlip xmlns:asvg="http://schemas.microsoft.com/office/drawing/2016/SVG/main" xmlns="" r:embed="rId12"/>
                      </a:ext>
                    </a:extLst>
                  </a:blip>
                  <a:stretch>
                    <a:fillRect/>
                  </a:stretch>
                </a:blipFill>
                <a:latin typeface="Arial" panose="020B0604020202020204" pitchFamily="34" charset="0"/>
                <a:cs typeface="Arial" panose="020B0604020202020204" pitchFamily="34" charset="0"/>
              </a:rPr>
              <a:pPr algn="ctr"/>
              <a:t>█</a:t>
            </a:fld>
            <a:endParaRPr lang="ru-RU" sz="3200">
              <a:blipFill>
                <a:blip xmlns:r="http://schemas.openxmlformats.org/officeDocument/2006/relationships" r:embed="rId11">
                  <a:extLst>
                    <a:ext uri="{96DAC541-7B7A-43D3-8B79-37D633B846F1}">
                      <asvg:svgBlip xmlns:asvg="http://schemas.microsoft.com/office/drawing/2016/SVG/main" xmlns="" r:embed="rId12"/>
                    </a:ext>
                  </a:extLst>
                </a:blip>
                <a:stretch>
                  <a:fillRect/>
                </a:stretch>
              </a:blipFill>
              <a:latin typeface="Arial" panose="020B0604020202020204" pitchFamily="34" charset="0"/>
              <a:cs typeface="Arial" panose="020B0604020202020204" pitchFamily="34" charset="0"/>
            </a:endParaRPr>
          </a:p>
        </xdr:txBody>
      </xdr:sp>
      <xdr:sp macro="" textlink="Processing!$E$2">
        <xdr:nvSpPr>
          <xdr:cNvPr id="33" name="TextBox 32">
            <a:extLst>
              <a:ext uri="{FF2B5EF4-FFF2-40B4-BE49-F238E27FC236}">
                <a16:creationId xmlns:a16="http://schemas.microsoft.com/office/drawing/2014/main" id="{00000000-0008-0000-0100-000021000000}"/>
              </a:ext>
            </a:extLst>
          </xdr:cNvPr>
          <xdr:cNvSpPr txBox="1"/>
        </xdr:nvSpPr>
        <xdr:spPr>
          <a:xfrm rot="5400000">
            <a:off x="8740140" y="449580"/>
            <a:ext cx="468630" cy="77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1C9E98-D9E4-48F3-994F-69B88C07C4E1}" type="TxLink">
              <a:rPr lang="en-US" sz="3200" b="0" i="0" u="none" strike="noStrike">
                <a:blipFill>
                  <a:blip xmlns:r="http://schemas.openxmlformats.org/officeDocument/2006/relationships" r:embed="rId13">
                    <a:extLst>
                      <a:ext uri="{96DAC541-7B7A-43D3-8B79-37D633B846F1}">
                        <asvg:svgBlip xmlns:asvg="http://schemas.microsoft.com/office/drawing/2016/SVG/main" xmlns="" r:embed="rId14"/>
                      </a:ext>
                    </a:extLst>
                  </a:blip>
                  <a:stretch>
                    <a:fillRect/>
                  </a:stretch>
                </a:blipFill>
                <a:latin typeface="Aptos Narrow"/>
                <a:cs typeface="Arial" panose="020B0604020202020204" pitchFamily="34" charset="0"/>
              </a:rPr>
              <a:pPr algn="ctr"/>
              <a:t> </a:t>
            </a:fld>
            <a:endParaRPr lang="ru-RU" sz="3200">
              <a:blipFill>
                <a:blip xmlns:r="http://schemas.openxmlformats.org/officeDocument/2006/relationships" r:embed="rId13">
                  <a:extLst>
                    <a:ext uri="{96DAC541-7B7A-43D3-8B79-37D633B846F1}">
                      <asvg:svgBlip xmlns:asvg="http://schemas.microsoft.com/office/drawing/2016/SVG/main" xmlns="" r:embed="rId14"/>
                    </a:ext>
                  </a:extLst>
                </a:blip>
                <a:stretch>
                  <a:fillRect/>
                </a:stretch>
              </a:blipFill>
              <a:latin typeface="Arial" panose="020B0604020202020204" pitchFamily="34" charset="0"/>
              <a:cs typeface="Arial" panose="020B0604020202020204" pitchFamily="34" charset="0"/>
            </a:endParaRPr>
          </a:p>
        </xdr:txBody>
      </xdr:sp>
      <xdr:sp macro="" textlink="Processing!$F$2">
        <xdr:nvSpPr>
          <xdr:cNvPr id="64" name="TextBox 63">
            <a:extLst>
              <a:ext uri="{FF2B5EF4-FFF2-40B4-BE49-F238E27FC236}">
                <a16:creationId xmlns:a16="http://schemas.microsoft.com/office/drawing/2014/main" id="{00000000-0008-0000-0100-000040000000}"/>
              </a:ext>
            </a:extLst>
          </xdr:cNvPr>
          <xdr:cNvSpPr txBox="1"/>
        </xdr:nvSpPr>
        <xdr:spPr>
          <a:xfrm rot="5400000">
            <a:off x="8740140" y="975360"/>
            <a:ext cx="468630" cy="77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728D50-5FA4-45AB-AB0C-48FDA6DBCDB5}" type="TxLink">
              <a:rPr lang="en-US" sz="3200" b="0" i="0" u="none" strike="noStrike">
                <a:blipFill>
                  <a:blip xmlns:r="http://schemas.openxmlformats.org/officeDocument/2006/relationships" r:embed="rId13">
                    <a:extLst>
                      <a:ext uri="{96DAC541-7B7A-43D3-8B79-37D633B846F1}">
                        <asvg:svgBlip xmlns:asvg="http://schemas.microsoft.com/office/drawing/2016/SVG/main" xmlns="" r:embed="rId14"/>
                      </a:ext>
                    </a:extLst>
                  </a:blip>
                  <a:stretch>
                    <a:fillRect/>
                  </a:stretch>
                </a:blipFill>
                <a:latin typeface="Aptos Narrow"/>
                <a:cs typeface="Arial" panose="020B0604020202020204" pitchFamily="34" charset="0"/>
              </a:rPr>
              <a:pPr algn="ctr"/>
              <a:t> </a:t>
            </a:fld>
            <a:endParaRPr lang="ru-RU" sz="3200">
              <a:blipFill>
                <a:blip xmlns:r="http://schemas.openxmlformats.org/officeDocument/2006/relationships" r:embed="rId13">
                  <a:extLst>
                    <a:ext uri="{96DAC541-7B7A-43D3-8B79-37D633B846F1}">
                      <asvg:svgBlip xmlns:asvg="http://schemas.microsoft.com/office/drawing/2016/SVG/main" xmlns="" r:embed="rId14"/>
                    </a:ext>
                  </a:extLst>
                </a:blip>
                <a:stretch>
                  <a:fillRect/>
                </a:stretch>
              </a:blipFill>
              <a:latin typeface="Arial" panose="020B0604020202020204" pitchFamily="34" charset="0"/>
              <a:cs typeface="Arial" panose="020B0604020202020204" pitchFamily="34" charset="0"/>
            </a:endParaRPr>
          </a:p>
        </xdr:txBody>
      </xdr:sp>
      <mc:AlternateContent xmlns:mc="http://schemas.openxmlformats.org/markup-compatibility/2006">
        <mc:Choice xmlns:a14="http://schemas.microsoft.com/office/drawing/2010/main" Requires="a14">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7780020" y="723900"/>
                <a:ext cx="1394460" cy="2209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7780020" y="1257300"/>
                <a:ext cx="1394460" cy="2209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grpSp>
        <xdr:nvGrpSpPr>
          <xdr:cNvPr id="67" name="Group 66">
            <a:extLst>
              <a:ext uri="{FF2B5EF4-FFF2-40B4-BE49-F238E27FC236}">
                <a16:creationId xmlns:a16="http://schemas.microsoft.com/office/drawing/2014/main" id="{00000000-0008-0000-0100-000043000000}"/>
              </a:ext>
            </a:extLst>
          </xdr:cNvPr>
          <xdr:cNvGrpSpPr/>
        </xdr:nvGrpSpPr>
        <xdr:grpSpPr>
          <a:xfrm>
            <a:off x="7700554" y="693420"/>
            <a:ext cx="274320" cy="274320"/>
            <a:chOff x="7654834" y="653142"/>
            <a:chExt cx="357051" cy="362495"/>
          </a:xfrm>
        </xdr:grpSpPr>
        <xdr:sp macro="" textlink="">
          <xdr:nvSpPr>
            <xdr:cNvPr id="82" name="Oval 81">
              <a:extLst>
                <a:ext uri="{FF2B5EF4-FFF2-40B4-BE49-F238E27FC236}">
                  <a16:creationId xmlns:a16="http://schemas.microsoft.com/office/drawing/2014/main" id="{00000000-0008-0000-0100-000052000000}"/>
                </a:ext>
              </a:extLst>
            </xdr:cNvPr>
            <xdr:cNvSpPr/>
          </xdr:nvSpPr>
          <xdr:spPr>
            <a:xfrm>
              <a:off x="7654834" y="653142"/>
              <a:ext cx="357051" cy="357051"/>
            </a:xfrm>
            <a:prstGeom prst="ellipse">
              <a:avLst/>
            </a:prstGeom>
            <a:gradFill flip="none" rotWithShape="1">
              <a:gsLst>
                <a:gs pos="0">
                  <a:schemeClr val="bg1"/>
                </a:gs>
                <a:gs pos="35000">
                  <a:srgbClr val="FBE6FE"/>
                </a:gs>
                <a:gs pos="100000">
                  <a:schemeClr val="accent5">
                    <a:lumMod val="100000"/>
                  </a:schemeClr>
                </a:gs>
              </a:gsLst>
              <a:path path="circle">
                <a:fillToRect l="50000" t="-80000" r="50000" b="18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pic>
          <xdr:nvPicPr>
            <xdr:cNvPr id="83" name="Graphic 82" descr="Continuous Improvement with solid fill">
              <a:extLst>
                <a:ext uri="{FF2B5EF4-FFF2-40B4-BE49-F238E27FC236}">
                  <a16:creationId xmlns:a16="http://schemas.microsoft.com/office/drawing/2014/main" id="{00000000-0008-0000-0100-000053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xmlns="" r:embed="rId16"/>
                </a:ext>
              </a:extLst>
            </a:blip>
            <a:stretch>
              <a:fillRect/>
            </a:stretch>
          </xdr:blipFill>
          <xdr:spPr>
            <a:xfrm>
              <a:off x="7658099" y="665117"/>
              <a:ext cx="350520" cy="350520"/>
            </a:xfrm>
            <a:prstGeom prst="rect">
              <a:avLst/>
            </a:prstGeom>
          </xdr:spPr>
        </xdr:pic>
      </xdr:grpSp>
      <xdr:grpSp>
        <xdr:nvGrpSpPr>
          <xdr:cNvPr id="68" name="Group 67">
            <a:extLst>
              <a:ext uri="{FF2B5EF4-FFF2-40B4-BE49-F238E27FC236}">
                <a16:creationId xmlns:a16="http://schemas.microsoft.com/office/drawing/2014/main" id="{00000000-0008-0000-0100-000044000000}"/>
              </a:ext>
            </a:extLst>
          </xdr:cNvPr>
          <xdr:cNvGrpSpPr/>
        </xdr:nvGrpSpPr>
        <xdr:grpSpPr>
          <a:xfrm>
            <a:off x="7700554" y="1234440"/>
            <a:ext cx="274320" cy="274320"/>
            <a:chOff x="7654834" y="1188719"/>
            <a:chExt cx="357051" cy="357051"/>
          </a:xfrm>
        </xdr:grpSpPr>
        <xdr:sp macro="" textlink="">
          <xdr:nvSpPr>
            <xdr:cNvPr id="73" name="Oval 72">
              <a:extLst>
                <a:ext uri="{FF2B5EF4-FFF2-40B4-BE49-F238E27FC236}">
                  <a16:creationId xmlns:a16="http://schemas.microsoft.com/office/drawing/2014/main" id="{00000000-0008-0000-0100-000049000000}"/>
                </a:ext>
              </a:extLst>
            </xdr:cNvPr>
            <xdr:cNvSpPr/>
          </xdr:nvSpPr>
          <xdr:spPr>
            <a:xfrm>
              <a:off x="7654834" y="1188719"/>
              <a:ext cx="357051" cy="357051"/>
            </a:xfrm>
            <a:prstGeom prst="ellipse">
              <a:avLst/>
            </a:prstGeom>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pic>
          <xdr:nvPicPr>
            <xdr:cNvPr id="80" name="Graphic 79" descr="Store with solid fill">
              <a:extLst>
                <a:ext uri="{FF2B5EF4-FFF2-40B4-BE49-F238E27FC236}">
                  <a16:creationId xmlns:a16="http://schemas.microsoft.com/office/drawing/2014/main" id="{00000000-0008-0000-0100-000050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xmlns="" r:embed="rId18"/>
                </a:ext>
              </a:extLst>
            </a:blip>
            <a:stretch>
              <a:fillRect/>
            </a:stretch>
          </xdr:blipFill>
          <xdr:spPr>
            <a:xfrm>
              <a:off x="7696199" y="1230084"/>
              <a:ext cx="274320" cy="274320"/>
            </a:xfrm>
            <a:prstGeom prst="rect">
              <a:avLst/>
            </a:prstGeom>
          </xdr:spPr>
        </xdr:pic>
      </xdr:grpSp>
    </xdr:grpSp>
    <xdr:clientData/>
  </xdr:twoCellAnchor>
  <xdr:twoCellAnchor>
    <xdr:from>
      <xdr:col>15</xdr:col>
      <xdr:colOff>571500</xdr:colOff>
      <xdr:row>2</xdr:row>
      <xdr:rowOff>45720</xdr:rowOff>
    </xdr:from>
    <xdr:to>
      <xdr:col>22</xdr:col>
      <xdr:colOff>485406</xdr:colOff>
      <xdr:row>8</xdr:row>
      <xdr:rowOff>55037</xdr:rowOff>
    </xdr:to>
    <xdr:grpSp>
      <xdr:nvGrpSpPr>
        <xdr:cNvPr id="3" name="Group 2">
          <a:extLst>
            <a:ext uri="{FF2B5EF4-FFF2-40B4-BE49-F238E27FC236}">
              <a16:creationId xmlns:a16="http://schemas.microsoft.com/office/drawing/2014/main" id="{00000000-0008-0000-0100-000003000000}"/>
            </a:ext>
          </a:extLst>
        </xdr:cNvPr>
        <xdr:cNvGrpSpPr/>
      </xdr:nvGrpSpPr>
      <xdr:grpSpPr>
        <a:xfrm>
          <a:off x="10715625" y="464820"/>
          <a:ext cx="4647831" cy="1104692"/>
          <a:chOff x="9717774" y="470743"/>
          <a:chExt cx="4181106" cy="1106597"/>
        </a:xfrm>
      </xdr:grpSpPr>
      <xdr:sp macro="" textlink="Processing!AB31">
        <xdr:nvSpPr>
          <xdr:cNvPr id="6" name="TextBox 5">
            <a:extLst>
              <a:ext uri="{FF2B5EF4-FFF2-40B4-BE49-F238E27FC236}">
                <a16:creationId xmlns:a16="http://schemas.microsoft.com/office/drawing/2014/main" id="{00000000-0008-0000-0100-000006000000}"/>
              </a:ext>
            </a:extLst>
          </xdr:cNvPr>
          <xdr:cNvSpPr txBox="1"/>
        </xdr:nvSpPr>
        <xdr:spPr>
          <a:xfrm>
            <a:off x="11980914" y="944034"/>
            <a:ext cx="1163353"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42051D5-2D13-48A8-80EA-D3C4DC029891}" type="TxLink">
              <a:rPr lang="en-US" sz="2800" b="0" i="0" u="none" strike="noStrike">
                <a:solidFill>
                  <a:schemeClr val="bg1"/>
                </a:solidFill>
                <a:latin typeface="Aptos Narrow"/>
                <a:ea typeface="+mn-ea"/>
                <a:cs typeface="+mn-cs"/>
              </a:rPr>
              <a:pPr marL="0" indent="0" algn="l"/>
              <a:t>6,401</a:t>
            </a:fld>
            <a:endParaRPr lang="ru-RU" sz="4000">
              <a:solidFill>
                <a:schemeClr val="bg1"/>
              </a:solidFill>
              <a:latin typeface="+mn-lt"/>
              <a:ea typeface="+mn-ea"/>
              <a:cs typeface="+mn-cs"/>
            </a:endParaRPr>
          </a:p>
        </xdr:txBody>
      </xdr:sp>
      <xdr:graphicFrame macro="">
        <xdr:nvGraphicFramePr>
          <xdr:cNvPr id="11" name="Chart 10">
            <a:extLst>
              <a:ext uri="{FF2B5EF4-FFF2-40B4-BE49-F238E27FC236}">
                <a16:creationId xmlns:a16="http://schemas.microsoft.com/office/drawing/2014/main" id="{00000000-0008-0000-0100-00000B000000}"/>
              </a:ext>
            </a:extLst>
          </xdr:cNvPr>
          <xdr:cNvGraphicFramePr>
            <a:graphicFrameLocks/>
          </xdr:cNvGraphicFramePr>
        </xdr:nvGraphicFramePr>
        <xdr:xfrm>
          <a:off x="12984480" y="662940"/>
          <a:ext cx="914400" cy="914400"/>
        </xdr:xfrm>
        <a:graphic>
          <a:graphicData uri="http://schemas.openxmlformats.org/drawingml/2006/chart">
            <c:chart xmlns:c="http://schemas.openxmlformats.org/drawingml/2006/chart" xmlns:r="http://schemas.openxmlformats.org/officeDocument/2006/relationships" r:id="rId19"/>
          </a:graphicData>
        </a:graphic>
      </xdr:graphicFrame>
      <xdr:sp macro="" textlink="Processing!A2">
        <xdr:nvSpPr>
          <xdr:cNvPr id="14" name="TextBox 13">
            <a:extLst>
              <a:ext uri="{FF2B5EF4-FFF2-40B4-BE49-F238E27FC236}">
                <a16:creationId xmlns:a16="http://schemas.microsoft.com/office/drawing/2014/main" id="{00000000-0008-0000-0100-00000E000000}"/>
              </a:ext>
            </a:extLst>
          </xdr:cNvPr>
          <xdr:cNvSpPr txBox="1"/>
        </xdr:nvSpPr>
        <xdr:spPr>
          <a:xfrm>
            <a:off x="13121640" y="921174"/>
            <a:ext cx="640079" cy="404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5D84C58-1455-499C-9025-E782161EC7F2}" type="TxLink">
              <a:rPr lang="en-US" sz="1400" b="0" i="0" u="none" strike="noStrike">
                <a:solidFill>
                  <a:schemeClr val="bg1"/>
                </a:solidFill>
                <a:latin typeface="Aptos Narrow"/>
                <a:ea typeface="+mn-ea"/>
                <a:cs typeface="+mn-cs"/>
              </a:rPr>
              <a:pPr marL="0" indent="0" algn="ctr"/>
              <a:t>46%</a:t>
            </a:fld>
            <a:endParaRPr lang="ru-RU" sz="2400">
              <a:solidFill>
                <a:schemeClr val="bg1"/>
              </a:solidFill>
              <a:latin typeface="+mn-lt"/>
              <a:ea typeface="+mn-ea"/>
              <a:cs typeface="+mn-cs"/>
            </a:endParaRPr>
          </a:p>
        </xdr:txBody>
      </xdr:sp>
      <xdr:graphicFrame macro="">
        <xdr:nvGraphicFramePr>
          <xdr:cNvPr id="15" name="Chart 14">
            <a:extLst>
              <a:ext uri="{FF2B5EF4-FFF2-40B4-BE49-F238E27FC236}">
                <a16:creationId xmlns:a16="http://schemas.microsoft.com/office/drawing/2014/main" id="{00000000-0008-0000-0100-00000F000000}"/>
              </a:ext>
            </a:extLst>
          </xdr:cNvPr>
          <xdr:cNvGraphicFramePr>
            <a:graphicFrameLocks/>
          </xdr:cNvGraphicFramePr>
        </xdr:nvGraphicFramePr>
        <xdr:xfrm>
          <a:off x="10774680" y="662940"/>
          <a:ext cx="914400" cy="914400"/>
        </xdr:xfrm>
        <a:graphic>
          <a:graphicData uri="http://schemas.openxmlformats.org/drawingml/2006/chart">
            <c:chart xmlns:c="http://schemas.openxmlformats.org/drawingml/2006/chart" xmlns:r="http://schemas.openxmlformats.org/officeDocument/2006/relationships" r:id="rId20"/>
          </a:graphicData>
        </a:graphic>
      </xdr:graphicFrame>
      <xdr:sp macro="" textlink="Processing!C2">
        <xdr:nvSpPr>
          <xdr:cNvPr id="16" name="TextBox 15">
            <a:extLst>
              <a:ext uri="{FF2B5EF4-FFF2-40B4-BE49-F238E27FC236}">
                <a16:creationId xmlns:a16="http://schemas.microsoft.com/office/drawing/2014/main" id="{00000000-0008-0000-0100-000010000000}"/>
              </a:ext>
            </a:extLst>
          </xdr:cNvPr>
          <xdr:cNvSpPr txBox="1"/>
        </xdr:nvSpPr>
        <xdr:spPr>
          <a:xfrm>
            <a:off x="10911840" y="921174"/>
            <a:ext cx="640079" cy="404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4FC0EE-2E15-4B80-A014-5D40893D0F93}" type="TxLink">
              <a:rPr lang="en-US" sz="1400" b="0" i="0" u="none" strike="noStrike">
                <a:solidFill>
                  <a:schemeClr val="bg1"/>
                </a:solidFill>
                <a:latin typeface="Aptos Narrow"/>
                <a:ea typeface="+mn-ea"/>
                <a:cs typeface="+mn-cs"/>
              </a:rPr>
              <a:pPr marL="0" indent="0" algn="ctr"/>
              <a:t>54%</a:t>
            </a:fld>
            <a:endParaRPr lang="ru-RU" sz="1400" b="0" i="0" u="none" strike="noStrike">
              <a:solidFill>
                <a:schemeClr val="bg1"/>
              </a:solidFill>
              <a:latin typeface="Aptos Narrow"/>
              <a:ea typeface="+mn-ea"/>
              <a:cs typeface="+mn-cs"/>
            </a:endParaRPr>
          </a:p>
        </xdr:txBody>
      </xdr:sp>
      <xdr:sp macro="" textlink="Processing!AC31">
        <xdr:nvSpPr>
          <xdr:cNvPr id="21" name="TextBox 20">
            <a:extLst>
              <a:ext uri="{FF2B5EF4-FFF2-40B4-BE49-F238E27FC236}">
                <a16:creationId xmlns:a16="http://schemas.microsoft.com/office/drawing/2014/main" id="{00000000-0008-0000-0100-000015000000}"/>
              </a:ext>
            </a:extLst>
          </xdr:cNvPr>
          <xdr:cNvSpPr txBox="1"/>
        </xdr:nvSpPr>
        <xdr:spPr>
          <a:xfrm>
            <a:off x="9740634" y="944034"/>
            <a:ext cx="1163353"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117C0BF-15BF-4D62-AAAB-3E36F2430503}" type="TxLink">
              <a:rPr lang="en-US" sz="2800" b="0" i="0" u="none" strike="noStrike">
                <a:solidFill>
                  <a:schemeClr val="bg1"/>
                </a:solidFill>
                <a:latin typeface="Aptos Narrow"/>
                <a:ea typeface="+mn-ea"/>
                <a:cs typeface="+mn-cs"/>
              </a:rPr>
              <a:pPr marL="0" indent="0" algn="l"/>
              <a:t>7,432</a:t>
            </a:fld>
            <a:endParaRPr lang="ru-RU" sz="2800" b="0" i="0" u="none" strike="noStrike">
              <a:solidFill>
                <a:schemeClr val="bg1"/>
              </a:solidFill>
              <a:latin typeface="Aptos Narrow"/>
              <a:ea typeface="+mn-ea"/>
              <a:cs typeface="+mn-cs"/>
            </a:endParaRPr>
          </a:p>
        </xdr:txBody>
      </xdr:sp>
      <xdr:sp macro="" textlink="Processing!C1">
        <xdr:nvSpPr>
          <xdr:cNvPr id="22" name="TextBox 21">
            <a:extLst>
              <a:ext uri="{FF2B5EF4-FFF2-40B4-BE49-F238E27FC236}">
                <a16:creationId xmlns:a16="http://schemas.microsoft.com/office/drawing/2014/main" id="{00000000-0008-0000-0100-000016000000}"/>
              </a:ext>
            </a:extLst>
          </xdr:cNvPr>
          <xdr:cNvSpPr txBox="1"/>
        </xdr:nvSpPr>
        <xdr:spPr>
          <a:xfrm>
            <a:off x="9717774" y="470743"/>
            <a:ext cx="1400038"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0AC02A3-4616-4E40-AF5B-2B7ECA1EC5C8}" type="TxLink">
              <a:rPr lang="en-US" sz="1600" b="0" i="0" u="none" strike="noStrike">
                <a:solidFill>
                  <a:schemeClr val="bg1"/>
                </a:solidFill>
                <a:latin typeface="Aptos Narrow"/>
                <a:ea typeface="+mn-ea"/>
                <a:cs typeface="+mn-cs"/>
              </a:rPr>
              <a:pPr marL="0" indent="0" algn="l"/>
              <a:t>Mass Market</a:t>
            </a:fld>
            <a:endParaRPr lang="ru-RU" sz="4400">
              <a:solidFill>
                <a:schemeClr val="bg1"/>
              </a:solidFill>
              <a:latin typeface="+mn-lt"/>
              <a:ea typeface="+mn-ea"/>
              <a:cs typeface="+mn-cs"/>
            </a:endParaRPr>
          </a:p>
        </xdr:txBody>
      </xdr:sp>
      <xdr:sp macro="" textlink="Processing!A1">
        <xdr:nvSpPr>
          <xdr:cNvPr id="23" name="TextBox 22">
            <a:extLst>
              <a:ext uri="{FF2B5EF4-FFF2-40B4-BE49-F238E27FC236}">
                <a16:creationId xmlns:a16="http://schemas.microsoft.com/office/drawing/2014/main" id="{00000000-0008-0000-0100-000017000000}"/>
              </a:ext>
            </a:extLst>
          </xdr:cNvPr>
          <xdr:cNvSpPr txBox="1"/>
        </xdr:nvSpPr>
        <xdr:spPr>
          <a:xfrm>
            <a:off x="11958054" y="470743"/>
            <a:ext cx="1400038"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CF9AC78-C28C-4E7B-8334-D69A6EA2A83E}" type="TxLink">
              <a:rPr lang="en-US" sz="1600" b="0" i="0" u="none" strike="noStrike">
                <a:solidFill>
                  <a:schemeClr val="bg1"/>
                </a:solidFill>
                <a:latin typeface="Aptos Narrow"/>
                <a:ea typeface="+mn-ea"/>
                <a:cs typeface="+mn-cs"/>
              </a:rPr>
              <a:pPr marL="0" indent="0" algn="l"/>
              <a:t>Niche Market</a:t>
            </a:fld>
            <a:endParaRPr lang="ru-RU" sz="6000">
              <a:solidFill>
                <a:schemeClr val="bg1"/>
              </a:solidFill>
              <a:latin typeface="+mn-lt"/>
              <a:ea typeface="+mn-ea"/>
              <a:cs typeface="+mn-cs"/>
            </a:endParaRPr>
          </a:p>
        </xdr:txBody>
      </xdr:sp>
    </xdr:grpSp>
    <xdr:clientData/>
  </xdr:twoCellAnchor>
  <xdr:twoCellAnchor>
    <xdr:from>
      <xdr:col>5</xdr:col>
      <xdr:colOff>458747</xdr:colOff>
      <xdr:row>3</xdr:row>
      <xdr:rowOff>146470</xdr:rowOff>
    </xdr:from>
    <xdr:to>
      <xdr:col>7</xdr:col>
      <xdr:colOff>137160</xdr:colOff>
      <xdr:row>6</xdr:row>
      <xdr:rowOff>83820</xdr:rowOff>
    </xdr:to>
    <xdr:sp macro="" textlink="Processing!B32">
      <xdr:nvSpPr>
        <xdr:cNvPr id="26" name="TextBox 25">
          <a:extLst>
            <a:ext uri="{FF2B5EF4-FFF2-40B4-BE49-F238E27FC236}">
              <a16:creationId xmlns:a16="http://schemas.microsoft.com/office/drawing/2014/main" id="{00000000-0008-0000-0100-00001A000000}"/>
            </a:ext>
          </a:extLst>
        </xdr:cNvPr>
        <xdr:cNvSpPr txBox="1"/>
      </xdr:nvSpPr>
      <xdr:spPr>
        <a:xfrm>
          <a:off x="3506747" y="756070"/>
          <a:ext cx="897613" cy="485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C6CD780-65B8-49D7-A818-043149D07536}" type="TxLink">
            <a:rPr lang="en-US" sz="1100" b="0" i="0" u="none" strike="noStrike">
              <a:solidFill>
                <a:schemeClr val="bg1">
                  <a:lumMod val="95000"/>
                </a:schemeClr>
              </a:solidFill>
              <a:latin typeface="Aptos Narrow"/>
            </a:rPr>
            <a:pPr algn="ctr"/>
            <a:t>Warehouse Load</a:t>
          </a:fld>
          <a:endParaRPr lang="ru-RU" sz="2000" b="0">
            <a:solidFill>
              <a:schemeClr val="bg1">
                <a:lumMod val="95000"/>
              </a:schemeClr>
            </a:solidFill>
          </a:endParaRPr>
        </a:p>
      </xdr:txBody>
    </xdr:sp>
    <xdr:clientData/>
  </xdr:twoCellAnchor>
  <xdr:twoCellAnchor>
    <xdr:from>
      <xdr:col>9</xdr:col>
      <xdr:colOff>382547</xdr:colOff>
      <xdr:row>3</xdr:row>
      <xdr:rowOff>146470</xdr:rowOff>
    </xdr:from>
    <xdr:to>
      <xdr:col>11</xdr:col>
      <xdr:colOff>60960</xdr:colOff>
      <xdr:row>6</xdr:row>
      <xdr:rowOff>83820</xdr:rowOff>
    </xdr:to>
    <xdr:sp macro="" textlink="Processing!B34">
      <xdr:nvSpPr>
        <xdr:cNvPr id="84" name="TextBox 83">
          <a:extLst>
            <a:ext uri="{FF2B5EF4-FFF2-40B4-BE49-F238E27FC236}">
              <a16:creationId xmlns:a16="http://schemas.microsoft.com/office/drawing/2014/main" id="{00000000-0008-0000-0100-000054000000}"/>
            </a:ext>
          </a:extLst>
        </xdr:cNvPr>
        <xdr:cNvSpPr txBox="1"/>
      </xdr:nvSpPr>
      <xdr:spPr>
        <a:xfrm>
          <a:off x="5868947" y="756070"/>
          <a:ext cx="897613" cy="485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2742B3F-1A69-4862-AC97-B9217688F19A}" type="TxLink">
            <a:rPr lang="en-US" sz="1100" b="0" i="0" u="none" strike="noStrike">
              <a:solidFill>
                <a:schemeClr val="bg1">
                  <a:lumMod val="95000"/>
                </a:schemeClr>
              </a:solidFill>
              <a:latin typeface="Aptos Narrow"/>
            </a:rPr>
            <a:pPr algn="ctr"/>
            <a:t>Shipped Orders</a:t>
          </a:fld>
          <a:endParaRPr lang="ru-RU" sz="2000">
            <a:solidFill>
              <a:schemeClr val="bg1">
                <a:lumMod val="95000"/>
              </a:schemeClr>
            </a:solidFill>
          </a:endParaRPr>
        </a:p>
      </xdr:txBody>
    </xdr:sp>
    <xdr:clientData/>
  </xdr:twoCellAnchor>
  <xdr:twoCellAnchor>
    <xdr:from>
      <xdr:col>13</xdr:col>
      <xdr:colOff>220979</xdr:colOff>
      <xdr:row>9</xdr:row>
      <xdr:rowOff>131230</xdr:rowOff>
    </xdr:from>
    <xdr:to>
      <xdr:col>14</xdr:col>
      <xdr:colOff>510540</xdr:colOff>
      <xdr:row>11</xdr:row>
      <xdr:rowOff>22860</xdr:rowOff>
    </xdr:to>
    <xdr:sp macro="" textlink="Processing!G45">
      <xdr:nvSpPr>
        <xdr:cNvPr id="85" name="TextBox 84">
          <a:extLst>
            <a:ext uri="{FF2B5EF4-FFF2-40B4-BE49-F238E27FC236}">
              <a16:creationId xmlns:a16="http://schemas.microsoft.com/office/drawing/2014/main" id="{00000000-0008-0000-0100-000055000000}"/>
            </a:ext>
          </a:extLst>
        </xdr:cNvPr>
        <xdr:cNvSpPr txBox="1"/>
      </xdr:nvSpPr>
      <xdr:spPr>
        <a:xfrm>
          <a:off x="8145779" y="1838110"/>
          <a:ext cx="899161" cy="25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FD86DE28-C3F5-42A4-A97E-D1586478F61B}" type="TxLink">
            <a:rPr lang="en-US" sz="1400" b="0" i="0" u="none" strike="noStrike">
              <a:solidFill>
                <a:srgbClr val="C1E5F5"/>
              </a:solidFill>
              <a:latin typeface="Aptos Narrow"/>
            </a:rPr>
            <a:pPr algn="r"/>
            <a:t>6,250</a:t>
          </a:fld>
          <a:endParaRPr lang="ru-RU" sz="3600">
            <a:solidFill>
              <a:srgbClr val="C1E5F5"/>
            </a:solidFill>
          </a:endParaRPr>
        </a:p>
      </xdr:txBody>
    </xdr:sp>
    <xdr:clientData/>
  </xdr:twoCellAnchor>
  <xdr:twoCellAnchor>
    <xdr:from>
      <xdr:col>10</xdr:col>
      <xdr:colOff>571499</xdr:colOff>
      <xdr:row>9</xdr:row>
      <xdr:rowOff>100750</xdr:rowOff>
    </xdr:from>
    <xdr:to>
      <xdr:col>12</xdr:col>
      <xdr:colOff>251460</xdr:colOff>
      <xdr:row>10</xdr:row>
      <xdr:rowOff>175260</xdr:rowOff>
    </xdr:to>
    <xdr:sp macro="" textlink="Processing!H45">
      <xdr:nvSpPr>
        <xdr:cNvPr id="86" name="TextBox 85">
          <a:extLst>
            <a:ext uri="{FF2B5EF4-FFF2-40B4-BE49-F238E27FC236}">
              <a16:creationId xmlns:a16="http://schemas.microsoft.com/office/drawing/2014/main" id="{00000000-0008-0000-0100-000056000000}"/>
            </a:ext>
          </a:extLst>
        </xdr:cNvPr>
        <xdr:cNvSpPr txBox="1"/>
      </xdr:nvSpPr>
      <xdr:spPr>
        <a:xfrm>
          <a:off x="6667499" y="1807630"/>
          <a:ext cx="899161" cy="25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351B2C7-EA67-4156-B88F-4FE992115082}" type="TxLink">
            <a:rPr lang="en-US" sz="1400" b="0" i="0" u="none" strike="noStrike">
              <a:solidFill>
                <a:srgbClr val="33B9FF"/>
              </a:solidFill>
              <a:latin typeface="Aptos Narrow"/>
            </a:rPr>
            <a:pPr algn="l"/>
            <a:t>6,250</a:t>
          </a:fld>
          <a:endParaRPr lang="ru-RU" sz="3600">
            <a:solidFill>
              <a:srgbClr val="33B9FF"/>
            </a:solidFill>
          </a:endParaRPr>
        </a:p>
      </xdr:txBody>
    </xdr:sp>
    <xdr:clientData/>
  </xdr:twoCellAnchor>
  <xdr:twoCellAnchor>
    <xdr:from>
      <xdr:col>12</xdr:col>
      <xdr:colOff>266700</xdr:colOff>
      <xdr:row>9</xdr:row>
      <xdr:rowOff>137160</xdr:rowOff>
    </xdr:from>
    <xdr:to>
      <xdr:col>14</xdr:col>
      <xdr:colOff>3534</xdr:colOff>
      <xdr:row>11</xdr:row>
      <xdr:rowOff>77893</xdr:rowOff>
    </xdr:to>
    <xdr:sp macro="" textlink="Processing!Z31">
      <xdr:nvSpPr>
        <xdr:cNvPr id="87" name="TextBox 86">
          <a:extLst>
            <a:ext uri="{FF2B5EF4-FFF2-40B4-BE49-F238E27FC236}">
              <a16:creationId xmlns:a16="http://schemas.microsoft.com/office/drawing/2014/main" id="{00000000-0008-0000-0100-000057000000}"/>
            </a:ext>
          </a:extLst>
        </xdr:cNvPr>
        <xdr:cNvSpPr txBox="1"/>
      </xdr:nvSpPr>
      <xdr:spPr>
        <a:xfrm>
          <a:off x="7581900" y="1844040"/>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A8474DBE-86F9-49C3-B286-9CF1FAA0207C}" type="TxLink">
            <a:rPr lang="en-US" sz="1100" b="0" i="0" u="none" strike="noStrike">
              <a:solidFill>
                <a:srgbClr val="C1E5F5"/>
              </a:solidFill>
              <a:latin typeface="Aptos Narrow"/>
              <a:ea typeface="+mn-ea"/>
              <a:cs typeface="+mn-cs"/>
            </a:rPr>
            <a:pPr marL="0" indent="0" algn="r"/>
            <a:t>TOTAL:</a:t>
          </a:fld>
          <a:endParaRPr lang="ru-RU" sz="1600">
            <a:solidFill>
              <a:srgbClr val="C1E5F5"/>
            </a:solidFill>
            <a:latin typeface="+mn-lt"/>
            <a:ea typeface="+mn-ea"/>
            <a:cs typeface="+mn-cs"/>
          </a:endParaRPr>
        </a:p>
      </xdr:txBody>
    </xdr:sp>
    <xdr:clientData/>
  </xdr:twoCellAnchor>
  <xdr:twoCellAnchor>
    <xdr:from>
      <xdr:col>17</xdr:col>
      <xdr:colOff>134614</xdr:colOff>
      <xdr:row>9</xdr:row>
      <xdr:rowOff>169330</xdr:rowOff>
    </xdr:from>
    <xdr:to>
      <xdr:col>21</xdr:col>
      <xdr:colOff>261626</xdr:colOff>
      <xdr:row>11</xdr:row>
      <xdr:rowOff>60960</xdr:rowOff>
    </xdr:to>
    <xdr:sp macro="" textlink="Processing!K32">
      <xdr:nvSpPr>
        <xdr:cNvPr id="88" name="TextBox 87">
          <a:extLst>
            <a:ext uri="{FF2B5EF4-FFF2-40B4-BE49-F238E27FC236}">
              <a16:creationId xmlns:a16="http://schemas.microsoft.com/office/drawing/2014/main" id="{00000000-0008-0000-0100-000058000000}"/>
            </a:ext>
          </a:extLst>
        </xdr:cNvPr>
        <xdr:cNvSpPr txBox="1"/>
      </xdr:nvSpPr>
      <xdr:spPr>
        <a:xfrm>
          <a:off x="10497814" y="1876210"/>
          <a:ext cx="2565412" cy="25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AD352C-AA41-414E-83A0-79EB3CA469B7}" type="TxLink">
            <a:rPr lang="en-US" sz="1400" b="0" i="0" u="none" strike="noStrike">
              <a:solidFill>
                <a:srgbClr val="C1E5F5"/>
              </a:solidFill>
              <a:latin typeface="Aptos Narrow"/>
            </a:rPr>
            <a:pPr algn="ctr"/>
            <a:t>Top-5 Products Ranking</a:t>
          </a:fld>
          <a:endParaRPr lang="ru-RU" sz="4400">
            <a:solidFill>
              <a:srgbClr val="C1E5F5"/>
            </a:solidFill>
          </a:endParaRPr>
        </a:p>
      </xdr:txBody>
    </xdr:sp>
    <xdr:clientData/>
  </xdr:twoCellAnchor>
  <xdr:twoCellAnchor>
    <xdr:from>
      <xdr:col>20</xdr:col>
      <xdr:colOff>495301</xdr:colOff>
      <xdr:row>9</xdr:row>
      <xdr:rowOff>146470</xdr:rowOff>
    </xdr:from>
    <xdr:to>
      <xdr:col>22</xdr:col>
      <xdr:colOff>358141</xdr:colOff>
      <xdr:row>11</xdr:row>
      <xdr:rowOff>38100</xdr:rowOff>
    </xdr:to>
    <xdr:sp macro="" textlink="Processing!M38">
      <xdr:nvSpPr>
        <xdr:cNvPr id="89" name="TextBox 88">
          <a:extLst>
            <a:ext uri="{FF2B5EF4-FFF2-40B4-BE49-F238E27FC236}">
              <a16:creationId xmlns:a16="http://schemas.microsoft.com/office/drawing/2014/main" id="{00000000-0008-0000-0100-000059000000}"/>
            </a:ext>
          </a:extLst>
        </xdr:cNvPr>
        <xdr:cNvSpPr txBox="1"/>
      </xdr:nvSpPr>
      <xdr:spPr>
        <a:xfrm>
          <a:off x="12687301" y="1853350"/>
          <a:ext cx="1082040" cy="25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AB1A775E-6AC3-49A5-86F3-344F95B9D200}" type="TxLink">
            <a:rPr lang="en-US" sz="1400" b="0" i="0" u="none" strike="noStrike">
              <a:solidFill>
                <a:schemeClr val="bg1">
                  <a:lumMod val="95000"/>
                </a:schemeClr>
              </a:solidFill>
              <a:latin typeface="Aptos Narrow"/>
            </a:rPr>
            <a:pPr algn="r"/>
            <a:t>60,943</a:t>
          </a:fld>
          <a:endParaRPr lang="ru-RU" sz="4400">
            <a:solidFill>
              <a:schemeClr val="bg1">
                <a:lumMod val="95000"/>
              </a:schemeClr>
            </a:solidFill>
          </a:endParaRPr>
        </a:p>
      </xdr:txBody>
    </xdr:sp>
    <xdr:clientData/>
  </xdr:twoCellAnchor>
  <xdr:twoCellAnchor>
    <xdr:from>
      <xdr:col>5</xdr:col>
      <xdr:colOff>137160</xdr:colOff>
      <xdr:row>23</xdr:row>
      <xdr:rowOff>83820</xdr:rowOff>
    </xdr:from>
    <xdr:to>
      <xdr:col>6</xdr:col>
      <xdr:colOff>586740</xdr:colOff>
      <xdr:row>24</xdr:row>
      <xdr:rowOff>129540</xdr:rowOff>
    </xdr:to>
    <xdr:sp macro="" textlink="Processing!U32">
      <xdr:nvSpPr>
        <xdr:cNvPr id="91" name="TextBox 90">
          <a:extLst>
            <a:ext uri="{FF2B5EF4-FFF2-40B4-BE49-F238E27FC236}">
              <a16:creationId xmlns:a16="http://schemas.microsoft.com/office/drawing/2014/main" id="{00000000-0008-0000-0100-00005B000000}"/>
            </a:ext>
          </a:extLst>
        </xdr:cNvPr>
        <xdr:cNvSpPr txBox="1"/>
      </xdr:nvSpPr>
      <xdr:spPr>
        <a:xfrm>
          <a:off x="3185160" y="4351020"/>
          <a:ext cx="10591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0B4BC49-23EB-4EF1-B6E4-E22980C616C1}" type="TxLink">
            <a:rPr lang="en-US" sz="1100" b="0" i="0" u="none" strike="noStrike">
              <a:solidFill>
                <a:srgbClr val="D36FF9"/>
              </a:solidFill>
              <a:latin typeface="Aptos Narrow"/>
              <a:ea typeface="+mn-ea"/>
              <a:cs typeface="+mn-cs"/>
            </a:rPr>
            <a:pPr marL="0" indent="0" algn="ctr"/>
            <a:t>Inventory Cost</a:t>
          </a:fld>
          <a:endParaRPr lang="ru-RU" sz="1600" b="0">
            <a:solidFill>
              <a:srgbClr val="D36FF9"/>
            </a:solidFill>
            <a:latin typeface="+mn-lt"/>
            <a:ea typeface="+mn-ea"/>
            <a:cs typeface="+mn-cs"/>
          </a:endParaRPr>
        </a:p>
      </xdr:txBody>
    </xdr:sp>
    <xdr:clientData/>
  </xdr:twoCellAnchor>
  <xdr:twoCellAnchor>
    <xdr:from>
      <xdr:col>6</xdr:col>
      <xdr:colOff>528294</xdr:colOff>
      <xdr:row>23</xdr:row>
      <xdr:rowOff>83820</xdr:rowOff>
    </xdr:from>
    <xdr:to>
      <xdr:col>8</xdr:col>
      <xdr:colOff>549630</xdr:colOff>
      <xdr:row>24</xdr:row>
      <xdr:rowOff>129540</xdr:rowOff>
    </xdr:to>
    <xdr:sp macro="" textlink="Processing!V32">
      <xdr:nvSpPr>
        <xdr:cNvPr id="92" name="TextBox 91">
          <a:extLst>
            <a:ext uri="{FF2B5EF4-FFF2-40B4-BE49-F238E27FC236}">
              <a16:creationId xmlns:a16="http://schemas.microsoft.com/office/drawing/2014/main" id="{00000000-0008-0000-0100-00005C000000}"/>
            </a:ext>
          </a:extLst>
        </xdr:cNvPr>
        <xdr:cNvSpPr txBox="1"/>
      </xdr:nvSpPr>
      <xdr:spPr>
        <a:xfrm>
          <a:off x="4185894" y="4351020"/>
          <a:ext cx="124053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6708C86-EA32-48C4-863C-7390B3EA7E97}" type="TxLink">
            <a:rPr lang="en-US" sz="1100" b="0" i="0" u="none" strike="noStrike">
              <a:solidFill>
                <a:srgbClr val="C1E5F5"/>
              </a:solidFill>
              <a:latin typeface="Aptos Narrow"/>
              <a:ea typeface="+mn-ea"/>
              <a:cs typeface="+mn-cs"/>
            </a:rPr>
            <a:pPr marL="0" indent="0" algn="ctr"/>
            <a:t>Inventory Turnover</a:t>
          </a:fld>
          <a:endParaRPr lang="ru-RU" sz="1100" b="0" i="0" u="none" strike="noStrike">
            <a:solidFill>
              <a:srgbClr val="C1E5F5"/>
            </a:solidFill>
            <a:latin typeface="Aptos Narrow"/>
            <a:ea typeface="+mn-ea"/>
            <a:cs typeface="+mn-cs"/>
          </a:endParaRPr>
        </a:p>
      </xdr:txBody>
    </xdr:sp>
    <xdr:clientData/>
  </xdr:twoCellAnchor>
  <xdr:twoCellAnchor>
    <xdr:from>
      <xdr:col>8</xdr:col>
      <xdr:colOff>491185</xdr:colOff>
      <xdr:row>23</xdr:row>
      <xdr:rowOff>83820</xdr:rowOff>
    </xdr:from>
    <xdr:to>
      <xdr:col>11</xdr:col>
      <xdr:colOff>26975</xdr:colOff>
      <xdr:row>24</xdr:row>
      <xdr:rowOff>129540</xdr:rowOff>
    </xdr:to>
    <xdr:sp macro="" textlink="Processing!W32">
      <xdr:nvSpPr>
        <xdr:cNvPr id="93" name="TextBox 92">
          <a:extLst>
            <a:ext uri="{FF2B5EF4-FFF2-40B4-BE49-F238E27FC236}">
              <a16:creationId xmlns:a16="http://schemas.microsoft.com/office/drawing/2014/main" id="{00000000-0008-0000-0100-00005D000000}"/>
            </a:ext>
          </a:extLst>
        </xdr:cNvPr>
        <xdr:cNvSpPr txBox="1"/>
      </xdr:nvSpPr>
      <xdr:spPr>
        <a:xfrm>
          <a:off x="5367985" y="4351020"/>
          <a:ext cx="136459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4BCE949-F7DA-4E9A-B5BF-A705C0A2499B}" type="TxLink">
            <a:rPr lang="en-US" sz="1100" b="0" i="0" u="none" strike="noStrike">
              <a:solidFill>
                <a:srgbClr val="9F7EF8"/>
              </a:solidFill>
              <a:latin typeface="Aptos Narrow"/>
              <a:ea typeface="+mn-ea"/>
              <a:cs typeface="+mn-cs"/>
            </a:rPr>
            <a:pPr marL="0" indent="0" algn="ctr"/>
            <a:t>Warehouse Payback</a:t>
          </a:fld>
          <a:endParaRPr lang="ru-RU" sz="1100" b="0" i="0" u="none" strike="noStrike">
            <a:solidFill>
              <a:srgbClr val="9F7EF8"/>
            </a:solidFill>
            <a:latin typeface="Aptos Narrow"/>
            <a:ea typeface="+mn-ea"/>
            <a:cs typeface="+mn-cs"/>
          </a:endParaRPr>
        </a:p>
      </xdr:txBody>
    </xdr:sp>
    <xdr:clientData/>
  </xdr:twoCellAnchor>
  <xdr:twoCellAnchor>
    <xdr:from>
      <xdr:col>5</xdr:col>
      <xdr:colOff>129540</xdr:colOff>
      <xdr:row>24</xdr:row>
      <xdr:rowOff>99060</xdr:rowOff>
    </xdr:from>
    <xdr:to>
      <xdr:col>6</xdr:col>
      <xdr:colOff>579120</xdr:colOff>
      <xdr:row>25</xdr:row>
      <xdr:rowOff>144780</xdr:rowOff>
    </xdr:to>
    <xdr:sp macro="" textlink="Processing!U45">
      <xdr:nvSpPr>
        <xdr:cNvPr id="94" name="TextBox 93">
          <a:extLst>
            <a:ext uri="{FF2B5EF4-FFF2-40B4-BE49-F238E27FC236}">
              <a16:creationId xmlns:a16="http://schemas.microsoft.com/office/drawing/2014/main" id="{00000000-0008-0000-0100-00005E000000}"/>
            </a:ext>
          </a:extLst>
        </xdr:cNvPr>
        <xdr:cNvSpPr txBox="1"/>
      </xdr:nvSpPr>
      <xdr:spPr>
        <a:xfrm>
          <a:off x="3177540" y="4549140"/>
          <a:ext cx="10591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897B678-2890-41C0-AAE1-198C439DED61}" type="TxLink">
            <a:rPr lang="en-US" sz="1100" b="0" i="0" u="none" strike="noStrike">
              <a:solidFill>
                <a:srgbClr val="D36FF9"/>
              </a:solidFill>
              <a:latin typeface="Aptos Narrow"/>
              <a:ea typeface="+mn-ea"/>
              <a:cs typeface="+mn-cs"/>
            </a:rPr>
            <a:pPr marL="0" indent="0" algn="ctr"/>
            <a:t>5,147</a:t>
          </a:fld>
          <a:endParaRPr lang="ru-RU" sz="1600" b="0">
            <a:solidFill>
              <a:srgbClr val="D36FF9"/>
            </a:solidFill>
            <a:latin typeface="+mn-lt"/>
            <a:ea typeface="+mn-ea"/>
            <a:cs typeface="+mn-cs"/>
          </a:endParaRPr>
        </a:p>
      </xdr:txBody>
    </xdr:sp>
    <xdr:clientData/>
  </xdr:twoCellAnchor>
  <xdr:twoCellAnchor>
    <xdr:from>
      <xdr:col>6</xdr:col>
      <xdr:colOff>601980</xdr:colOff>
      <xdr:row>24</xdr:row>
      <xdr:rowOff>99060</xdr:rowOff>
    </xdr:from>
    <xdr:to>
      <xdr:col>8</xdr:col>
      <xdr:colOff>510540</xdr:colOff>
      <xdr:row>25</xdr:row>
      <xdr:rowOff>144780</xdr:rowOff>
    </xdr:to>
    <xdr:sp macro="" textlink="Processing!V45">
      <xdr:nvSpPr>
        <xdr:cNvPr id="95" name="TextBox 94">
          <a:extLst>
            <a:ext uri="{FF2B5EF4-FFF2-40B4-BE49-F238E27FC236}">
              <a16:creationId xmlns:a16="http://schemas.microsoft.com/office/drawing/2014/main" id="{00000000-0008-0000-0100-00005F000000}"/>
            </a:ext>
          </a:extLst>
        </xdr:cNvPr>
        <xdr:cNvSpPr txBox="1"/>
      </xdr:nvSpPr>
      <xdr:spPr>
        <a:xfrm>
          <a:off x="4259580" y="4549140"/>
          <a:ext cx="11277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58D09AA-EFF1-4616-B3C5-AAEF8964BF16}" type="TxLink">
            <a:rPr lang="en-US" sz="1100" b="0" i="0" u="none" strike="noStrike">
              <a:solidFill>
                <a:srgbClr val="C1E5F5"/>
              </a:solidFill>
              <a:latin typeface="Aptos Narrow"/>
              <a:ea typeface="+mn-ea"/>
              <a:cs typeface="+mn-cs"/>
            </a:rPr>
            <a:pPr marL="0" indent="0" algn="ctr"/>
            <a:t>7,796</a:t>
          </a:fld>
          <a:endParaRPr lang="ru-RU" sz="1600" b="0">
            <a:solidFill>
              <a:srgbClr val="C1E5F5"/>
            </a:solidFill>
            <a:latin typeface="+mn-lt"/>
            <a:ea typeface="+mn-ea"/>
            <a:cs typeface="+mn-cs"/>
          </a:endParaRPr>
        </a:p>
      </xdr:txBody>
    </xdr:sp>
    <xdr:clientData/>
  </xdr:twoCellAnchor>
  <xdr:twoCellAnchor>
    <xdr:from>
      <xdr:col>8</xdr:col>
      <xdr:colOff>601980</xdr:colOff>
      <xdr:row>24</xdr:row>
      <xdr:rowOff>99060</xdr:rowOff>
    </xdr:from>
    <xdr:to>
      <xdr:col>10</xdr:col>
      <xdr:colOff>510540</xdr:colOff>
      <xdr:row>25</xdr:row>
      <xdr:rowOff>144780</xdr:rowOff>
    </xdr:to>
    <xdr:sp macro="" textlink="Processing!W45">
      <xdr:nvSpPr>
        <xdr:cNvPr id="96" name="TextBox 95">
          <a:extLst>
            <a:ext uri="{FF2B5EF4-FFF2-40B4-BE49-F238E27FC236}">
              <a16:creationId xmlns:a16="http://schemas.microsoft.com/office/drawing/2014/main" id="{00000000-0008-0000-0100-000060000000}"/>
            </a:ext>
          </a:extLst>
        </xdr:cNvPr>
        <xdr:cNvSpPr txBox="1"/>
      </xdr:nvSpPr>
      <xdr:spPr>
        <a:xfrm>
          <a:off x="5478780" y="4549140"/>
          <a:ext cx="11277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0C0870F-FC08-475B-B279-5A5CF7E908C9}" type="TxLink">
            <a:rPr lang="en-US" sz="1100" b="0" i="0" u="none" strike="noStrike">
              <a:solidFill>
                <a:srgbClr val="9F7EF8"/>
              </a:solidFill>
              <a:latin typeface="Aptos Narrow"/>
              <a:ea typeface="+mn-ea"/>
              <a:cs typeface="+mn-cs"/>
            </a:rPr>
            <a:pPr marL="0" indent="0" algn="ctr"/>
            <a:t>10,764</a:t>
          </a:fld>
          <a:endParaRPr lang="ru-RU" sz="1600" b="0">
            <a:solidFill>
              <a:srgbClr val="9F7EF8"/>
            </a:solidFill>
            <a:latin typeface="+mn-lt"/>
            <a:ea typeface="+mn-ea"/>
            <a:cs typeface="+mn-cs"/>
          </a:endParaRPr>
        </a:p>
      </xdr:txBody>
    </xdr:sp>
    <xdr:clientData/>
  </xdr:twoCellAnchor>
  <xdr:twoCellAnchor>
    <xdr:from>
      <xdr:col>11</xdr:col>
      <xdr:colOff>419099</xdr:colOff>
      <xdr:row>33</xdr:row>
      <xdr:rowOff>131230</xdr:rowOff>
    </xdr:from>
    <xdr:to>
      <xdr:col>13</xdr:col>
      <xdr:colOff>99060</xdr:colOff>
      <xdr:row>35</xdr:row>
      <xdr:rowOff>22860</xdr:rowOff>
    </xdr:to>
    <xdr:sp macro="" textlink="Processing!AC33">
      <xdr:nvSpPr>
        <xdr:cNvPr id="97" name="TextBox 96">
          <a:extLst>
            <a:ext uri="{FF2B5EF4-FFF2-40B4-BE49-F238E27FC236}">
              <a16:creationId xmlns:a16="http://schemas.microsoft.com/office/drawing/2014/main" id="{00000000-0008-0000-0100-000061000000}"/>
            </a:ext>
          </a:extLst>
        </xdr:cNvPr>
        <xdr:cNvSpPr txBox="1"/>
      </xdr:nvSpPr>
      <xdr:spPr>
        <a:xfrm>
          <a:off x="7124699" y="6227230"/>
          <a:ext cx="899161" cy="25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DFCD581-5364-4612-B2EA-0F7466E3024F}" type="TxLink">
            <a:rPr lang="en-US" sz="1100" b="0" i="0" u="none" strike="noStrike">
              <a:solidFill>
                <a:schemeClr val="bg1">
                  <a:lumMod val="95000"/>
                </a:schemeClr>
              </a:solidFill>
              <a:latin typeface="Aptos Narrow"/>
            </a:rPr>
            <a:pPr algn="l"/>
            <a:t>Consumption</a:t>
          </a:fld>
          <a:endParaRPr lang="ru-RU" sz="3600">
            <a:solidFill>
              <a:schemeClr val="bg1">
                <a:lumMod val="95000"/>
              </a:schemeClr>
            </a:solidFill>
          </a:endParaRPr>
        </a:p>
      </xdr:txBody>
    </xdr:sp>
    <xdr:clientData/>
  </xdr:twoCellAnchor>
  <xdr:twoCellAnchor>
    <xdr:from>
      <xdr:col>13</xdr:col>
      <xdr:colOff>175259</xdr:colOff>
      <xdr:row>33</xdr:row>
      <xdr:rowOff>131230</xdr:rowOff>
    </xdr:from>
    <xdr:to>
      <xdr:col>14</xdr:col>
      <xdr:colOff>198120</xdr:colOff>
      <xdr:row>35</xdr:row>
      <xdr:rowOff>22860</xdr:rowOff>
    </xdr:to>
    <xdr:sp macro="" textlink="Processing!AC35">
      <xdr:nvSpPr>
        <xdr:cNvPr id="98" name="TextBox 97">
          <a:extLst>
            <a:ext uri="{FF2B5EF4-FFF2-40B4-BE49-F238E27FC236}">
              <a16:creationId xmlns:a16="http://schemas.microsoft.com/office/drawing/2014/main" id="{00000000-0008-0000-0100-000062000000}"/>
            </a:ext>
          </a:extLst>
        </xdr:cNvPr>
        <xdr:cNvSpPr txBox="1"/>
      </xdr:nvSpPr>
      <xdr:spPr>
        <a:xfrm>
          <a:off x="8100059" y="6227230"/>
          <a:ext cx="632461" cy="25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A53DEC5-8C42-4BCD-A657-D12B3816DF03}" type="TxLink">
            <a:rPr lang="en-US" sz="1100" b="0" i="0" u="none" strike="noStrike">
              <a:solidFill>
                <a:schemeClr val="bg1">
                  <a:lumMod val="95000"/>
                </a:schemeClr>
              </a:solidFill>
              <a:latin typeface="Aptos Narrow"/>
            </a:rPr>
            <a:pPr algn="l"/>
            <a:t>Coming</a:t>
          </a:fld>
          <a:endParaRPr lang="ru-RU" sz="3600">
            <a:solidFill>
              <a:schemeClr val="bg1">
                <a:lumMod val="95000"/>
              </a:schemeClr>
            </a:solidFill>
          </a:endParaRPr>
        </a:p>
      </xdr:txBody>
    </xdr:sp>
    <xdr:clientData/>
  </xdr:twoCellAnchor>
  <xdr:twoCellAnchor>
    <xdr:from>
      <xdr:col>14</xdr:col>
      <xdr:colOff>289559</xdr:colOff>
      <xdr:row>33</xdr:row>
      <xdr:rowOff>131230</xdr:rowOff>
    </xdr:from>
    <xdr:to>
      <xdr:col>15</xdr:col>
      <xdr:colOff>312420</xdr:colOff>
      <xdr:row>35</xdr:row>
      <xdr:rowOff>22860</xdr:rowOff>
    </xdr:to>
    <xdr:sp macro="" textlink="Processing!AC37">
      <xdr:nvSpPr>
        <xdr:cNvPr id="99" name="TextBox 98">
          <a:extLst>
            <a:ext uri="{FF2B5EF4-FFF2-40B4-BE49-F238E27FC236}">
              <a16:creationId xmlns:a16="http://schemas.microsoft.com/office/drawing/2014/main" id="{00000000-0008-0000-0100-000063000000}"/>
            </a:ext>
          </a:extLst>
        </xdr:cNvPr>
        <xdr:cNvSpPr txBox="1"/>
      </xdr:nvSpPr>
      <xdr:spPr>
        <a:xfrm>
          <a:off x="8823959" y="6227230"/>
          <a:ext cx="632461" cy="25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9CB49EF-ABB9-46DA-A8C2-514E0C5D0D07}" type="TxLink">
            <a:rPr lang="en-US" sz="1100" b="0" i="0" u="none" strike="noStrike">
              <a:solidFill>
                <a:schemeClr val="bg1">
                  <a:lumMod val="95000"/>
                </a:schemeClr>
              </a:solidFill>
              <a:latin typeface="Aptos Narrow"/>
            </a:rPr>
            <a:pPr algn="l"/>
            <a:t>Returns</a:t>
          </a:fld>
          <a:endParaRPr lang="ru-RU" sz="3600">
            <a:solidFill>
              <a:schemeClr val="bg1">
                <a:lumMod val="95000"/>
              </a:schemeClr>
            </a:solidFill>
          </a:endParaRPr>
        </a:p>
      </xdr:txBody>
    </xdr:sp>
    <xdr:clientData/>
  </xdr:twoCellAnchor>
  <xdr:twoCellAnchor>
    <xdr:from>
      <xdr:col>11</xdr:col>
      <xdr:colOff>320040</xdr:colOff>
      <xdr:row>34</xdr:row>
      <xdr:rowOff>15240</xdr:rowOff>
    </xdr:from>
    <xdr:to>
      <xdr:col>11</xdr:col>
      <xdr:colOff>438912</xdr:colOff>
      <xdr:row>34</xdr:row>
      <xdr:rowOff>134112</xdr:rowOff>
    </xdr:to>
    <xdr:sp macro="" textlink="">
      <xdr:nvSpPr>
        <xdr:cNvPr id="76" name="Oval 75">
          <a:extLst>
            <a:ext uri="{FF2B5EF4-FFF2-40B4-BE49-F238E27FC236}">
              <a16:creationId xmlns:a16="http://schemas.microsoft.com/office/drawing/2014/main" id="{00000000-0008-0000-0100-00004C000000}"/>
            </a:ext>
          </a:extLst>
        </xdr:cNvPr>
        <xdr:cNvSpPr/>
      </xdr:nvSpPr>
      <xdr:spPr>
        <a:xfrm>
          <a:off x="7025640" y="6294120"/>
          <a:ext cx="118872" cy="118872"/>
        </a:xfrm>
        <a:prstGeom prst="ellipse">
          <a:avLst/>
        </a:prstGeom>
        <a:gradFill>
          <a:gsLst>
            <a:gs pos="100000">
              <a:srgbClr val="9F7EF8"/>
            </a:gs>
            <a:gs pos="19000">
              <a:srgbClr val="5A45F4"/>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13</xdr:col>
      <xdr:colOff>76200</xdr:colOff>
      <xdr:row>34</xdr:row>
      <xdr:rowOff>15240</xdr:rowOff>
    </xdr:from>
    <xdr:to>
      <xdr:col>13</xdr:col>
      <xdr:colOff>195072</xdr:colOff>
      <xdr:row>34</xdr:row>
      <xdr:rowOff>134112</xdr:rowOff>
    </xdr:to>
    <xdr:sp macro="" textlink="">
      <xdr:nvSpPr>
        <xdr:cNvPr id="77" name="Oval 76">
          <a:extLst>
            <a:ext uri="{FF2B5EF4-FFF2-40B4-BE49-F238E27FC236}">
              <a16:creationId xmlns:a16="http://schemas.microsoft.com/office/drawing/2014/main" id="{00000000-0008-0000-0100-00004D000000}"/>
            </a:ext>
          </a:extLst>
        </xdr:cNvPr>
        <xdr:cNvSpPr/>
      </xdr:nvSpPr>
      <xdr:spPr>
        <a:xfrm>
          <a:off x="8001000" y="6294120"/>
          <a:ext cx="118872" cy="118872"/>
        </a:xfrm>
        <a:prstGeom prst="ellipse">
          <a:avLst/>
        </a:prstGeom>
        <a:gradFill>
          <a:gsLst>
            <a:gs pos="88000">
              <a:srgbClr val="21E6DF"/>
            </a:gs>
            <a:gs pos="21000">
              <a:srgbClr val="9F7EF8"/>
            </a:gs>
          </a:gsLst>
          <a:lin ang="2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14</xdr:col>
      <xdr:colOff>190500</xdr:colOff>
      <xdr:row>34</xdr:row>
      <xdr:rowOff>15240</xdr:rowOff>
    </xdr:from>
    <xdr:to>
      <xdr:col>14</xdr:col>
      <xdr:colOff>309372</xdr:colOff>
      <xdr:row>34</xdr:row>
      <xdr:rowOff>134112</xdr:rowOff>
    </xdr:to>
    <xdr:sp macro="" textlink="">
      <xdr:nvSpPr>
        <xdr:cNvPr id="78" name="Oval 77">
          <a:extLst>
            <a:ext uri="{FF2B5EF4-FFF2-40B4-BE49-F238E27FC236}">
              <a16:creationId xmlns:a16="http://schemas.microsoft.com/office/drawing/2014/main" id="{00000000-0008-0000-0100-00004E000000}"/>
            </a:ext>
          </a:extLst>
        </xdr:cNvPr>
        <xdr:cNvSpPr/>
      </xdr:nvSpPr>
      <xdr:spPr>
        <a:xfrm>
          <a:off x="8724900" y="6294120"/>
          <a:ext cx="118872" cy="118872"/>
        </a:xfrm>
        <a:prstGeom prst="ellipse">
          <a:avLst/>
        </a:prstGeom>
        <a:gradFill>
          <a:gsLst>
            <a:gs pos="82000">
              <a:srgbClr val="D36FF9"/>
            </a:gs>
            <a:gs pos="18000">
              <a:srgbClr val="9F7EF8"/>
            </a:gs>
          </a:gsLst>
          <a:lin ang="2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11</xdr:col>
      <xdr:colOff>419099</xdr:colOff>
      <xdr:row>32</xdr:row>
      <xdr:rowOff>154090</xdr:rowOff>
    </xdr:from>
    <xdr:to>
      <xdr:col>13</xdr:col>
      <xdr:colOff>99060</xdr:colOff>
      <xdr:row>34</xdr:row>
      <xdr:rowOff>45720</xdr:rowOff>
    </xdr:to>
    <xdr:sp macro="" textlink="Processing!AD33">
      <xdr:nvSpPr>
        <xdr:cNvPr id="100" name="TextBox 99">
          <a:extLst>
            <a:ext uri="{FF2B5EF4-FFF2-40B4-BE49-F238E27FC236}">
              <a16:creationId xmlns:a16="http://schemas.microsoft.com/office/drawing/2014/main" id="{00000000-0008-0000-0100-000064000000}"/>
            </a:ext>
          </a:extLst>
        </xdr:cNvPr>
        <xdr:cNvSpPr txBox="1"/>
      </xdr:nvSpPr>
      <xdr:spPr>
        <a:xfrm>
          <a:off x="7124699" y="6067210"/>
          <a:ext cx="899161" cy="25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54CF8C-716C-4813-822C-7A6CCE5F7C2B}" type="TxLink">
            <a:rPr lang="en-US" sz="1100" b="0" i="0" u="none" strike="noStrike">
              <a:solidFill>
                <a:schemeClr val="bg1">
                  <a:lumMod val="95000"/>
                </a:schemeClr>
              </a:solidFill>
              <a:latin typeface="Aptos Narrow"/>
            </a:rPr>
            <a:pPr algn="ctr"/>
            <a:t>53%</a:t>
          </a:fld>
          <a:endParaRPr lang="ru-RU" sz="3600">
            <a:solidFill>
              <a:schemeClr val="bg1">
                <a:lumMod val="95000"/>
              </a:schemeClr>
            </a:solidFill>
          </a:endParaRPr>
        </a:p>
      </xdr:txBody>
    </xdr:sp>
    <xdr:clientData/>
  </xdr:twoCellAnchor>
  <xdr:twoCellAnchor>
    <xdr:from>
      <xdr:col>13</xdr:col>
      <xdr:colOff>175259</xdr:colOff>
      <xdr:row>32</xdr:row>
      <xdr:rowOff>154090</xdr:rowOff>
    </xdr:from>
    <xdr:to>
      <xdr:col>14</xdr:col>
      <xdr:colOff>198120</xdr:colOff>
      <xdr:row>34</xdr:row>
      <xdr:rowOff>45720</xdr:rowOff>
    </xdr:to>
    <xdr:sp macro="" textlink="Processing!AD35">
      <xdr:nvSpPr>
        <xdr:cNvPr id="101" name="TextBox 100">
          <a:extLst>
            <a:ext uri="{FF2B5EF4-FFF2-40B4-BE49-F238E27FC236}">
              <a16:creationId xmlns:a16="http://schemas.microsoft.com/office/drawing/2014/main" id="{00000000-0008-0000-0100-000065000000}"/>
            </a:ext>
          </a:extLst>
        </xdr:cNvPr>
        <xdr:cNvSpPr txBox="1"/>
      </xdr:nvSpPr>
      <xdr:spPr>
        <a:xfrm>
          <a:off x="8100059" y="6067210"/>
          <a:ext cx="632461" cy="25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55468AD-68C9-4E86-ABC3-A163FB61C512}" type="TxLink">
            <a:rPr lang="en-US" sz="1100" b="0" i="0" u="none" strike="noStrike">
              <a:solidFill>
                <a:schemeClr val="bg1">
                  <a:lumMod val="95000"/>
                </a:schemeClr>
              </a:solidFill>
              <a:latin typeface="Aptos Narrow"/>
            </a:rPr>
            <a:pPr algn="ctr"/>
            <a:t>62%</a:t>
          </a:fld>
          <a:endParaRPr lang="ru-RU" sz="3600">
            <a:solidFill>
              <a:schemeClr val="bg1">
                <a:lumMod val="95000"/>
              </a:schemeClr>
            </a:solidFill>
          </a:endParaRPr>
        </a:p>
      </xdr:txBody>
    </xdr:sp>
    <xdr:clientData/>
  </xdr:twoCellAnchor>
  <xdr:twoCellAnchor>
    <xdr:from>
      <xdr:col>14</xdr:col>
      <xdr:colOff>289559</xdr:colOff>
      <xdr:row>32</xdr:row>
      <xdr:rowOff>154090</xdr:rowOff>
    </xdr:from>
    <xdr:to>
      <xdr:col>15</xdr:col>
      <xdr:colOff>312420</xdr:colOff>
      <xdr:row>34</xdr:row>
      <xdr:rowOff>45720</xdr:rowOff>
    </xdr:to>
    <xdr:sp macro="" textlink="Processing!AD37">
      <xdr:nvSpPr>
        <xdr:cNvPr id="102" name="TextBox 101">
          <a:extLst>
            <a:ext uri="{FF2B5EF4-FFF2-40B4-BE49-F238E27FC236}">
              <a16:creationId xmlns:a16="http://schemas.microsoft.com/office/drawing/2014/main" id="{00000000-0008-0000-0100-000066000000}"/>
            </a:ext>
          </a:extLst>
        </xdr:cNvPr>
        <xdr:cNvSpPr txBox="1"/>
      </xdr:nvSpPr>
      <xdr:spPr>
        <a:xfrm>
          <a:off x="8823959" y="6067210"/>
          <a:ext cx="632461" cy="25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7A6220-F143-407D-B8FA-95B9543C4AAD}" type="TxLink">
            <a:rPr lang="en-US" sz="1100" b="0" i="0" u="none" strike="noStrike">
              <a:solidFill>
                <a:schemeClr val="bg1">
                  <a:lumMod val="95000"/>
                </a:schemeClr>
              </a:solidFill>
              <a:latin typeface="Aptos Narrow"/>
            </a:rPr>
            <a:pPr algn="ctr"/>
            <a:t>77%</a:t>
          </a:fld>
          <a:endParaRPr lang="ru-RU" sz="3600">
            <a:solidFill>
              <a:schemeClr val="bg1">
                <a:lumMod val="95000"/>
              </a:schemeClr>
            </a:solidFill>
          </a:endParaRPr>
        </a:p>
      </xdr:txBody>
    </xdr:sp>
    <xdr:clientData/>
  </xdr:twoCellAnchor>
  <xdr:twoCellAnchor>
    <xdr:from>
      <xdr:col>16</xdr:col>
      <xdr:colOff>342900</xdr:colOff>
      <xdr:row>23</xdr:row>
      <xdr:rowOff>100750</xdr:rowOff>
    </xdr:from>
    <xdr:to>
      <xdr:col>18</xdr:col>
      <xdr:colOff>541019</xdr:colOff>
      <xdr:row>24</xdr:row>
      <xdr:rowOff>175260</xdr:rowOff>
    </xdr:to>
    <xdr:sp macro="" textlink="Processing!G47">
      <xdr:nvSpPr>
        <xdr:cNvPr id="103" name="TextBox 102">
          <a:extLst>
            <a:ext uri="{FF2B5EF4-FFF2-40B4-BE49-F238E27FC236}">
              <a16:creationId xmlns:a16="http://schemas.microsoft.com/office/drawing/2014/main" id="{00000000-0008-0000-0100-000067000000}"/>
            </a:ext>
          </a:extLst>
        </xdr:cNvPr>
        <xdr:cNvSpPr txBox="1"/>
      </xdr:nvSpPr>
      <xdr:spPr>
        <a:xfrm>
          <a:off x="10096500" y="4367950"/>
          <a:ext cx="1417319" cy="25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B8E0393-AF84-407D-B6A5-A8486D6A0C31}" type="TxLink">
            <a:rPr lang="en-US" sz="1100" b="0" i="0" u="none" strike="noStrike">
              <a:solidFill>
                <a:srgbClr val="C1E5F5"/>
              </a:solidFill>
              <a:latin typeface="Aptos Narrow"/>
            </a:rPr>
            <a:pPr algn="ctr"/>
            <a:t>Shelf Life Exceeded</a:t>
          </a:fld>
          <a:endParaRPr lang="ru-RU" sz="4400" b="0">
            <a:solidFill>
              <a:srgbClr val="C1E5F5"/>
            </a:solidFill>
          </a:endParaRPr>
        </a:p>
      </xdr:txBody>
    </xdr:sp>
    <xdr:clientData/>
  </xdr:twoCellAnchor>
  <xdr:twoCellAnchor>
    <xdr:from>
      <xdr:col>20</xdr:col>
      <xdr:colOff>304229</xdr:colOff>
      <xdr:row>23</xdr:row>
      <xdr:rowOff>100750</xdr:rowOff>
    </xdr:from>
    <xdr:to>
      <xdr:col>21</xdr:col>
      <xdr:colOff>355819</xdr:colOff>
      <xdr:row>24</xdr:row>
      <xdr:rowOff>175260</xdr:rowOff>
    </xdr:to>
    <xdr:sp macro="" textlink="Processing!H47">
      <xdr:nvSpPr>
        <xdr:cNvPr id="104" name="TextBox 103">
          <a:extLst>
            <a:ext uri="{FF2B5EF4-FFF2-40B4-BE49-F238E27FC236}">
              <a16:creationId xmlns:a16="http://schemas.microsoft.com/office/drawing/2014/main" id="{00000000-0008-0000-0100-000068000000}"/>
            </a:ext>
          </a:extLst>
        </xdr:cNvPr>
        <xdr:cNvSpPr txBox="1"/>
      </xdr:nvSpPr>
      <xdr:spPr>
        <a:xfrm>
          <a:off x="12496229" y="4388971"/>
          <a:ext cx="661190" cy="258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89B5D84-184E-4105-B764-33DD7E9765BD}" type="TxLink">
            <a:rPr lang="en-US" sz="1100" b="0" i="0" u="none" strike="noStrike">
              <a:solidFill>
                <a:srgbClr val="D36FF9"/>
              </a:solidFill>
              <a:latin typeface="Aptos Narrow"/>
            </a:rPr>
            <a:pPr algn="ctr"/>
            <a:t>Disposal</a:t>
          </a:fld>
          <a:endParaRPr lang="ru-RU" sz="4400" b="0">
            <a:solidFill>
              <a:srgbClr val="D36FF9"/>
            </a:solidFill>
          </a:endParaRPr>
        </a:p>
      </xdr:txBody>
    </xdr:sp>
    <xdr:clientData/>
  </xdr:twoCellAnchor>
  <xdr:twoCellAnchor>
    <xdr:from>
      <xdr:col>18</xdr:col>
      <xdr:colOff>408544</xdr:colOff>
      <xdr:row>23</xdr:row>
      <xdr:rowOff>100750</xdr:rowOff>
    </xdr:from>
    <xdr:to>
      <xdr:col>19</xdr:col>
      <xdr:colOff>396240</xdr:colOff>
      <xdr:row>24</xdr:row>
      <xdr:rowOff>175260</xdr:rowOff>
    </xdr:to>
    <xdr:sp macro="" textlink="Processing!I60">
      <xdr:nvSpPr>
        <xdr:cNvPr id="105" name="TextBox 104">
          <a:extLst>
            <a:ext uri="{FF2B5EF4-FFF2-40B4-BE49-F238E27FC236}">
              <a16:creationId xmlns:a16="http://schemas.microsoft.com/office/drawing/2014/main" id="{00000000-0008-0000-0100-000069000000}"/>
            </a:ext>
          </a:extLst>
        </xdr:cNvPr>
        <xdr:cNvSpPr txBox="1"/>
      </xdr:nvSpPr>
      <xdr:spPr>
        <a:xfrm>
          <a:off x="11381344" y="4367950"/>
          <a:ext cx="597296" cy="25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1B65AAD1-5A75-4F49-8CCD-283B47649A9A}" type="TxLink">
            <a:rPr lang="en-US" sz="1200" b="0" i="0" u="none" strike="noStrike">
              <a:solidFill>
                <a:schemeClr val="bg1">
                  <a:lumMod val="95000"/>
                </a:schemeClr>
              </a:solidFill>
              <a:latin typeface="Aptos Narrow"/>
            </a:rPr>
            <a:pPr algn="r"/>
            <a:t>6,708</a:t>
          </a:fld>
          <a:endParaRPr lang="ru-RU" sz="4800" b="0">
            <a:solidFill>
              <a:schemeClr val="bg1">
                <a:lumMod val="95000"/>
              </a:schemeClr>
            </a:solidFill>
          </a:endParaRPr>
        </a:p>
      </xdr:txBody>
    </xdr:sp>
    <xdr:clientData/>
  </xdr:twoCellAnchor>
  <xdr:twoCellAnchor>
    <xdr:from>
      <xdr:col>21</xdr:col>
      <xdr:colOff>167069</xdr:colOff>
      <xdr:row>23</xdr:row>
      <xdr:rowOff>100750</xdr:rowOff>
    </xdr:from>
    <xdr:to>
      <xdr:col>22</xdr:col>
      <xdr:colOff>299545</xdr:colOff>
      <xdr:row>24</xdr:row>
      <xdr:rowOff>175260</xdr:rowOff>
    </xdr:to>
    <xdr:sp macro="" textlink="Processing!J60">
      <xdr:nvSpPr>
        <xdr:cNvPr id="106" name="TextBox 105">
          <a:extLst>
            <a:ext uri="{FF2B5EF4-FFF2-40B4-BE49-F238E27FC236}">
              <a16:creationId xmlns:a16="http://schemas.microsoft.com/office/drawing/2014/main" id="{00000000-0008-0000-0100-00006A000000}"/>
            </a:ext>
          </a:extLst>
        </xdr:cNvPr>
        <xdr:cNvSpPr txBox="1"/>
      </xdr:nvSpPr>
      <xdr:spPr>
        <a:xfrm>
          <a:off x="12968669" y="4388971"/>
          <a:ext cx="742076" cy="258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77D5AB59-A2C2-43FB-B89D-164E2939FA54}" type="TxLink">
            <a:rPr lang="en-US" sz="1200" b="0" i="0" u="none" strike="noStrike">
              <a:solidFill>
                <a:schemeClr val="bg1">
                  <a:lumMod val="95000"/>
                </a:schemeClr>
              </a:solidFill>
              <a:latin typeface="Aptos Narrow"/>
            </a:rPr>
            <a:pPr algn="r"/>
            <a:t>7,589</a:t>
          </a:fld>
          <a:endParaRPr lang="ru-RU" sz="5400" b="0">
            <a:solidFill>
              <a:schemeClr val="bg1">
                <a:lumMod val="95000"/>
              </a:schemeClr>
            </a:solidFill>
          </a:endParaRPr>
        </a:p>
      </xdr:txBody>
    </xdr:sp>
    <xdr:clientData/>
  </xdr:twoCellAnchor>
  <xdr:twoCellAnchor>
    <xdr:from>
      <xdr:col>0</xdr:col>
      <xdr:colOff>313267</xdr:colOff>
      <xdr:row>9</xdr:row>
      <xdr:rowOff>47411</xdr:rowOff>
    </xdr:from>
    <xdr:to>
      <xdr:col>4</xdr:col>
      <xdr:colOff>133435</xdr:colOff>
      <xdr:row>11</xdr:row>
      <xdr:rowOff>108371</xdr:rowOff>
    </xdr:to>
    <xdr:grpSp>
      <xdr:nvGrpSpPr>
        <xdr:cNvPr id="24" name="Group 23">
          <a:hlinkClick xmlns:r="http://schemas.openxmlformats.org/officeDocument/2006/relationships" r:id="rId21"/>
          <a:extLst>
            <a:ext uri="{FF2B5EF4-FFF2-40B4-BE49-F238E27FC236}">
              <a16:creationId xmlns:a16="http://schemas.microsoft.com/office/drawing/2014/main" id="{00000000-0008-0000-0100-000018000000}"/>
            </a:ext>
          </a:extLst>
        </xdr:cNvPr>
        <xdr:cNvGrpSpPr/>
      </xdr:nvGrpSpPr>
      <xdr:grpSpPr>
        <a:xfrm>
          <a:off x="313267" y="1742861"/>
          <a:ext cx="2525268" cy="422910"/>
          <a:chOff x="313267" y="1754291"/>
          <a:chExt cx="2258568" cy="426720"/>
        </a:xfrm>
      </xdr:grpSpPr>
      <xdr:sp macro="" textlink="">
        <xdr:nvSpPr>
          <xdr:cNvPr id="34" name="Rectangle 33">
            <a:extLst>
              <a:ext uri="{FF2B5EF4-FFF2-40B4-BE49-F238E27FC236}">
                <a16:creationId xmlns:a16="http://schemas.microsoft.com/office/drawing/2014/main" id="{00000000-0008-0000-0100-000022000000}"/>
              </a:ext>
            </a:extLst>
          </xdr:cNvPr>
          <xdr:cNvSpPr/>
        </xdr:nvSpPr>
        <xdr:spPr>
          <a:xfrm>
            <a:off x="313267" y="1754291"/>
            <a:ext cx="2258568" cy="426720"/>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771167" y="1815251"/>
            <a:ext cx="173581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SUMMARY REPORT</a:t>
            </a:r>
            <a:endParaRPr lang="ru-RU" sz="1400">
              <a:solidFill>
                <a:schemeClr val="bg1"/>
              </a:solidFill>
            </a:endParaRPr>
          </a:p>
        </xdr:txBody>
      </xdr:sp>
      <xdr:pic>
        <xdr:nvPicPr>
          <xdr:cNvPr id="108" name="Graphic 107" descr="Bar chart with solid fill">
            <a:extLst>
              <a:ext uri="{FF2B5EF4-FFF2-40B4-BE49-F238E27FC236}">
                <a16:creationId xmlns:a16="http://schemas.microsoft.com/office/drawing/2014/main" id="{00000000-0008-0000-0100-00006C00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xmlns="" r:embed="rId23"/>
              </a:ext>
            </a:extLst>
          </a:blip>
          <a:stretch>
            <a:fillRect/>
          </a:stretch>
        </xdr:blipFill>
        <xdr:spPr>
          <a:xfrm>
            <a:off x="472440" y="1805940"/>
            <a:ext cx="312420" cy="312420"/>
          </a:xfrm>
          <a:prstGeom prst="rect">
            <a:avLst/>
          </a:prstGeom>
        </xdr:spPr>
      </xdr:pic>
    </xdr:grpSp>
    <xdr:clientData/>
  </xdr:twoCellAnchor>
  <xdr:twoCellAnchor>
    <xdr:from>
      <xdr:col>0</xdr:col>
      <xdr:colOff>483870</xdr:colOff>
      <xdr:row>12</xdr:row>
      <xdr:rowOff>51048</xdr:rowOff>
    </xdr:from>
    <xdr:to>
      <xdr:col>1</xdr:col>
      <xdr:colOff>148590</xdr:colOff>
      <xdr:row>13</xdr:row>
      <xdr:rowOff>142488</xdr:rowOff>
    </xdr:to>
    <xdr:pic>
      <xdr:nvPicPr>
        <xdr:cNvPr id="109" name="Graphic 108" descr="Box with solid fill">
          <a:extLst>
            <a:ext uri="{FF2B5EF4-FFF2-40B4-BE49-F238E27FC236}">
              <a16:creationId xmlns:a16="http://schemas.microsoft.com/office/drawing/2014/main" id="{00000000-0008-0000-0100-00006D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xmlns="" r:embed="rId25"/>
            </a:ext>
          </a:extLst>
        </a:blip>
        <a:stretch>
          <a:fillRect/>
        </a:stretch>
      </xdr:blipFill>
      <xdr:spPr>
        <a:xfrm>
          <a:off x="483870" y="2306568"/>
          <a:ext cx="274320" cy="274320"/>
        </a:xfrm>
        <a:prstGeom prst="rect">
          <a:avLst/>
        </a:prstGeom>
      </xdr:spPr>
    </xdr:pic>
    <xdr:clientData/>
  </xdr:twoCellAnchor>
  <xdr:twoCellAnchor>
    <xdr:from>
      <xdr:col>0</xdr:col>
      <xdr:colOff>313267</xdr:colOff>
      <xdr:row>14</xdr:row>
      <xdr:rowOff>79584</xdr:rowOff>
    </xdr:from>
    <xdr:to>
      <xdr:col>4</xdr:col>
      <xdr:colOff>137160</xdr:colOff>
      <xdr:row>16</xdr:row>
      <xdr:rowOff>140544</xdr:rowOff>
    </xdr:to>
    <xdr:grpSp>
      <xdr:nvGrpSpPr>
        <xdr:cNvPr id="25" name="Group 24">
          <a:hlinkClick xmlns:r="http://schemas.openxmlformats.org/officeDocument/2006/relationships" r:id="rId26"/>
          <a:extLst>
            <a:ext uri="{FF2B5EF4-FFF2-40B4-BE49-F238E27FC236}">
              <a16:creationId xmlns:a16="http://schemas.microsoft.com/office/drawing/2014/main" id="{00000000-0008-0000-0100-000019000000}"/>
            </a:ext>
          </a:extLst>
        </xdr:cNvPr>
        <xdr:cNvGrpSpPr/>
      </xdr:nvGrpSpPr>
      <xdr:grpSpPr>
        <a:xfrm>
          <a:off x="313267" y="2679909"/>
          <a:ext cx="2528993" cy="422910"/>
          <a:chOff x="313267" y="2687969"/>
          <a:chExt cx="2262293" cy="424375"/>
        </a:xfrm>
      </xdr:grpSpPr>
      <xdr:sp macro="" textlink="">
        <xdr:nvSpPr>
          <xdr:cNvPr id="38" name="Rectangle 37">
            <a:extLst>
              <a:ext uri="{FF2B5EF4-FFF2-40B4-BE49-F238E27FC236}">
                <a16:creationId xmlns:a16="http://schemas.microsoft.com/office/drawing/2014/main" id="{00000000-0008-0000-0100-000026000000}"/>
              </a:ext>
            </a:extLst>
          </xdr:cNvPr>
          <xdr:cNvSpPr/>
        </xdr:nvSpPr>
        <xdr:spPr>
          <a:xfrm>
            <a:off x="313267" y="2687969"/>
            <a:ext cx="2262293" cy="424375"/>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40" name="TextBox 39">
            <a:extLst>
              <a:ext uri="{FF2B5EF4-FFF2-40B4-BE49-F238E27FC236}">
                <a16:creationId xmlns:a16="http://schemas.microsoft.com/office/drawing/2014/main" id="{00000000-0008-0000-0100-000028000000}"/>
              </a:ext>
            </a:extLst>
          </xdr:cNvPr>
          <xdr:cNvSpPr txBox="1"/>
        </xdr:nvSpPr>
        <xdr:spPr>
          <a:xfrm>
            <a:off x="771167" y="2736227"/>
            <a:ext cx="1485525" cy="302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bg1"/>
                </a:solidFill>
                <a:latin typeface="+mn-lt"/>
                <a:ea typeface="+mn-ea"/>
                <a:cs typeface="+mn-cs"/>
              </a:rPr>
              <a:t>FIFO LOGISTICS</a:t>
            </a:r>
            <a:endParaRPr lang="ru-RU" sz="1400">
              <a:solidFill>
                <a:schemeClr val="bg1"/>
              </a:solidFill>
              <a:latin typeface="+mn-lt"/>
              <a:ea typeface="+mn-ea"/>
              <a:cs typeface="+mn-cs"/>
            </a:endParaRPr>
          </a:p>
        </xdr:txBody>
      </xdr:sp>
      <xdr:pic>
        <xdr:nvPicPr>
          <xdr:cNvPr id="110" name="Graphic 109" descr="Arrow circle with solid fill">
            <a:extLst>
              <a:ext uri="{FF2B5EF4-FFF2-40B4-BE49-F238E27FC236}">
                <a16:creationId xmlns:a16="http://schemas.microsoft.com/office/drawing/2014/main" id="{00000000-0008-0000-0100-00006E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xmlns="" r:embed="rId28"/>
              </a:ext>
            </a:extLst>
          </a:blip>
          <a:stretch>
            <a:fillRect/>
          </a:stretch>
        </xdr:blipFill>
        <xdr:spPr>
          <a:xfrm>
            <a:off x="491490" y="2756201"/>
            <a:ext cx="274320" cy="273461"/>
          </a:xfrm>
          <a:prstGeom prst="rect">
            <a:avLst/>
          </a:prstGeom>
        </xdr:spPr>
      </xdr:pic>
    </xdr:grpSp>
    <xdr:clientData/>
  </xdr:twoCellAnchor>
  <xdr:twoCellAnchor>
    <xdr:from>
      <xdr:col>0</xdr:col>
      <xdr:colOff>313267</xdr:colOff>
      <xdr:row>17</xdr:row>
      <xdr:rowOff>5924</xdr:rowOff>
    </xdr:from>
    <xdr:to>
      <xdr:col>4</xdr:col>
      <xdr:colOff>137160</xdr:colOff>
      <xdr:row>19</xdr:row>
      <xdr:rowOff>66884</xdr:rowOff>
    </xdr:to>
    <xdr:grpSp>
      <xdr:nvGrpSpPr>
        <xdr:cNvPr id="90" name="Group 89">
          <a:hlinkClick xmlns:r="http://schemas.openxmlformats.org/officeDocument/2006/relationships" r:id="rId29"/>
          <a:extLst>
            <a:ext uri="{FF2B5EF4-FFF2-40B4-BE49-F238E27FC236}">
              <a16:creationId xmlns:a16="http://schemas.microsoft.com/office/drawing/2014/main" id="{00000000-0008-0000-0100-00005A000000}"/>
            </a:ext>
          </a:extLst>
        </xdr:cNvPr>
        <xdr:cNvGrpSpPr/>
      </xdr:nvGrpSpPr>
      <xdr:grpSpPr>
        <a:xfrm>
          <a:off x="313267" y="3149174"/>
          <a:ext cx="2528993" cy="422910"/>
          <a:chOff x="313267" y="3175844"/>
          <a:chExt cx="2262293" cy="426720"/>
        </a:xfrm>
      </xdr:grpSpPr>
      <xdr:sp macro="" textlink="">
        <xdr:nvSpPr>
          <xdr:cNvPr id="41" name="Rectangle 40">
            <a:extLst>
              <a:ext uri="{FF2B5EF4-FFF2-40B4-BE49-F238E27FC236}">
                <a16:creationId xmlns:a16="http://schemas.microsoft.com/office/drawing/2014/main" id="{00000000-0008-0000-0100-000029000000}"/>
              </a:ext>
            </a:extLst>
          </xdr:cNvPr>
          <xdr:cNvSpPr/>
        </xdr:nvSpPr>
        <xdr:spPr>
          <a:xfrm>
            <a:off x="313267" y="3175844"/>
            <a:ext cx="2262293" cy="426720"/>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42" name="TextBox 41">
            <a:extLst>
              <a:ext uri="{FF2B5EF4-FFF2-40B4-BE49-F238E27FC236}">
                <a16:creationId xmlns:a16="http://schemas.microsoft.com/office/drawing/2014/main" id="{00000000-0008-0000-0100-00002A000000}"/>
              </a:ext>
            </a:extLst>
          </xdr:cNvPr>
          <xdr:cNvSpPr txBox="1"/>
        </xdr:nvSpPr>
        <xdr:spPr>
          <a:xfrm>
            <a:off x="771167" y="3213095"/>
            <a:ext cx="1667233" cy="308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mn-lt"/>
                <a:ea typeface="+mn-ea"/>
                <a:cs typeface="+mn-cs"/>
              </a:rPr>
              <a:t>SETTINGS</a:t>
            </a:r>
            <a:r>
              <a:rPr lang="ru-RU" sz="1100">
                <a:solidFill>
                  <a:schemeClr val="dk1"/>
                </a:solidFill>
                <a:effectLst/>
                <a:latin typeface="+mn-lt"/>
                <a:ea typeface="+mn-ea"/>
                <a:cs typeface="+mn-cs"/>
              </a:rPr>
              <a:t> </a:t>
            </a:r>
            <a:r>
              <a:rPr lang="en-US" sz="1400">
                <a:solidFill>
                  <a:schemeClr val="bg1"/>
                </a:solidFill>
                <a:latin typeface="+mn-lt"/>
                <a:ea typeface="+mn-ea"/>
                <a:cs typeface="+mn-cs"/>
              </a:rPr>
              <a:t>APP</a:t>
            </a:r>
            <a:endParaRPr lang="ru-RU" sz="1400">
              <a:solidFill>
                <a:schemeClr val="bg1"/>
              </a:solidFill>
              <a:latin typeface="+mn-lt"/>
              <a:ea typeface="+mn-ea"/>
              <a:cs typeface="+mn-cs"/>
            </a:endParaRPr>
          </a:p>
        </xdr:txBody>
      </xdr:sp>
      <xdr:pic>
        <xdr:nvPicPr>
          <xdr:cNvPr id="111" name="Graphic 110" descr="Single gear with solid fill">
            <a:extLst>
              <a:ext uri="{FF2B5EF4-FFF2-40B4-BE49-F238E27FC236}">
                <a16:creationId xmlns:a16="http://schemas.microsoft.com/office/drawing/2014/main" id="{00000000-0008-0000-0100-00006F0000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 uri="{96DAC541-7B7A-43D3-8B79-37D633B846F1}">
                <asvg:svgBlip xmlns:asvg="http://schemas.microsoft.com/office/drawing/2016/SVG/main" xmlns="" r:embed="rId31"/>
              </a:ext>
            </a:extLst>
          </a:blip>
          <a:stretch>
            <a:fillRect/>
          </a:stretch>
        </xdr:blipFill>
        <xdr:spPr>
          <a:xfrm>
            <a:off x="477774" y="3225677"/>
            <a:ext cx="292608" cy="293351"/>
          </a:xfrm>
          <a:prstGeom prst="rect">
            <a:avLst/>
          </a:prstGeom>
        </xdr:spPr>
      </xdr:pic>
    </xdr:grpSp>
    <xdr:clientData/>
  </xdr:twoCellAnchor>
  <xdr:twoCellAnchor>
    <xdr:from>
      <xdr:col>0</xdr:col>
      <xdr:colOff>313267</xdr:colOff>
      <xdr:row>19</xdr:row>
      <xdr:rowOff>115143</xdr:rowOff>
    </xdr:from>
    <xdr:to>
      <xdr:col>4</xdr:col>
      <xdr:colOff>137160</xdr:colOff>
      <xdr:row>21</xdr:row>
      <xdr:rowOff>176102</xdr:rowOff>
    </xdr:to>
    <xdr:grpSp>
      <xdr:nvGrpSpPr>
        <xdr:cNvPr id="113" name="Group 112">
          <a:hlinkClick xmlns:r="http://schemas.openxmlformats.org/officeDocument/2006/relationships" r:id="rId32"/>
          <a:extLst>
            <a:ext uri="{FF2B5EF4-FFF2-40B4-BE49-F238E27FC236}">
              <a16:creationId xmlns:a16="http://schemas.microsoft.com/office/drawing/2014/main" id="{00000000-0008-0000-0100-000071000000}"/>
            </a:ext>
          </a:extLst>
        </xdr:cNvPr>
        <xdr:cNvGrpSpPr/>
      </xdr:nvGrpSpPr>
      <xdr:grpSpPr>
        <a:xfrm>
          <a:off x="313267" y="3620343"/>
          <a:ext cx="2528993" cy="422909"/>
          <a:chOff x="313267" y="3650823"/>
          <a:chExt cx="2262293" cy="426719"/>
        </a:xfrm>
      </xdr:grpSpPr>
      <xdr:sp macro="" textlink="">
        <xdr:nvSpPr>
          <xdr:cNvPr id="43" name="Rectangle 42">
            <a:extLst>
              <a:ext uri="{FF2B5EF4-FFF2-40B4-BE49-F238E27FC236}">
                <a16:creationId xmlns:a16="http://schemas.microsoft.com/office/drawing/2014/main" id="{00000000-0008-0000-0100-00002B000000}"/>
              </a:ext>
            </a:extLst>
          </xdr:cNvPr>
          <xdr:cNvSpPr/>
        </xdr:nvSpPr>
        <xdr:spPr>
          <a:xfrm>
            <a:off x="313267" y="3650823"/>
            <a:ext cx="2262293" cy="426719"/>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44" name="TextBox 43">
            <a:extLst>
              <a:ext uri="{FF2B5EF4-FFF2-40B4-BE49-F238E27FC236}">
                <a16:creationId xmlns:a16="http://schemas.microsoft.com/office/drawing/2014/main" id="{00000000-0008-0000-0100-00002C000000}"/>
              </a:ext>
            </a:extLst>
          </xdr:cNvPr>
          <xdr:cNvSpPr txBox="1"/>
        </xdr:nvSpPr>
        <xdr:spPr>
          <a:xfrm>
            <a:off x="771167" y="3680456"/>
            <a:ext cx="1644373"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mn-lt"/>
                <a:ea typeface="+mn-ea"/>
                <a:cs typeface="+mn-cs"/>
              </a:rPr>
              <a:t>DATABASE</a:t>
            </a:r>
            <a:endParaRPr lang="ru-RU" sz="1400">
              <a:solidFill>
                <a:schemeClr val="bg1"/>
              </a:solidFill>
              <a:latin typeface="+mn-lt"/>
              <a:ea typeface="+mn-ea"/>
              <a:cs typeface="+mn-cs"/>
            </a:endParaRPr>
          </a:p>
        </xdr:txBody>
      </xdr:sp>
      <xdr:pic>
        <xdr:nvPicPr>
          <xdr:cNvPr id="112" name="Graphic 111" descr="Database with solid fill">
            <a:extLst>
              <a:ext uri="{FF2B5EF4-FFF2-40B4-BE49-F238E27FC236}">
                <a16:creationId xmlns:a16="http://schemas.microsoft.com/office/drawing/2014/main" id="{00000000-0008-0000-0100-00007000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 uri="{96DAC541-7B7A-43D3-8B79-37D633B846F1}">
                <asvg:svgBlip xmlns:asvg="http://schemas.microsoft.com/office/drawing/2016/SVG/main" xmlns="" r:embed="rId34"/>
              </a:ext>
            </a:extLst>
          </a:blip>
          <a:stretch>
            <a:fillRect/>
          </a:stretch>
        </xdr:blipFill>
        <xdr:spPr>
          <a:xfrm>
            <a:off x="495682" y="3729712"/>
            <a:ext cx="248548" cy="252645"/>
          </a:xfrm>
          <a:prstGeom prst="rect">
            <a:avLst/>
          </a:prstGeom>
        </xdr:spPr>
      </xdr:pic>
    </xdr:grpSp>
    <xdr:clientData/>
  </xdr:twoCellAnchor>
  <xdr:twoCellAnchor>
    <xdr:from>
      <xdr:col>13</xdr:col>
      <xdr:colOff>60960</xdr:colOff>
      <xdr:row>3</xdr:row>
      <xdr:rowOff>60960</xdr:rowOff>
    </xdr:from>
    <xdr:to>
      <xdr:col>14</xdr:col>
      <xdr:colOff>407394</xdr:colOff>
      <xdr:row>5</xdr:row>
      <xdr:rowOff>1693</xdr:rowOff>
    </xdr:to>
    <xdr:sp macro="" textlink="Processing!A1">
      <xdr:nvSpPr>
        <xdr:cNvPr id="114" name="TextBox 113">
          <a:extLst>
            <a:ext uri="{FF2B5EF4-FFF2-40B4-BE49-F238E27FC236}">
              <a16:creationId xmlns:a16="http://schemas.microsoft.com/office/drawing/2014/main" id="{00000000-0008-0000-0100-000072000000}"/>
            </a:ext>
          </a:extLst>
        </xdr:cNvPr>
        <xdr:cNvSpPr txBox="1"/>
      </xdr:nvSpPr>
      <xdr:spPr>
        <a:xfrm>
          <a:off x="7985760" y="670560"/>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52FC8E7-876F-4F2D-9C4F-62B17EEADB99}" type="TxLink">
            <a:rPr lang="en-US" sz="900" b="0" i="0" u="none" strike="noStrike">
              <a:solidFill>
                <a:schemeClr val="bg1">
                  <a:lumMod val="75000"/>
                </a:schemeClr>
              </a:solidFill>
              <a:latin typeface="Aptos Narrow"/>
              <a:ea typeface="+mn-ea"/>
              <a:cs typeface="+mn-cs"/>
            </a:rPr>
            <a:pPr marL="0" indent="0" algn="l"/>
            <a:t>Niche Market</a:t>
          </a:fld>
          <a:endParaRPr lang="ru-RU" sz="1200">
            <a:solidFill>
              <a:schemeClr val="bg1">
                <a:lumMod val="75000"/>
              </a:schemeClr>
            </a:solidFill>
            <a:latin typeface="+mn-lt"/>
            <a:ea typeface="+mn-ea"/>
            <a:cs typeface="+mn-cs"/>
          </a:endParaRPr>
        </a:p>
      </xdr:txBody>
    </xdr:sp>
    <xdr:clientData/>
  </xdr:twoCellAnchor>
  <xdr:twoCellAnchor>
    <xdr:from>
      <xdr:col>13</xdr:col>
      <xdr:colOff>60960</xdr:colOff>
      <xdr:row>6</xdr:row>
      <xdr:rowOff>60960</xdr:rowOff>
    </xdr:from>
    <xdr:to>
      <xdr:col>14</xdr:col>
      <xdr:colOff>407394</xdr:colOff>
      <xdr:row>8</xdr:row>
      <xdr:rowOff>1693</xdr:rowOff>
    </xdr:to>
    <xdr:sp macro="" textlink="Processing!C1">
      <xdr:nvSpPr>
        <xdr:cNvPr id="115" name="TextBox 114">
          <a:extLst>
            <a:ext uri="{FF2B5EF4-FFF2-40B4-BE49-F238E27FC236}">
              <a16:creationId xmlns:a16="http://schemas.microsoft.com/office/drawing/2014/main" id="{00000000-0008-0000-0100-000073000000}"/>
            </a:ext>
          </a:extLst>
        </xdr:cNvPr>
        <xdr:cNvSpPr txBox="1"/>
      </xdr:nvSpPr>
      <xdr:spPr>
        <a:xfrm>
          <a:off x="7985760" y="1219200"/>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C4F03B3-7D88-469B-9A7A-14230B5396F6}" type="TxLink">
            <a:rPr lang="en-US" sz="900" b="0" i="0" u="none" strike="noStrike">
              <a:solidFill>
                <a:schemeClr val="bg1">
                  <a:lumMod val="75000"/>
                </a:schemeClr>
              </a:solidFill>
              <a:latin typeface="Aptos Narrow"/>
              <a:ea typeface="+mn-ea"/>
              <a:cs typeface="+mn-cs"/>
            </a:rPr>
            <a:pPr marL="0" indent="0" algn="l"/>
            <a:t>Mass Market</a:t>
          </a:fld>
          <a:endParaRPr lang="ru-RU" sz="1000">
            <a:solidFill>
              <a:schemeClr val="bg1">
                <a:lumMod val="75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45720</xdr:colOff>
      <xdr:row>1</xdr:row>
      <xdr:rowOff>45720</xdr:rowOff>
    </xdr:to>
    <xdr:sp macro="" textlink="">
      <xdr:nvSpPr>
        <xdr:cNvPr id="46" name="Rectangle 45">
          <a:extLst>
            <a:ext uri="{FF2B5EF4-FFF2-40B4-BE49-F238E27FC236}">
              <a16:creationId xmlns:a16="http://schemas.microsoft.com/office/drawing/2014/main" id="{00000000-0008-0000-0200-00002E000000}"/>
            </a:ext>
          </a:extLst>
        </xdr:cNvPr>
        <xdr:cNvSpPr/>
      </xdr:nvSpPr>
      <xdr:spPr>
        <a:xfrm>
          <a:off x="0" y="0"/>
          <a:ext cx="655320" cy="289560"/>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320040</xdr:colOff>
      <xdr:row>1</xdr:row>
      <xdr:rowOff>7620</xdr:rowOff>
    </xdr:from>
    <xdr:to>
      <xdr:col>23</xdr:col>
      <xdr:colOff>60960</xdr:colOff>
      <xdr:row>37</xdr:row>
      <xdr:rowOff>160020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320040" y="251460"/>
          <a:ext cx="13761720" cy="6736080"/>
        </a:xfrm>
        <a:prstGeom prst="rect">
          <a:avLst/>
        </a:prstGeom>
        <a:gradFill flip="none" rotWithShape="1">
          <a:gsLst>
            <a:gs pos="17000">
              <a:srgbClr val="262834"/>
            </a:gs>
            <a:gs pos="0">
              <a:srgbClr val="282C38"/>
            </a:gs>
            <a:gs pos="68000">
              <a:srgbClr val="121622"/>
            </a:gs>
          </a:gsLst>
          <a:lin ang="2400000" scaled="0"/>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411480</xdr:colOff>
      <xdr:row>9</xdr:row>
      <xdr:rowOff>99060</xdr:rowOff>
    </xdr:from>
    <xdr:to>
      <xdr:col>15</xdr:col>
      <xdr:colOff>251460</xdr:colOff>
      <xdr:row>22</xdr:row>
      <xdr:rowOff>4953</xdr:rowOff>
    </xdr:to>
    <xdr:sp macro="" textlink="">
      <xdr:nvSpPr>
        <xdr:cNvPr id="3" name="Rectangle 2">
          <a:extLst>
            <a:ext uri="{FF2B5EF4-FFF2-40B4-BE49-F238E27FC236}">
              <a16:creationId xmlns:a16="http://schemas.microsoft.com/office/drawing/2014/main" id="{00000000-0008-0000-0200-000003000000}"/>
            </a:ext>
          </a:extLst>
        </xdr:cNvPr>
        <xdr:cNvSpPr/>
      </xdr:nvSpPr>
      <xdr:spPr>
        <a:xfrm>
          <a:off x="2849880" y="1805940"/>
          <a:ext cx="6545580" cy="2283333"/>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487680</xdr:colOff>
      <xdr:row>9</xdr:row>
      <xdr:rowOff>99060</xdr:rowOff>
    </xdr:from>
    <xdr:to>
      <xdr:col>22</xdr:col>
      <xdr:colOff>518160</xdr:colOff>
      <xdr:row>35</xdr:row>
      <xdr:rowOff>104274</xdr:rowOff>
    </xdr:to>
    <xdr:sp macro="" textlink="">
      <xdr:nvSpPr>
        <xdr:cNvPr id="6" name="Rectangle 5">
          <a:extLst>
            <a:ext uri="{FF2B5EF4-FFF2-40B4-BE49-F238E27FC236}">
              <a16:creationId xmlns:a16="http://schemas.microsoft.com/office/drawing/2014/main" id="{00000000-0008-0000-0200-000006000000}"/>
            </a:ext>
          </a:extLst>
        </xdr:cNvPr>
        <xdr:cNvSpPr/>
      </xdr:nvSpPr>
      <xdr:spPr>
        <a:xfrm>
          <a:off x="9631680" y="1805940"/>
          <a:ext cx="4297680" cy="4760094"/>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251460</xdr:colOff>
      <xdr:row>2</xdr:row>
      <xdr:rowOff>175260</xdr:rowOff>
    </xdr:from>
    <xdr:to>
      <xdr:col>15</xdr:col>
      <xdr:colOff>251460</xdr:colOff>
      <xdr:row>5</xdr:row>
      <xdr:rowOff>83820</xdr:rowOff>
    </xdr:to>
    <xdr:sp macro="" textlink="">
      <xdr:nvSpPr>
        <xdr:cNvPr id="7" name="Rectangle 6">
          <a:extLst>
            <a:ext uri="{FF2B5EF4-FFF2-40B4-BE49-F238E27FC236}">
              <a16:creationId xmlns:a16="http://schemas.microsoft.com/office/drawing/2014/main" id="{00000000-0008-0000-0200-000007000000}"/>
            </a:ext>
          </a:extLst>
        </xdr:cNvPr>
        <xdr:cNvSpPr/>
      </xdr:nvSpPr>
      <xdr:spPr>
        <a:xfrm>
          <a:off x="7566660" y="601980"/>
          <a:ext cx="1828800" cy="4572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251460</xdr:colOff>
      <xdr:row>5</xdr:row>
      <xdr:rowOff>167640</xdr:rowOff>
    </xdr:from>
    <xdr:to>
      <xdr:col>15</xdr:col>
      <xdr:colOff>251460</xdr:colOff>
      <xdr:row>8</xdr:row>
      <xdr:rowOff>76200</xdr:rowOff>
    </xdr:to>
    <xdr:sp macro="" textlink="">
      <xdr:nvSpPr>
        <xdr:cNvPr id="8" name="Rectangle 7">
          <a:extLst>
            <a:ext uri="{FF2B5EF4-FFF2-40B4-BE49-F238E27FC236}">
              <a16:creationId xmlns:a16="http://schemas.microsoft.com/office/drawing/2014/main" id="{00000000-0008-0000-0200-000008000000}"/>
            </a:ext>
          </a:extLst>
        </xdr:cNvPr>
        <xdr:cNvSpPr/>
      </xdr:nvSpPr>
      <xdr:spPr>
        <a:xfrm>
          <a:off x="7566660" y="1143000"/>
          <a:ext cx="1828800" cy="45720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487680</xdr:colOff>
      <xdr:row>1</xdr:row>
      <xdr:rowOff>167640</xdr:rowOff>
    </xdr:from>
    <xdr:to>
      <xdr:col>19</xdr:col>
      <xdr:colOff>129540</xdr:colOff>
      <xdr:row>8</xdr:row>
      <xdr:rowOff>76200</xdr:rowOff>
    </xdr:to>
    <xdr:sp macro="" textlink="">
      <xdr:nvSpPr>
        <xdr:cNvPr id="9" name="Rectangle 8">
          <a:extLst>
            <a:ext uri="{FF2B5EF4-FFF2-40B4-BE49-F238E27FC236}">
              <a16:creationId xmlns:a16="http://schemas.microsoft.com/office/drawing/2014/main" id="{00000000-0008-0000-0200-000009000000}"/>
            </a:ext>
          </a:extLst>
        </xdr:cNvPr>
        <xdr:cNvSpPr/>
      </xdr:nvSpPr>
      <xdr:spPr>
        <a:xfrm>
          <a:off x="9631680" y="411480"/>
          <a:ext cx="2080260" cy="1188720"/>
        </a:xfrm>
        <a:prstGeom prst="rect">
          <a:avLst/>
        </a:prstGeom>
        <a:gradFill>
          <a:gsLst>
            <a:gs pos="12000">
              <a:srgbClr val="21E6DF"/>
            </a:gs>
            <a:gs pos="86000">
              <a:srgbClr val="9F7EF8"/>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129540</xdr:colOff>
      <xdr:row>3</xdr:row>
      <xdr:rowOff>30480</xdr:rowOff>
    </xdr:from>
    <xdr:to>
      <xdr:col>6</xdr:col>
      <xdr:colOff>251460</xdr:colOff>
      <xdr:row>7</xdr:row>
      <xdr:rowOff>30480</xdr:rowOff>
    </xdr:to>
    <xdr:sp macro="" textlink="">
      <xdr:nvSpPr>
        <xdr:cNvPr id="10" name="Oval 9">
          <a:extLst>
            <a:ext uri="{FF2B5EF4-FFF2-40B4-BE49-F238E27FC236}">
              <a16:creationId xmlns:a16="http://schemas.microsoft.com/office/drawing/2014/main" id="{00000000-0008-0000-0200-00000A000000}"/>
            </a:ext>
          </a:extLst>
        </xdr:cNvPr>
        <xdr:cNvSpPr/>
      </xdr:nvSpPr>
      <xdr:spPr>
        <a:xfrm>
          <a:off x="3177540" y="640080"/>
          <a:ext cx="731520" cy="731520"/>
        </a:xfrm>
        <a:prstGeom prst="ellipse">
          <a:avLst/>
        </a:prstGeom>
        <a:noFill/>
        <a:ln w="69850">
          <a:solidFill>
            <a:srgbClr val="2F333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313267</xdr:colOff>
      <xdr:row>14</xdr:row>
      <xdr:rowOff>81278</xdr:rowOff>
    </xdr:from>
    <xdr:to>
      <xdr:col>4</xdr:col>
      <xdr:colOff>137160</xdr:colOff>
      <xdr:row>16</xdr:row>
      <xdr:rowOff>142238</xdr:rowOff>
    </xdr:to>
    <xdr:sp macro="" textlink="">
      <xdr:nvSpPr>
        <xdr:cNvPr id="21" name="Rectangle 20">
          <a:extLst>
            <a:ext uri="{FF2B5EF4-FFF2-40B4-BE49-F238E27FC236}">
              <a16:creationId xmlns:a16="http://schemas.microsoft.com/office/drawing/2014/main" id="{00000000-0008-0000-0200-000015000000}"/>
            </a:ext>
          </a:extLst>
        </xdr:cNvPr>
        <xdr:cNvSpPr/>
      </xdr:nvSpPr>
      <xdr:spPr>
        <a:xfrm>
          <a:off x="313267" y="2676841"/>
          <a:ext cx="2262293" cy="422910"/>
        </a:xfrm>
        <a:prstGeom prst="rect">
          <a:avLst/>
        </a:prstGeom>
        <a:solidFill>
          <a:srgbClr val="0B304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320040</xdr:colOff>
      <xdr:row>14</xdr:row>
      <xdr:rowOff>83183</xdr:rowOff>
    </xdr:from>
    <xdr:to>
      <xdr:col>0</xdr:col>
      <xdr:colOff>365760</xdr:colOff>
      <xdr:row>16</xdr:row>
      <xdr:rowOff>142238</xdr:rowOff>
    </xdr:to>
    <xdr:sp macro="" textlink="">
      <xdr:nvSpPr>
        <xdr:cNvPr id="20" name="Rectangle 19">
          <a:extLst>
            <a:ext uri="{FF2B5EF4-FFF2-40B4-BE49-F238E27FC236}">
              <a16:creationId xmlns:a16="http://schemas.microsoft.com/office/drawing/2014/main" id="{00000000-0008-0000-0200-000014000000}"/>
            </a:ext>
          </a:extLst>
        </xdr:cNvPr>
        <xdr:cNvSpPr/>
      </xdr:nvSpPr>
      <xdr:spPr>
        <a:xfrm>
          <a:off x="320040" y="2678746"/>
          <a:ext cx="45720" cy="421005"/>
        </a:xfrm>
        <a:prstGeom prst="rect">
          <a:avLst/>
        </a:prstGeom>
        <a:solidFill>
          <a:srgbClr val="1DE1EB"/>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xdr:col>
      <xdr:colOff>161567</xdr:colOff>
      <xdr:row>14</xdr:row>
      <xdr:rowOff>127842</xdr:rowOff>
    </xdr:from>
    <xdr:to>
      <xdr:col>4</xdr:col>
      <xdr:colOff>411480</xdr:colOff>
      <xdr:row>16</xdr:row>
      <xdr:rowOff>66882</xdr:rowOff>
    </xdr:to>
    <xdr:sp macro="" textlink="">
      <xdr:nvSpPr>
        <xdr:cNvPr id="23" name="TextBox 22">
          <a:extLst>
            <a:ext uri="{FF2B5EF4-FFF2-40B4-BE49-F238E27FC236}">
              <a16:creationId xmlns:a16="http://schemas.microsoft.com/office/drawing/2014/main" id="{00000000-0008-0000-0200-000017000000}"/>
            </a:ext>
          </a:extLst>
        </xdr:cNvPr>
        <xdr:cNvSpPr txBox="1"/>
      </xdr:nvSpPr>
      <xdr:spPr>
        <a:xfrm>
          <a:off x="771167" y="2749122"/>
          <a:ext cx="207871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rgbClr val="1DE1EB"/>
              </a:solidFill>
              <a:latin typeface="+mn-lt"/>
              <a:ea typeface="+mn-ea"/>
              <a:cs typeface="+mn-cs"/>
            </a:rPr>
            <a:t>FIFO LOGISTICS</a:t>
          </a:r>
          <a:endParaRPr lang="ru-RU" sz="1400">
            <a:solidFill>
              <a:srgbClr val="1DE1EB"/>
            </a:solidFill>
            <a:latin typeface="+mn-lt"/>
            <a:ea typeface="+mn-ea"/>
            <a:cs typeface="+mn-cs"/>
          </a:endParaRPr>
        </a:p>
      </xdr:txBody>
    </xdr:sp>
    <xdr:clientData/>
  </xdr:twoCellAnchor>
  <xdr:twoCellAnchor>
    <xdr:from>
      <xdr:col>0</xdr:col>
      <xdr:colOff>110068</xdr:colOff>
      <xdr:row>0</xdr:row>
      <xdr:rowOff>93132</xdr:rowOff>
    </xdr:from>
    <xdr:to>
      <xdr:col>4</xdr:col>
      <xdr:colOff>137160</xdr:colOff>
      <xdr:row>8</xdr:row>
      <xdr:rowOff>98212</xdr:rowOff>
    </xdr:to>
    <xdr:sp macro="" textlink="">
      <xdr:nvSpPr>
        <xdr:cNvPr id="28" name="Rectangle 27">
          <a:extLst>
            <a:ext uri="{FF2B5EF4-FFF2-40B4-BE49-F238E27FC236}">
              <a16:creationId xmlns:a16="http://schemas.microsoft.com/office/drawing/2014/main" id="{00000000-0008-0000-0200-00001C000000}"/>
            </a:ext>
          </a:extLst>
        </xdr:cNvPr>
        <xdr:cNvSpPr/>
      </xdr:nvSpPr>
      <xdr:spPr>
        <a:xfrm>
          <a:off x="110068" y="93132"/>
          <a:ext cx="2465492" cy="1529080"/>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284481</xdr:colOff>
      <xdr:row>0</xdr:row>
      <xdr:rowOff>201613</xdr:rowOff>
    </xdr:from>
    <xdr:to>
      <xdr:col>3</xdr:col>
      <xdr:colOff>572348</xdr:colOff>
      <xdr:row>8</xdr:row>
      <xdr:rowOff>56294</xdr:rowOff>
    </xdr:to>
    <xdr:grpSp>
      <xdr:nvGrpSpPr>
        <xdr:cNvPr id="29" name="Group 28">
          <a:hlinkClick xmlns:r="http://schemas.openxmlformats.org/officeDocument/2006/relationships" r:id="rId1"/>
          <a:extLst>
            <a:ext uri="{FF2B5EF4-FFF2-40B4-BE49-F238E27FC236}">
              <a16:creationId xmlns:a16="http://schemas.microsoft.com/office/drawing/2014/main" id="{00000000-0008-0000-0200-00001D000000}"/>
            </a:ext>
          </a:extLst>
        </xdr:cNvPr>
        <xdr:cNvGrpSpPr/>
      </xdr:nvGrpSpPr>
      <xdr:grpSpPr>
        <a:xfrm>
          <a:off x="284481" y="201613"/>
          <a:ext cx="2316692" cy="1369156"/>
          <a:chOff x="304802" y="176212"/>
          <a:chExt cx="2116667" cy="1404081"/>
        </a:xfrm>
      </xdr:grpSpPr>
      <xdr:grpSp>
        <xdr:nvGrpSpPr>
          <xdr:cNvPr id="30" name="Group 29">
            <a:extLst>
              <a:ext uri="{FF2B5EF4-FFF2-40B4-BE49-F238E27FC236}">
                <a16:creationId xmlns:a16="http://schemas.microsoft.com/office/drawing/2014/main" id="{00000000-0008-0000-0200-00001E000000}"/>
              </a:ext>
            </a:extLst>
          </xdr:cNvPr>
          <xdr:cNvGrpSpPr/>
        </xdr:nvGrpSpPr>
        <xdr:grpSpPr>
          <a:xfrm>
            <a:off x="876760" y="564960"/>
            <a:ext cx="970874" cy="688886"/>
            <a:chOff x="817491" y="521780"/>
            <a:chExt cx="970874" cy="674562"/>
          </a:xfrm>
        </xdr:grpSpPr>
        <xdr:sp macro="" textlink="">
          <xdr:nvSpPr>
            <xdr:cNvPr id="36" name="Rectangle 35">
              <a:extLst>
                <a:ext uri="{FF2B5EF4-FFF2-40B4-BE49-F238E27FC236}">
                  <a16:creationId xmlns:a16="http://schemas.microsoft.com/office/drawing/2014/main" id="{00000000-0008-0000-0200-000024000000}"/>
                </a:ext>
              </a:extLst>
            </xdr:cNvPr>
            <xdr:cNvSpPr/>
          </xdr:nvSpPr>
          <xdr:spPr>
            <a:xfrm rot="10800000">
              <a:off x="817491" y="713483"/>
              <a:ext cx="9144" cy="446314"/>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7" name="Rectangle 36">
              <a:extLst>
                <a:ext uri="{FF2B5EF4-FFF2-40B4-BE49-F238E27FC236}">
                  <a16:creationId xmlns:a16="http://schemas.microsoft.com/office/drawing/2014/main" id="{00000000-0008-0000-0200-000025000000}"/>
                </a:ext>
              </a:extLst>
            </xdr:cNvPr>
            <xdr:cNvSpPr/>
          </xdr:nvSpPr>
          <xdr:spPr>
            <a:xfrm rot="10800000">
              <a:off x="986928" y="713483"/>
              <a:ext cx="9144" cy="446314"/>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8" name="Rectangle 37">
              <a:extLst>
                <a:ext uri="{FF2B5EF4-FFF2-40B4-BE49-F238E27FC236}">
                  <a16:creationId xmlns:a16="http://schemas.microsoft.com/office/drawing/2014/main" id="{00000000-0008-0000-0200-000026000000}"/>
                </a:ext>
              </a:extLst>
            </xdr:cNvPr>
            <xdr:cNvSpPr/>
          </xdr:nvSpPr>
          <xdr:spPr>
            <a:xfrm rot="10800000">
              <a:off x="1608066" y="750028"/>
              <a:ext cx="9144" cy="446314"/>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9" name="Rectangle 38">
              <a:extLst>
                <a:ext uri="{FF2B5EF4-FFF2-40B4-BE49-F238E27FC236}">
                  <a16:creationId xmlns:a16="http://schemas.microsoft.com/office/drawing/2014/main" id="{00000000-0008-0000-0200-000027000000}"/>
                </a:ext>
              </a:extLst>
            </xdr:cNvPr>
            <xdr:cNvSpPr/>
          </xdr:nvSpPr>
          <xdr:spPr>
            <a:xfrm rot="10800000">
              <a:off x="1779221" y="750028"/>
              <a:ext cx="9144" cy="446314"/>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40" name="Rectangle 39">
              <a:extLst>
                <a:ext uri="{FF2B5EF4-FFF2-40B4-BE49-F238E27FC236}">
                  <a16:creationId xmlns:a16="http://schemas.microsoft.com/office/drawing/2014/main" id="{00000000-0008-0000-0200-000028000000}"/>
                </a:ext>
              </a:extLst>
            </xdr:cNvPr>
            <xdr:cNvSpPr/>
          </xdr:nvSpPr>
          <xdr:spPr>
            <a:xfrm rot="10800000">
              <a:off x="1184111" y="582318"/>
              <a:ext cx="9144" cy="446313"/>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41" name="Rectangle 40">
              <a:extLst>
                <a:ext uri="{FF2B5EF4-FFF2-40B4-BE49-F238E27FC236}">
                  <a16:creationId xmlns:a16="http://schemas.microsoft.com/office/drawing/2014/main" id="{00000000-0008-0000-0200-000029000000}"/>
                </a:ext>
              </a:extLst>
            </xdr:cNvPr>
            <xdr:cNvSpPr/>
          </xdr:nvSpPr>
          <xdr:spPr>
            <a:xfrm rot="10800000">
              <a:off x="1415585" y="582318"/>
              <a:ext cx="9144" cy="446313"/>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42" name="Rectangle 41">
              <a:extLst>
                <a:ext uri="{FF2B5EF4-FFF2-40B4-BE49-F238E27FC236}">
                  <a16:creationId xmlns:a16="http://schemas.microsoft.com/office/drawing/2014/main" id="{00000000-0008-0000-0200-00002A000000}"/>
                </a:ext>
              </a:extLst>
            </xdr:cNvPr>
            <xdr:cNvSpPr/>
          </xdr:nvSpPr>
          <xdr:spPr>
            <a:xfrm rot="10800000">
              <a:off x="1296401" y="521780"/>
              <a:ext cx="9144" cy="446313"/>
            </a:xfrm>
            <a:prstGeom prst="rect">
              <a:avLst/>
            </a:prstGeom>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sp macro="" textlink="">
        <xdr:nvSpPr>
          <xdr:cNvPr id="31" name="Star: 5 Points 30">
            <a:extLst>
              <a:ext uri="{FF2B5EF4-FFF2-40B4-BE49-F238E27FC236}">
                <a16:creationId xmlns:a16="http://schemas.microsoft.com/office/drawing/2014/main" id="{00000000-0008-0000-0200-00001F000000}"/>
              </a:ext>
            </a:extLst>
          </xdr:cNvPr>
          <xdr:cNvSpPr/>
        </xdr:nvSpPr>
        <xdr:spPr>
          <a:xfrm>
            <a:off x="1178457" y="176212"/>
            <a:ext cx="365760" cy="373697"/>
          </a:xfrm>
          <a:prstGeom prst="star5">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2" name="Star: 5 Points 31">
            <a:extLst>
              <a:ext uri="{FF2B5EF4-FFF2-40B4-BE49-F238E27FC236}">
                <a16:creationId xmlns:a16="http://schemas.microsoft.com/office/drawing/2014/main" id="{00000000-0008-0000-0200-000020000000}"/>
              </a:ext>
            </a:extLst>
          </xdr:cNvPr>
          <xdr:cNvSpPr/>
        </xdr:nvSpPr>
        <xdr:spPr>
          <a:xfrm>
            <a:off x="1616607" y="448733"/>
            <a:ext cx="274320" cy="284904"/>
          </a:xfrm>
          <a:prstGeom prst="star5">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3" name="Star: 5 Points 32">
            <a:extLst>
              <a:ext uri="{FF2B5EF4-FFF2-40B4-BE49-F238E27FC236}">
                <a16:creationId xmlns:a16="http://schemas.microsoft.com/office/drawing/2014/main" id="{00000000-0008-0000-0200-000021000000}"/>
              </a:ext>
            </a:extLst>
          </xdr:cNvPr>
          <xdr:cNvSpPr/>
        </xdr:nvSpPr>
        <xdr:spPr>
          <a:xfrm>
            <a:off x="826032" y="397931"/>
            <a:ext cx="274320" cy="284904"/>
          </a:xfrm>
          <a:prstGeom prst="star5">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304802" y="986276"/>
            <a:ext cx="2116667" cy="373884"/>
          </a:xfrm>
          <a:prstGeom prst="rect">
            <a:avLst/>
          </a:prstGeom>
          <a:noFill/>
          <a:ln w="9525" cmpd="sng">
            <a:noFill/>
          </a:ln>
          <a:effectLst>
            <a:outerShdw blurRad="50800" dist="38100" dir="16200000"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gradFill>
                  <a:gsLst>
                    <a:gs pos="25000">
                      <a:srgbClr val="C1A35F"/>
                    </a:gs>
                    <a:gs pos="75000">
                      <a:srgbClr val="C1A35F"/>
                    </a:gs>
                    <a:gs pos="0">
                      <a:srgbClr val="94632A"/>
                    </a:gs>
                    <a:gs pos="50000">
                      <a:srgbClr val="F3E999"/>
                    </a:gs>
                    <a:gs pos="100000">
                      <a:srgbClr val="94632A"/>
                    </a:gs>
                  </a:gsLst>
                  <a:lin ang="0" scaled="1"/>
                </a:gradFill>
                <a:latin typeface="Century Gothic" panose="020B0502020202020204" pitchFamily="34" charset="0"/>
                <a:ea typeface="ADLaM Display" panose="02010000000000000000" pitchFamily="2" charset="0"/>
                <a:cs typeface="ADLaM Display" panose="02010000000000000000" pitchFamily="2" charset="0"/>
              </a:rPr>
              <a:t>COMPARISON</a:t>
            </a:r>
            <a:endParaRPr lang="ru-RU" sz="1800" b="1">
              <a:gradFill>
                <a:gsLst>
                  <a:gs pos="25000">
                    <a:srgbClr val="C1A35F"/>
                  </a:gs>
                  <a:gs pos="75000">
                    <a:srgbClr val="C1A35F"/>
                  </a:gs>
                  <a:gs pos="0">
                    <a:srgbClr val="94632A"/>
                  </a:gs>
                  <a:gs pos="50000">
                    <a:srgbClr val="F3E999"/>
                  </a:gs>
                  <a:gs pos="100000">
                    <a:srgbClr val="94632A"/>
                  </a:gs>
                </a:gsLst>
                <a:lin ang="0" scaled="1"/>
              </a:gradFill>
              <a:latin typeface="Century Gothic" panose="020B0502020202020204" pitchFamily="34" charset="0"/>
              <a:ea typeface="ADLaM Display" panose="02010000000000000000" pitchFamily="2" charset="0"/>
              <a:cs typeface="ADLaM Display" panose="02010000000000000000" pitchFamily="2" charset="0"/>
            </a:endParaRPr>
          </a:p>
        </xdr:txBody>
      </xdr:sp>
      <xdr:sp macro="" textlink="">
        <xdr:nvSpPr>
          <xdr:cNvPr id="35" name="TextBox 34">
            <a:extLst>
              <a:ext uri="{FF2B5EF4-FFF2-40B4-BE49-F238E27FC236}">
                <a16:creationId xmlns:a16="http://schemas.microsoft.com/office/drawing/2014/main" id="{00000000-0008-0000-0200-000023000000}"/>
              </a:ext>
            </a:extLst>
          </xdr:cNvPr>
          <xdr:cNvSpPr txBox="1"/>
        </xdr:nvSpPr>
        <xdr:spPr>
          <a:xfrm>
            <a:off x="304802" y="1206411"/>
            <a:ext cx="2116667" cy="373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0" spc="110" baseline="0">
                <a:gradFill>
                  <a:gsLst>
                    <a:gs pos="25000">
                      <a:srgbClr val="C1A35F"/>
                    </a:gs>
                    <a:gs pos="75000">
                      <a:srgbClr val="C1A35F"/>
                    </a:gs>
                    <a:gs pos="0">
                      <a:srgbClr val="94632A"/>
                    </a:gs>
                    <a:gs pos="50000">
                      <a:srgbClr val="F3E999"/>
                    </a:gs>
                    <a:gs pos="100000">
                      <a:srgbClr val="94632A"/>
                    </a:gs>
                  </a:gsLst>
                  <a:lin ang="0" scaled="1"/>
                </a:gradFill>
                <a:latin typeface="Century Gothic" panose="020B0502020202020204" pitchFamily="34" charset="0"/>
                <a:ea typeface="ADLaM Display" panose="02010000000000000000" pitchFamily="2" charset="0"/>
                <a:cs typeface="ADLaM Display" panose="02010000000000000000" pitchFamily="2" charset="0"/>
              </a:rPr>
              <a:t>niche vs massmarket</a:t>
            </a:r>
            <a:endParaRPr lang="ru-RU" sz="1000" b="0" spc="110" baseline="0">
              <a:gradFill>
                <a:gsLst>
                  <a:gs pos="25000">
                    <a:srgbClr val="C1A35F"/>
                  </a:gs>
                  <a:gs pos="75000">
                    <a:srgbClr val="C1A35F"/>
                  </a:gs>
                  <a:gs pos="0">
                    <a:srgbClr val="94632A"/>
                  </a:gs>
                  <a:gs pos="50000">
                    <a:srgbClr val="F3E999"/>
                  </a:gs>
                  <a:gs pos="100000">
                    <a:srgbClr val="94632A"/>
                  </a:gs>
                </a:gsLst>
                <a:lin ang="0" scaled="1"/>
              </a:gradFill>
              <a:latin typeface="Century Gothic" panose="020B0502020202020204" pitchFamily="34" charset="0"/>
              <a:ea typeface="ADLaM Display" panose="02010000000000000000" pitchFamily="2" charset="0"/>
              <a:cs typeface="ADLaM Display" panose="02010000000000000000" pitchFamily="2" charset="0"/>
            </a:endParaRPr>
          </a:p>
        </xdr:txBody>
      </xdr:sp>
    </xdr:grpSp>
    <xdr:clientData/>
  </xdr:twoCellAnchor>
  <xdr:twoCellAnchor>
    <xdr:from>
      <xdr:col>4</xdr:col>
      <xdr:colOff>411480</xdr:colOff>
      <xdr:row>0</xdr:row>
      <xdr:rowOff>93132</xdr:rowOff>
    </xdr:from>
    <xdr:to>
      <xdr:col>8</xdr:col>
      <xdr:colOff>167640</xdr:colOff>
      <xdr:row>8</xdr:row>
      <xdr:rowOff>98212</xdr:rowOff>
    </xdr:to>
    <xdr:sp macro="" textlink="">
      <xdr:nvSpPr>
        <xdr:cNvPr id="43" name="Rectangle 42">
          <a:extLst>
            <a:ext uri="{FF2B5EF4-FFF2-40B4-BE49-F238E27FC236}">
              <a16:creationId xmlns:a16="http://schemas.microsoft.com/office/drawing/2014/main" id="{00000000-0008-0000-0200-00002B000000}"/>
            </a:ext>
          </a:extLst>
        </xdr:cNvPr>
        <xdr:cNvSpPr/>
      </xdr:nvSpPr>
      <xdr:spPr>
        <a:xfrm>
          <a:off x="2849880" y="93132"/>
          <a:ext cx="2194560" cy="152908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8</xdr:col>
      <xdr:colOff>350520</xdr:colOff>
      <xdr:row>0</xdr:row>
      <xdr:rowOff>83184</xdr:rowOff>
    </xdr:from>
    <xdr:to>
      <xdr:col>12</xdr:col>
      <xdr:colOff>106680</xdr:colOff>
      <xdr:row>8</xdr:row>
      <xdr:rowOff>88264</xdr:rowOff>
    </xdr:to>
    <xdr:sp macro="" textlink="">
      <xdr:nvSpPr>
        <xdr:cNvPr id="44" name="Rectangle 43">
          <a:extLst>
            <a:ext uri="{FF2B5EF4-FFF2-40B4-BE49-F238E27FC236}">
              <a16:creationId xmlns:a16="http://schemas.microsoft.com/office/drawing/2014/main" id="{00000000-0008-0000-0200-00002C000000}"/>
            </a:ext>
          </a:extLst>
        </xdr:cNvPr>
        <xdr:cNvSpPr/>
      </xdr:nvSpPr>
      <xdr:spPr>
        <a:xfrm>
          <a:off x="5227320" y="83184"/>
          <a:ext cx="2194560" cy="1529080"/>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19</xdr:col>
      <xdr:colOff>266700</xdr:colOff>
      <xdr:row>1</xdr:row>
      <xdr:rowOff>167640</xdr:rowOff>
    </xdr:from>
    <xdr:to>
      <xdr:col>22</xdr:col>
      <xdr:colOff>518160</xdr:colOff>
      <xdr:row>8</xdr:row>
      <xdr:rowOff>76200</xdr:rowOff>
    </xdr:to>
    <xdr:sp macro="" textlink="">
      <xdr:nvSpPr>
        <xdr:cNvPr id="49" name="Rectangle 48">
          <a:extLst>
            <a:ext uri="{FF2B5EF4-FFF2-40B4-BE49-F238E27FC236}">
              <a16:creationId xmlns:a16="http://schemas.microsoft.com/office/drawing/2014/main" id="{00000000-0008-0000-0200-000031000000}"/>
            </a:ext>
          </a:extLst>
        </xdr:cNvPr>
        <xdr:cNvSpPr/>
      </xdr:nvSpPr>
      <xdr:spPr>
        <a:xfrm>
          <a:off x="11849100" y="411480"/>
          <a:ext cx="2080260" cy="1188720"/>
        </a:xfrm>
        <a:prstGeom prst="rect">
          <a:avLst/>
        </a:prstGeom>
        <a:gradFill>
          <a:gsLst>
            <a:gs pos="13000">
              <a:srgbClr val="D36FF9"/>
            </a:gs>
            <a:gs pos="86000">
              <a:srgbClr val="9F7EF8"/>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411480</xdr:colOff>
      <xdr:row>23</xdr:row>
      <xdr:rowOff>15501</xdr:rowOff>
    </xdr:from>
    <xdr:to>
      <xdr:col>15</xdr:col>
      <xdr:colOff>251460</xdr:colOff>
      <xdr:row>35</xdr:row>
      <xdr:rowOff>104274</xdr:rowOff>
    </xdr:to>
    <xdr:sp macro="" textlink="">
      <xdr:nvSpPr>
        <xdr:cNvPr id="61" name="Rectangle 60">
          <a:extLst>
            <a:ext uri="{FF2B5EF4-FFF2-40B4-BE49-F238E27FC236}">
              <a16:creationId xmlns:a16="http://schemas.microsoft.com/office/drawing/2014/main" id="{00000000-0008-0000-0200-00003D000000}"/>
            </a:ext>
          </a:extLst>
        </xdr:cNvPr>
        <xdr:cNvSpPr/>
      </xdr:nvSpPr>
      <xdr:spPr>
        <a:xfrm>
          <a:off x="2849880" y="4282701"/>
          <a:ext cx="6545580" cy="2283333"/>
        </a:xfrm>
        <a:prstGeom prst="rect">
          <a:avLst/>
        </a:prstGeom>
        <a:gradFill>
          <a:gsLst>
            <a:gs pos="0">
              <a:srgbClr val="282C38"/>
            </a:gs>
            <a:gs pos="86000">
              <a:srgbClr val="121622"/>
            </a:gs>
          </a:gsLst>
          <a:lin ang="24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563880</xdr:colOff>
      <xdr:row>9</xdr:row>
      <xdr:rowOff>53865</xdr:rowOff>
    </xdr:from>
    <xdr:to>
      <xdr:col>15</xdr:col>
      <xdr:colOff>99060</xdr:colOff>
      <xdr:row>21</xdr:row>
      <xdr:rowOff>145305</xdr:rowOff>
    </xdr:to>
    <xdr:graphicFrame macro="">
      <xdr:nvGraphicFramePr>
        <xdr:cNvPr id="62" name="Chart 61">
          <a:extLst>
            <a:ext uri="{FF2B5EF4-FFF2-40B4-BE49-F238E27FC236}">
              <a16:creationId xmlns:a16="http://schemas.microsoft.com/office/drawing/2014/main" id="{00000000-0008-0000-0200-00003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22</xdr:row>
      <xdr:rowOff>175260</xdr:rowOff>
    </xdr:from>
    <xdr:to>
      <xdr:col>14</xdr:col>
      <xdr:colOff>464820</xdr:colOff>
      <xdr:row>35</xdr:row>
      <xdr:rowOff>22860</xdr:rowOff>
    </xdr:to>
    <xdr:graphicFrame macro="">
      <xdr:nvGraphicFramePr>
        <xdr:cNvPr id="63" name="Chart 62">
          <a:extLst>
            <a:ext uri="{FF2B5EF4-FFF2-40B4-BE49-F238E27FC236}">
              <a16:creationId xmlns:a16="http://schemas.microsoft.com/office/drawing/2014/main" id="{00000000-0008-0000-0200-00003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167640</xdr:colOff>
      <xdr:row>0</xdr:row>
      <xdr:rowOff>116204</xdr:rowOff>
    </xdr:from>
    <xdr:to>
      <xdr:col>7</xdr:col>
      <xdr:colOff>411480</xdr:colOff>
      <xdr:row>8</xdr:row>
      <xdr:rowOff>55244</xdr:rowOff>
    </xdr:to>
    <xdr:graphicFrame macro="">
      <xdr:nvGraphicFramePr>
        <xdr:cNvPr id="64" name="Chart 63">
          <a:extLst>
            <a:ext uri="{FF2B5EF4-FFF2-40B4-BE49-F238E27FC236}">
              <a16:creationId xmlns:a16="http://schemas.microsoft.com/office/drawing/2014/main" id="{00000000-0008-0000-0200-00004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106680</xdr:colOff>
      <xdr:row>0</xdr:row>
      <xdr:rowOff>116204</xdr:rowOff>
    </xdr:from>
    <xdr:to>
      <xdr:col>11</xdr:col>
      <xdr:colOff>350520</xdr:colOff>
      <xdr:row>8</xdr:row>
      <xdr:rowOff>55244</xdr:rowOff>
    </xdr:to>
    <xdr:graphicFrame macro="">
      <xdr:nvGraphicFramePr>
        <xdr:cNvPr id="65" name="Chart 64">
          <a:extLst>
            <a:ext uri="{FF2B5EF4-FFF2-40B4-BE49-F238E27FC236}">
              <a16:creationId xmlns:a16="http://schemas.microsoft.com/office/drawing/2014/main" id="{00000000-0008-0000-0200-00004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419100</xdr:colOff>
      <xdr:row>13</xdr:row>
      <xdr:rowOff>99060</xdr:rowOff>
    </xdr:from>
    <xdr:to>
      <xdr:col>22</xdr:col>
      <xdr:colOff>601980</xdr:colOff>
      <xdr:row>35</xdr:row>
      <xdr:rowOff>47296</xdr:rowOff>
    </xdr:to>
    <xdr:graphicFrame macro="">
      <xdr:nvGraphicFramePr>
        <xdr:cNvPr id="66" name="Chart 65">
          <a:extLst>
            <a:ext uri="{FF2B5EF4-FFF2-40B4-BE49-F238E27FC236}">
              <a16:creationId xmlns:a16="http://schemas.microsoft.com/office/drawing/2014/main" id="{00000000-0008-0000-02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228600</xdr:colOff>
      <xdr:row>0</xdr:row>
      <xdr:rowOff>121920</xdr:rowOff>
    </xdr:from>
    <xdr:to>
      <xdr:col>15</xdr:col>
      <xdr:colOff>228600</xdr:colOff>
      <xdr:row>2</xdr:row>
      <xdr:rowOff>114299</xdr:rowOff>
    </xdr:to>
    <mc:AlternateContent xmlns:mc="http://schemas.openxmlformats.org/markup-compatibility/2006" xmlns:a14="http://schemas.microsoft.com/office/drawing/2010/main">
      <mc:Choice Requires="a14">
        <xdr:graphicFrame macro="">
          <xdr:nvGraphicFramePr>
            <xdr:cNvPr id="50" name="Year 2">
              <a:extLst>
                <a:ext uri="{FF2B5EF4-FFF2-40B4-BE49-F238E27FC236}">
                  <a16:creationId xmlns:a16="http://schemas.microsoft.com/office/drawing/2014/main" id="{00000000-0008-0000-0200-000032000000}"/>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7543800" y="121920"/>
              <a:ext cx="1828800" cy="419099"/>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413912</xdr:colOff>
      <xdr:row>19</xdr:row>
      <xdr:rowOff>135863</xdr:rowOff>
    </xdr:from>
    <xdr:to>
      <xdr:col>15</xdr:col>
      <xdr:colOff>232556</xdr:colOff>
      <xdr:row>22</xdr:row>
      <xdr:rowOff>15240</xdr:rowOff>
    </xdr:to>
    <xdr:grpSp>
      <xdr:nvGrpSpPr>
        <xdr:cNvPr id="51" name="Group 50">
          <a:extLst>
            <a:ext uri="{FF2B5EF4-FFF2-40B4-BE49-F238E27FC236}">
              <a16:creationId xmlns:a16="http://schemas.microsoft.com/office/drawing/2014/main" id="{00000000-0008-0000-0200-000033000000}"/>
            </a:ext>
          </a:extLst>
        </xdr:cNvPr>
        <xdr:cNvGrpSpPr/>
      </xdr:nvGrpSpPr>
      <xdr:grpSpPr>
        <a:xfrm>
          <a:off x="3119012" y="3641063"/>
          <a:ext cx="7257669" cy="422302"/>
          <a:chOff x="2857500" y="3672840"/>
          <a:chExt cx="6524244" cy="426720"/>
        </a:xfrm>
      </xdr:grpSpPr>
      <xdr:sp macro="" textlink="">
        <xdr:nvSpPr>
          <xdr:cNvPr id="52" name="Rectangle 51">
            <a:extLst>
              <a:ext uri="{FF2B5EF4-FFF2-40B4-BE49-F238E27FC236}">
                <a16:creationId xmlns:a16="http://schemas.microsoft.com/office/drawing/2014/main" id="{00000000-0008-0000-0200-000034000000}"/>
              </a:ext>
            </a:extLst>
          </xdr:cNvPr>
          <xdr:cNvSpPr/>
        </xdr:nvSpPr>
        <xdr:spPr>
          <a:xfrm>
            <a:off x="3421380" y="3672840"/>
            <a:ext cx="5960364" cy="426720"/>
          </a:xfrm>
          <a:prstGeom prst="rect">
            <a:avLst/>
          </a:prstGeom>
          <a:solidFill>
            <a:srgbClr val="181C2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mc:AlternateContent xmlns:mc="http://schemas.openxmlformats.org/markup-compatibility/2006" xmlns:a14="http://schemas.microsoft.com/office/drawing/2010/main">
        <mc:Choice Requires="a14">
          <xdr:graphicFrame macro="">
            <xdr:nvGraphicFramePr>
              <xdr:cNvPr id="53" name="Name Month 2">
                <a:extLst>
                  <a:ext uri="{FF2B5EF4-FFF2-40B4-BE49-F238E27FC236}">
                    <a16:creationId xmlns:a16="http://schemas.microsoft.com/office/drawing/2014/main" id="{00000000-0008-0000-0200-000035000000}"/>
                  </a:ext>
                </a:extLst>
              </xdr:cNvPr>
              <xdr:cNvGraphicFramePr/>
            </xdr:nvGraphicFramePr>
            <xdr:xfrm>
              <a:off x="3390900" y="3718560"/>
              <a:ext cx="5783580" cy="365760"/>
            </xdr:xfrm>
            <a:graphic>
              <a:graphicData uri="http://schemas.microsoft.com/office/drawing/2010/slicer">
                <sle:slicer xmlns:sle="http://schemas.microsoft.com/office/drawing/2010/slicer" name="Name Month 2"/>
              </a:graphicData>
            </a:graphic>
          </xdr:graphicFrame>
        </mc:Choice>
        <mc:Fallback xmlns="">
          <xdr:sp macro="" textlink="">
            <xdr:nvSpPr>
              <xdr:cNvPr id="0" name=""/>
              <xdr:cNvSpPr>
                <a:spLocks noTextEdit="1"/>
              </xdr:cNvSpPr>
            </xdr:nvSpPr>
            <xdr:spPr>
              <a:xfrm>
                <a:off x="3385712" y="3717402"/>
                <a:ext cx="5783580" cy="36687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54" name="Rectangle 53">
            <a:extLst>
              <a:ext uri="{FF2B5EF4-FFF2-40B4-BE49-F238E27FC236}">
                <a16:creationId xmlns:a16="http://schemas.microsoft.com/office/drawing/2014/main" id="{00000000-0008-0000-0200-000036000000}"/>
              </a:ext>
            </a:extLst>
          </xdr:cNvPr>
          <xdr:cNvSpPr/>
        </xdr:nvSpPr>
        <xdr:spPr>
          <a:xfrm>
            <a:off x="2857500" y="3672840"/>
            <a:ext cx="617219" cy="426720"/>
          </a:xfrm>
          <a:prstGeom prst="rect">
            <a:avLst/>
          </a:prstGeom>
          <a:gradFill>
            <a:gsLst>
              <a:gs pos="0">
                <a:srgbClr val="222632"/>
              </a:gs>
              <a:gs pos="86000">
                <a:srgbClr val="181C28"/>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12</xdr:col>
      <xdr:colOff>388620</xdr:colOff>
      <xdr:row>2</xdr:row>
      <xdr:rowOff>175260</xdr:rowOff>
    </xdr:from>
    <xdr:to>
      <xdr:col>15</xdr:col>
      <xdr:colOff>243296</xdr:colOff>
      <xdr:row>8</xdr:row>
      <xdr:rowOff>72390</xdr:rowOff>
    </xdr:to>
    <xdr:grpSp>
      <xdr:nvGrpSpPr>
        <xdr:cNvPr id="55" name="Group 54">
          <a:extLst>
            <a:ext uri="{FF2B5EF4-FFF2-40B4-BE49-F238E27FC236}">
              <a16:creationId xmlns:a16="http://schemas.microsoft.com/office/drawing/2014/main" id="{00000000-0008-0000-0200-000037000000}"/>
            </a:ext>
          </a:extLst>
        </xdr:cNvPr>
        <xdr:cNvGrpSpPr/>
      </xdr:nvGrpSpPr>
      <xdr:grpSpPr>
        <a:xfrm>
          <a:off x="8503920" y="594360"/>
          <a:ext cx="1883501" cy="992505"/>
          <a:chOff x="7700554" y="601980"/>
          <a:chExt cx="1683476" cy="994410"/>
        </a:xfrm>
      </xdr:grpSpPr>
      <xdr:sp macro="" textlink="Processing!$E$1">
        <xdr:nvSpPr>
          <xdr:cNvPr id="56" name="TextBox 55">
            <a:extLst>
              <a:ext uri="{FF2B5EF4-FFF2-40B4-BE49-F238E27FC236}">
                <a16:creationId xmlns:a16="http://schemas.microsoft.com/office/drawing/2014/main" id="{00000000-0008-0000-0200-000038000000}"/>
              </a:ext>
            </a:extLst>
          </xdr:cNvPr>
          <xdr:cNvSpPr txBox="1"/>
        </xdr:nvSpPr>
        <xdr:spPr>
          <a:xfrm rot="5400000">
            <a:off x="8763000" y="449580"/>
            <a:ext cx="468630" cy="77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8C50FE-8B5A-4CA6-A199-16317AE571F9}" type="TxLink">
              <a:rPr lang="en-US" sz="3200" b="0" i="0" u="none" strike="noStrike">
                <a:blipFill>
                  <a:blip xmlns:r="http://schemas.openxmlformats.org/officeDocument/2006/relationships" r:embed="rId7">
                    <a:extLst>
                      <a:ext uri="{96DAC541-7B7A-43D3-8B79-37D633B846F1}">
                        <asvg:svgBlip xmlns:asvg="http://schemas.microsoft.com/office/drawing/2016/SVG/main" xmlns="" r:embed="rId8"/>
                      </a:ext>
                    </a:extLst>
                  </a:blip>
                  <a:stretch>
                    <a:fillRect/>
                  </a:stretch>
                </a:blipFill>
                <a:latin typeface="Arial" panose="020B0604020202020204" pitchFamily="34" charset="0"/>
                <a:cs typeface="Arial" panose="020B0604020202020204" pitchFamily="34" charset="0"/>
              </a:rPr>
              <a:pPr algn="ctr"/>
              <a:t>█</a:t>
            </a:fld>
            <a:endParaRPr lang="ru-RU" sz="3200">
              <a:blipFill>
                <a:blip xmlns:r="http://schemas.openxmlformats.org/officeDocument/2006/relationships" r:embed="rId7">
                  <a:extLst>
                    <a:ext uri="{96DAC541-7B7A-43D3-8B79-37D633B846F1}">
                      <asvg:svgBlip xmlns:asvg="http://schemas.microsoft.com/office/drawing/2016/SVG/main" xmlns="" r:embed="rId8"/>
                    </a:ext>
                  </a:extLst>
                </a:blip>
                <a:stretch>
                  <a:fillRect/>
                </a:stretch>
              </a:blipFill>
              <a:latin typeface="Arial" panose="020B0604020202020204" pitchFamily="34" charset="0"/>
              <a:cs typeface="Arial" panose="020B0604020202020204" pitchFamily="34" charset="0"/>
            </a:endParaRPr>
          </a:p>
        </xdr:txBody>
      </xdr:sp>
      <xdr:sp macro="" textlink="Processing!$F$1">
        <xdr:nvSpPr>
          <xdr:cNvPr id="57" name="TextBox 56">
            <a:extLst>
              <a:ext uri="{FF2B5EF4-FFF2-40B4-BE49-F238E27FC236}">
                <a16:creationId xmlns:a16="http://schemas.microsoft.com/office/drawing/2014/main" id="{00000000-0008-0000-0200-000039000000}"/>
              </a:ext>
            </a:extLst>
          </xdr:cNvPr>
          <xdr:cNvSpPr txBox="1"/>
        </xdr:nvSpPr>
        <xdr:spPr>
          <a:xfrm rot="5400000">
            <a:off x="8763000" y="975360"/>
            <a:ext cx="468630" cy="77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DB755B-5502-43D7-A499-5DBAF9ECE3B2}" type="TxLink">
              <a:rPr lang="en-US" sz="3200" b="0" i="0" u="none" strike="noStrike">
                <a:blipFill>
                  <a:blip xmlns:r="http://schemas.openxmlformats.org/officeDocument/2006/relationships" r:embed="rId9">
                    <a:extLst>
                      <a:ext uri="{96DAC541-7B7A-43D3-8B79-37D633B846F1}">
                        <asvg:svgBlip xmlns:asvg="http://schemas.microsoft.com/office/drawing/2016/SVG/main" xmlns="" r:embed="rId10"/>
                      </a:ext>
                    </a:extLst>
                  </a:blip>
                  <a:stretch>
                    <a:fillRect/>
                  </a:stretch>
                </a:blipFill>
                <a:latin typeface="Arial" panose="020B0604020202020204" pitchFamily="34" charset="0"/>
                <a:cs typeface="Arial" panose="020B0604020202020204" pitchFamily="34" charset="0"/>
              </a:rPr>
              <a:pPr algn="ctr"/>
              <a:t>█</a:t>
            </a:fld>
            <a:endParaRPr lang="ru-RU" sz="3200">
              <a:blipFill>
                <a:blip xmlns:r="http://schemas.openxmlformats.org/officeDocument/2006/relationships" r:embed="rId9">
                  <a:extLst>
                    <a:ext uri="{96DAC541-7B7A-43D3-8B79-37D633B846F1}">
                      <asvg:svgBlip xmlns:asvg="http://schemas.microsoft.com/office/drawing/2016/SVG/main" xmlns="" r:embed="rId10"/>
                    </a:ext>
                  </a:extLst>
                </a:blip>
                <a:stretch>
                  <a:fillRect/>
                </a:stretch>
              </a:blipFill>
              <a:latin typeface="Arial" panose="020B0604020202020204" pitchFamily="34" charset="0"/>
              <a:cs typeface="Arial" panose="020B0604020202020204" pitchFamily="34" charset="0"/>
            </a:endParaRPr>
          </a:p>
        </xdr:txBody>
      </xdr:sp>
      <xdr:sp macro="" textlink="Processing!$E$2">
        <xdr:nvSpPr>
          <xdr:cNvPr id="58" name="TextBox 57">
            <a:extLst>
              <a:ext uri="{FF2B5EF4-FFF2-40B4-BE49-F238E27FC236}">
                <a16:creationId xmlns:a16="http://schemas.microsoft.com/office/drawing/2014/main" id="{00000000-0008-0000-0200-00003A000000}"/>
              </a:ext>
            </a:extLst>
          </xdr:cNvPr>
          <xdr:cNvSpPr txBox="1"/>
        </xdr:nvSpPr>
        <xdr:spPr>
          <a:xfrm rot="5400000">
            <a:off x="8740140" y="449580"/>
            <a:ext cx="468630" cy="77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1C9E98-D9E4-48F3-994F-69B88C07C4E1}" type="TxLink">
              <a:rPr lang="en-US" sz="3200" b="0" i="0" u="none" strike="noStrike">
                <a:blipFill>
                  <a:blip xmlns:r="http://schemas.openxmlformats.org/officeDocument/2006/relationships" r:embed="rId11">
                    <a:extLst>
                      <a:ext uri="{96DAC541-7B7A-43D3-8B79-37D633B846F1}">
                        <asvg:svgBlip xmlns:asvg="http://schemas.microsoft.com/office/drawing/2016/SVG/main" xmlns="" r:embed="rId12"/>
                      </a:ext>
                    </a:extLst>
                  </a:blip>
                  <a:stretch>
                    <a:fillRect/>
                  </a:stretch>
                </a:blipFill>
                <a:latin typeface="Aptos Narrow"/>
                <a:cs typeface="Arial" panose="020B0604020202020204" pitchFamily="34" charset="0"/>
              </a:rPr>
              <a:pPr algn="ctr"/>
              <a:t> </a:t>
            </a:fld>
            <a:endParaRPr lang="ru-RU" sz="3200">
              <a:blipFill>
                <a:blip xmlns:r="http://schemas.openxmlformats.org/officeDocument/2006/relationships" r:embed="rId11">
                  <a:extLst>
                    <a:ext uri="{96DAC541-7B7A-43D3-8B79-37D633B846F1}">
                      <asvg:svgBlip xmlns:asvg="http://schemas.microsoft.com/office/drawing/2016/SVG/main" xmlns="" r:embed="rId12"/>
                    </a:ext>
                  </a:extLst>
                </a:blip>
                <a:stretch>
                  <a:fillRect/>
                </a:stretch>
              </a:blipFill>
              <a:latin typeface="Arial" panose="020B0604020202020204" pitchFamily="34" charset="0"/>
              <a:cs typeface="Arial" panose="020B0604020202020204" pitchFamily="34" charset="0"/>
            </a:endParaRPr>
          </a:p>
        </xdr:txBody>
      </xdr:sp>
      <xdr:sp macro="" textlink="Processing!$F$2">
        <xdr:nvSpPr>
          <xdr:cNvPr id="59" name="TextBox 58">
            <a:extLst>
              <a:ext uri="{FF2B5EF4-FFF2-40B4-BE49-F238E27FC236}">
                <a16:creationId xmlns:a16="http://schemas.microsoft.com/office/drawing/2014/main" id="{00000000-0008-0000-0200-00003B000000}"/>
              </a:ext>
            </a:extLst>
          </xdr:cNvPr>
          <xdr:cNvSpPr txBox="1"/>
        </xdr:nvSpPr>
        <xdr:spPr>
          <a:xfrm rot="5400000">
            <a:off x="8740140" y="975360"/>
            <a:ext cx="468630" cy="77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728D50-5FA4-45AB-AB0C-48FDA6DBCDB5}" type="TxLink">
              <a:rPr lang="en-US" sz="3200" b="0" i="0" u="none" strike="noStrike">
                <a:blipFill>
                  <a:blip xmlns:r="http://schemas.openxmlformats.org/officeDocument/2006/relationships" r:embed="rId11">
                    <a:extLst>
                      <a:ext uri="{96DAC541-7B7A-43D3-8B79-37D633B846F1}">
                        <asvg:svgBlip xmlns:asvg="http://schemas.microsoft.com/office/drawing/2016/SVG/main" xmlns="" r:embed="rId12"/>
                      </a:ext>
                    </a:extLst>
                  </a:blip>
                  <a:stretch>
                    <a:fillRect/>
                  </a:stretch>
                </a:blipFill>
                <a:latin typeface="Aptos Narrow"/>
                <a:cs typeface="Arial" panose="020B0604020202020204" pitchFamily="34" charset="0"/>
              </a:rPr>
              <a:pPr algn="ctr"/>
              <a:t> </a:t>
            </a:fld>
            <a:endParaRPr lang="ru-RU" sz="3200">
              <a:blipFill>
                <a:blip xmlns:r="http://schemas.openxmlformats.org/officeDocument/2006/relationships" r:embed="rId11">
                  <a:extLst>
                    <a:ext uri="{96DAC541-7B7A-43D3-8B79-37D633B846F1}">
                      <asvg:svgBlip xmlns:asvg="http://schemas.microsoft.com/office/drawing/2016/SVG/main" xmlns="" r:embed="rId12"/>
                    </a:ext>
                  </a:extLst>
                </a:blip>
                <a:stretch>
                  <a:fillRect/>
                </a:stretch>
              </a:blipFill>
              <a:latin typeface="Arial" panose="020B0604020202020204" pitchFamily="34" charset="0"/>
              <a:cs typeface="Arial" panose="020B0604020202020204" pitchFamily="34" charset="0"/>
            </a:endParaRPr>
          </a:p>
        </xdr:txBody>
      </xdr:sp>
      <mc:AlternateContent xmlns:mc="http://schemas.openxmlformats.org/markup-compatibility/2006">
        <mc:Choice xmlns:a14="http://schemas.microsoft.com/office/drawing/2010/main" Requires="a14">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7780020" y="723900"/>
                <a:ext cx="1394460" cy="2209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7780020" y="1257300"/>
                <a:ext cx="1394460" cy="2209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grpSp>
        <xdr:nvGrpSpPr>
          <xdr:cNvPr id="60" name="Group 59">
            <a:extLst>
              <a:ext uri="{FF2B5EF4-FFF2-40B4-BE49-F238E27FC236}">
                <a16:creationId xmlns:a16="http://schemas.microsoft.com/office/drawing/2014/main" id="{00000000-0008-0000-0200-00003C000000}"/>
              </a:ext>
            </a:extLst>
          </xdr:cNvPr>
          <xdr:cNvGrpSpPr/>
        </xdr:nvGrpSpPr>
        <xdr:grpSpPr>
          <a:xfrm>
            <a:off x="7700554" y="693420"/>
            <a:ext cx="274320" cy="274320"/>
            <a:chOff x="7654834" y="653142"/>
            <a:chExt cx="357051" cy="362495"/>
          </a:xfrm>
        </xdr:grpSpPr>
        <xdr:sp macro="" textlink="">
          <xdr:nvSpPr>
            <xdr:cNvPr id="70" name="Oval 69">
              <a:extLst>
                <a:ext uri="{FF2B5EF4-FFF2-40B4-BE49-F238E27FC236}">
                  <a16:creationId xmlns:a16="http://schemas.microsoft.com/office/drawing/2014/main" id="{00000000-0008-0000-0200-000046000000}"/>
                </a:ext>
              </a:extLst>
            </xdr:cNvPr>
            <xdr:cNvSpPr/>
          </xdr:nvSpPr>
          <xdr:spPr>
            <a:xfrm>
              <a:off x="7654834" y="653142"/>
              <a:ext cx="357051" cy="357051"/>
            </a:xfrm>
            <a:prstGeom prst="ellipse">
              <a:avLst/>
            </a:prstGeom>
            <a:gradFill flip="none" rotWithShape="1">
              <a:gsLst>
                <a:gs pos="0">
                  <a:schemeClr val="bg1"/>
                </a:gs>
                <a:gs pos="35000">
                  <a:srgbClr val="FBE6FE"/>
                </a:gs>
                <a:gs pos="100000">
                  <a:schemeClr val="accent5">
                    <a:lumMod val="100000"/>
                  </a:schemeClr>
                </a:gs>
              </a:gsLst>
              <a:path path="circle">
                <a:fillToRect l="50000" t="-80000" r="50000" b="18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pic>
          <xdr:nvPicPr>
            <xdr:cNvPr id="71" name="Graphic 70" descr="Continuous Improvement with solid fill">
              <a:extLst>
                <a:ext uri="{FF2B5EF4-FFF2-40B4-BE49-F238E27FC236}">
                  <a16:creationId xmlns:a16="http://schemas.microsoft.com/office/drawing/2014/main" id="{00000000-0008-0000-0200-000047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xmlns="" r:embed="rId14"/>
                </a:ext>
              </a:extLst>
            </a:blip>
            <a:stretch>
              <a:fillRect/>
            </a:stretch>
          </xdr:blipFill>
          <xdr:spPr>
            <a:xfrm>
              <a:off x="7658099" y="665117"/>
              <a:ext cx="350520" cy="350520"/>
            </a:xfrm>
            <a:prstGeom prst="rect">
              <a:avLst/>
            </a:prstGeom>
          </xdr:spPr>
        </xdr:pic>
      </xdr:grpSp>
      <xdr:grpSp>
        <xdr:nvGrpSpPr>
          <xdr:cNvPr id="67" name="Group 66">
            <a:extLst>
              <a:ext uri="{FF2B5EF4-FFF2-40B4-BE49-F238E27FC236}">
                <a16:creationId xmlns:a16="http://schemas.microsoft.com/office/drawing/2014/main" id="{00000000-0008-0000-0200-000043000000}"/>
              </a:ext>
            </a:extLst>
          </xdr:cNvPr>
          <xdr:cNvGrpSpPr/>
        </xdr:nvGrpSpPr>
        <xdr:grpSpPr>
          <a:xfrm>
            <a:off x="7700554" y="1234440"/>
            <a:ext cx="274320" cy="274320"/>
            <a:chOff x="7654834" y="1188719"/>
            <a:chExt cx="357051" cy="357051"/>
          </a:xfrm>
        </xdr:grpSpPr>
        <xdr:sp macro="" textlink="">
          <xdr:nvSpPr>
            <xdr:cNvPr id="68" name="Oval 67">
              <a:extLst>
                <a:ext uri="{FF2B5EF4-FFF2-40B4-BE49-F238E27FC236}">
                  <a16:creationId xmlns:a16="http://schemas.microsoft.com/office/drawing/2014/main" id="{00000000-0008-0000-0200-000044000000}"/>
                </a:ext>
              </a:extLst>
            </xdr:cNvPr>
            <xdr:cNvSpPr/>
          </xdr:nvSpPr>
          <xdr:spPr>
            <a:xfrm>
              <a:off x="7654834" y="1188719"/>
              <a:ext cx="357051" cy="357051"/>
            </a:xfrm>
            <a:prstGeom prst="ellipse">
              <a:avLst/>
            </a:prstGeom>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pic>
          <xdr:nvPicPr>
            <xdr:cNvPr id="69" name="Graphic 68" descr="Store with solid fill">
              <a:extLst>
                <a:ext uri="{FF2B5EF4-FFF2-40B4-BE49-F238E27FC236}">
                  <a16:creationId xmlns:a16="http://schemas.microsoft.com/office/drawing/2014/main" id="{00000000-0008-0000-0200-000045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xmlns="" r:embed="rId16"/>
                </a:ext>
              </a:extLst>
            </a:blip>
            <a:stretch>
              <a:fillRect/>
            </a:stretch>
          </xdr:blipFill>
          <xdr:spPr>
            <a:xfrm>
              <a:off x="7696199" y="1230084"/>
              <a:ext cx="274320" cy="274320"/>
            </a:xfrm>
            <a:prstGeom prst="rect">
              <a:avLst/>
            </a:prstGeom>
          </xdr:spPr>
        </xdr:pic>
      </xdr:grpSp>
    </xdr:grpSp>
    <xdr:clientData/>
  </xdr:twoCellAnchor>
  <xdr:twoCellAnchor>
    <xdr:from>
      <xdr:col>15</xdr:col>
      <xdr:colOff>571500</xdr:colOff>
      <xdr:row>2</xdr:row>
      <xdr:rowOff>45720</xdr:rowOff>
    </xdr:from>
    <xdr:to>
      <xdr:col>22</xdr:col>
      <xdr:colOff>485406</xdr:colOff>
      <xdr:row>8</xdr:row>
      <xdr:rowOff>55037</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10715625" y="464820"/>
          <a:ext cx="4647831" cy="1104692"/>
          <a:chOff x="9717774" y="470743"/>
          <a:chExt cx="4181106" cy="1106597"/>
        </a:xfrm>
      </xdr:grpSpPr>
      <xdr:sp macro="" textlink="Processing!AB31">
        <xdr:nvSpPr>
          <xdr:cNvPr id="5" name="TextBox 4">
            <a:extLst>
              <a:ext uri="{FF2B5EF4-FFF2-40B4-BE49-F238E27FC236}">
                <a16:creationId xmlns:a16="http://schemas.microsoft.com/office/drawing/2014/main" id="{00000000-0008-0000-0200-000005000000}"/>
              </a:ext>
            </a:extLst>
          </xdr:cNvPr>
          <xdr:cNvSpPr txBox="1"/>
        </xdr:nvSpPr>
        <xdr:spPr>
          <a:xfrm>
            <a:off x="11980914" y="944034"/>
            <a:ext cx="1163353"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42051D5-2D13-48A8-80EA-D3C4DC029891}" type="TxLink">
              <a:rPr lang="en-US" sz="2800" b="0" i="0" u="none" strike="noStrike">
                <a:solidFill>
                  <a:schemeClr val="bg1"/>
                </a:solidFill>
                <a:latin typeface="Aptos Narrow"/>
                <a:ea typeface="+mn-ea"/>
                <a:cs typeface="+mn-cs"/>
              </a:rPr>
              <a:pPr marL="0" indent="0" algn="l"/>
              <a:t>6,401</a:t>
            </a:fld>
            <a:endParaRPr lang="ru-RU" sz="4000">
              <a:solidFill>
                <a:schemeClr val="bg1"/>
              </a:solidFill>
              <a:latin typeface="+mn-lt"/>
              <a:ea typeface="+mn-ea"/>
              <a:cs typeface="+mn-cs"/>
            </a:endParaRPr>
          </a:p>
        </xdr:txBody>
      </xdr:sp>
      <xdr:graphicFrame macro="">
        <xdr:nvGraphicFramePr>
          <xdr:cNvPr id="11" name="Chart 10">
            <a:extLst>
              <a:ext uri="{FF2B5EF4-FFF2-40B4-BE49-F238E27FC236}">
                <a16:creationId xmlns:a16="http://schemas.microsoft.com/office/drawing/2014/main" id="{00000000-0008-0000-0200-00000B000000}"/>
              </a:ext>
            </a:extLst>
          </xdr:cNvPr>
          <xdr:cNvGraphicFramePr>
            <a:graphicFrameLocks/>
          </xdr:cNvGraphicFramePr>
        </xdr:nvGraphicFramePr>
        <xdr:xfrm>
          <a:off x="12984480" y="662940"/>
          <a:ext cx="914400" cy="914400"/>
        </xdr:xfrm>
        <a:graphic>
          <a:graphicData uri="http://schemas.openxmlformats.org/drawingml/2006/chart">
            <c:chart xmlns:c="http://schemas.openxmlformats.org/drawingml/2006/chart" xmlns:r="http://schemas.openxmlformats.org/officeDocument/2006/relationships" r:id="rId17"/>
          </a:graphicData>
        </a:graphic>
      </xdr:graphicFrame>
      <xdr:sp macro="" textlink="Processing!A2">
        <xdr:nvSpPr>
          <xdr:cNvPr id="12" name="TextBox 11">
            <a:extLst>
              <a:ext uri="{FF2B5EF4-FFF2-40B4-BE49-F238E27FC236}">
                <a16:creationId xmlns:a16="http://schemas.microsoft.com/office/drawing/2014/main" id="{00000000-0008-0000-0200-00000C000000}"/>
              </a:ext>
            </a:extLst>
          </xdr:cNvPr>
          <xdr:cNvSpPr txBox="1"/>
        </xdr:nvSpPr>
        <xdr:spPr>
          <a:xfrm>
            <a:off x="13121640" y="921174"/>
            <a:ext cx="640079" cy="404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5D84C58-1455-499C-9025-E782161EC7F2}" type="TxLink">
              <a:rPr lang="en-US" sz="1400" b="0" i="0" u="none" strike="noStrike">
                <a:solidFill>
                  <a:schemeClr val="bg1"/>
                </a:solidFill>
                <a:latin typeface="Aptos Narrow"/>
                <a:ea typeface="+mn-ea"/>
                <a:cs typeface="+mn-cs"/>
              </a:rPr>
              <a:pPr marL="0" indent="0" algn="ctr"/>
              <a:t>46%</a:t>
            </a:fld>
            <a:endParaRPr lang="ru-RU" sz="2400">
              <a:solidFill>
                <a:schemeClr val="bg1"/>
              </a:solidFill>
              <a:latin typeface="+mn-lt"/>
              <a:ea typeface="+mn-ea"/>
              <a:cs typeface="+mn-cs"/>
            </a:endParaRPr>
          </a:p>
        </xdr:txBody>
      </xdr:sp>
      <xdr:graphicFrame macro="">
        <xdr:nvGraphicFramePr>
          <xdr:cNvPr id="13" name="Chart 12">
            <a:extLst>
              <a:ext uri="{FF2B5EF4-FFF2-40B4-BE49-F238E27FC236}">
                <a16:creationId xmlns:a16="http://schemas.microsoft.com/office/drawing/2014/main" id="{00000000-0008-0000-0200-00000D000000}"/>
              </a:ext>
            </a:extLst>
          </xdr:cNvPr>
          <xdr:cNvGraphicFramePr>
            <a:graphicFrameLocks/>
          </xdr:cNvGraphicFramePr>
        </xdr:nvGraphicFramePr>
        <xdr:xfrm>
          <a:off x="10774680" y="662940"/>
          <a:ext cx="914400" cy="914400"/>
        </xdr:xfrm>
        <a:graphic>
          <a:graphicData uri="http://schemas.openxmlformats.org/drawingml/2006/chart">
            <c:chart xmlns:c="http://schemas.openxmlformats.org/drawingml/2006/chart" xmlns:r="http://schemas.openxmlformats.org/officeDocument/2006/relationships" r:id="rId18"/>
          </a:graphicData>
        </a:graphic>
      </xdr:graphicFrame>
      <xdr:sp macro="" textlink="Processing!C2">
        <xdr:nvSpPr>
          <xdr:cNvPr id="14" name="TextBox 13">
            <a:extLst>
              <a:ext uri="{FF2B5EF4-FFF2-40B4-BE49-F238E27FC236}">
                <a16:creationId xmlns:a16="http://schemas.microsoft.com/office/drawing/2014/main" id="{00000000-0008-0000-0200-00000E000000}"/>
              </a:ext>
            </a:extLst>
          </xdr:cNvPr>
          <xdr:cNvSpPr txBox="1"/>
        </xdr:nvSpPr>
        <xdr:spPr>
          <a:xfrm>
            <a:off x="10911840" y="921174"/>
            <a:ext cx="640079" cy="404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4FC0EE-2E15-4B80-A014-5D40893D0F93}" type="TxLink">
              <a:rPr lang="en-US" sz="1400" b="0" i="0" u="none" strike="noStrike">
                <a:solidFill>
                  <a:schemeClr val="bg1"/>
                </a:solidFill>
                <a:latin typeface="Aptos Narrow"/>
                <a:ea typeface="+mn-ea"/>
                <a:cs typeface="+mn-cs"/>
              </a:rPr>
              <a:pPr marL="0" indent="0" algn="ctr"/>
              <a:t>54%</a:t>
            </a:fld>
            <a:endParaRPr lang="ru-RU" sz="1400" b="0" i="0" u="none" strike="noStrike">
              <a:solidFill>
                <a:schemeClr val="bg1"/>
              </a:solidFill>
              <a:latin typeface="Aptos Narrow"/>
              <a:ea typeface="+mn-ea"/>
              <a:cs typeface="+mn-cs"/>
            </a:endParaRPr>
          </a:p>
        </xdr:txBody>
      </xdr:sp>
      <xdr:sp macro="" textlink="Processing!AC31">
        <xdr:nvSpPr>
          <xdr:cNvPr id="15" name="TextBox 14">
            <a:extLst>
              <a:ext uri="{FF2B5EF4-FFF2-40B4-BE49-F238E27FC236}">
                <a16:creationId xmlns:a16="http://schemas.microsoft.com/office/drawing/2014/main" id="{00000000-0008-0000-0200-00000F000000}"/>
              </a:ext>
            </a:extLst>
          </xdr:cNvPr>
          <xdr:cNvSpPr txBox="1"/>
        </xdr:nvSpPr>
        <xdr:spPr>
          <a:xfrm>
            <a:off x="9740634" y="944034"/>
            <a:ext cx="1163353"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117C0BF-15BF-4D62-AAAB-3E36F2430503}" type="TxLink">
              <a:rPr lang="en-US" sz="2800" b="0" i="0" u="none" strike="noStrike">
                <a:solidFill>
                  <a:schemeClr val="bg1"/>
                </a:solidFill>
                <a:latin typeface="Aptos Narrow"/>
                <a:ea typeface="+mn-ea"/>
                <a:cs typeface="+mn-cs"/>
              </a:rPr>
              <a:pPr marL="0" indent="0" algn="l"/>
              <a:t>7,432</a:t>
            </a:fld>
            <a:endParaRPr lang="ru-RU" sz="2800" b="0" i="0" u="none" strike="noStrike">
              <a:solidFill>
                <a:schemeClr val="bg1"/>
              </a:solidFill>
              <a:latin typeface="Aptos Narrow"/>
              <a:ea typeface="+mn-ea"/>
              <a:cs typeface="+mn-cs"/>
            </a:endParaRPr>
          </a:p>
        </xdr:txBody>
      </xdr:sp>
      <xdr:sp macro="" textlink="Processing!C1">
        <xdr:nvSpPr>
          <xdr:cNvPr id="16" name="TextBox 15">
            <a:extLst>
              <a:ext uri="{FF2B5EF4-FFF2-40B4-BE49-F238E27FC236}">
                <a16:creationId xmlns:a16="http://schemas.microsoft.com/office/drawing/2014/main" id="{00000000-0008-0000-0200-000010000000}"/>
              </a:ext>
            </a:extLst>
          </xdr:cNvPr>
          <xdr:cNvSpPr txBox="1"/>
        </xdr:nvSpPr>
        <xdr:spPr>
          <a:xfrm>
            <a:off x="9717774" y="470743"/>
            <a:ext cx="1400038"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0AC02A3-4616-4E40-AF5B-2B7ECA1EC5C8}" type="TxLink">
              <a:rPr lang="en-US" sz="1600" b="0" i="0" u="none" strike="noStrike">
                <a:solidFill>
                  <a:schemeClr val="bg1"/>
                </a:solidFill>
                <a:latin typeface="Aptos Narrow"/>
                <a:ea typeface="+mn-ea"/>
                <a:cs typeface="+mn-cs"/>
              </a:rPr>
              <a:pPr marL="0" indent="0" algn="l"/>
              <a:t>Mass Market</a:t>
            </a:fld>
            <a:endParaRPr lang="ru-RU" sz="4400">
              <a:solidFill>
                <a:schemeClr val="bg1"/>
              </a:solidFill>
              <a:latin typeface="+mn-lt"/>
              <a:ea typeface="+mn-ea"/>
              <a:cs typeface="+mn-cs"/>
            </a:endParaRPr>
          </a:p>
        </xdr:txBody>
      </xdr:sp>
      <xdr:sp macro="" textlink="Processing!A1">
        <xdr:nvSpPr>
          <xdr:cNvPr id="45" name="TextBox 44">
            <a:extLst>
              <a:ext uri="{FF2B5EF4-FFF2-40B4-BE49-F238E27FC236}">
                <a16:creationId xmlns:a16="http://schemas.microsoft.com/office/drawing/2014/main" id="{00000000-0008-0000-0200-00002D000000}"/>
              </a:ext>
            </a:extLst>
          </xdr:cNvPr>
          <xdr:cNvSpPr txBox="1"/>
        </xdr:nvSpPr>
        <xdr:spPr>
          <a:xfrm>
            <a:off x="11958054" y="470743"/>
            <a:ext cx="1400038"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CF9AC78-C28C-4E7B-8334-D69A6EA2A83E}" type="TxLink">
              <a:rPr lang="en-US" sz="1600" b="0" i="0" u="none" strike="noStrike">
                <a:solidFill>
                  <a:schemeClr val="bg1"/>
                </a:solidFill>
                <a:latin typeface="Aptos Narrow"/>
                <a:ea typeface="+mn-ea"/>
                <a:cs typeface="+mn-cs"/>
              </a:rPr>
              <a:pPr marL="0" indent="0" algn="l"/>
              <a:t>Niche Market</a:t>
            </a:fld>
            <a:endParaRPr lang="ru-RU" sz="6000">
              <a:solidFill>
                <a:schemeClr val="bg1"/>
              </a:solidFill>
              <a:latin typeface="+mn-lt"/>
              <a:ea typeface="+mn-ea"/>
              <a:cs typeface="+mn-cs"/>
            </a:endParaRPr>
          </a:p>
        </xdr:txBody>
      </xdr:sp>
    </xdr:grpSp>
    <xdr:clientData/>
  </xdr:twoCellAnchor>
  <xdr:twoCellAnchor>
    <xdr:from>
      <xdr:col>0</xdr:col>
      <xdr:colOff>313267</xdr:colOff>
      <xdr:row>9</xdr:row>
      <xdr:rowOff>47411</xdr:rowOff>
    </xdr:from>
    <xdr:to>
      <xdr:col>4</xdr:col>
      <xdr:colOff>133435</xdr:colOff>
      <xdr:row>11</xdr:row>
      <xdr:rowOff>108371</xdr:rowOff>
    </xdr:to>
    <xdr:grpSp>
      <xdr:nvGrpSpPr>
        <xdr:cNvPr id="92" name="Group 91">
          <a:hlinkClick xmlns:r="http://schemas.openxmlformats.org/officeDocument/2006/relationships" r:id="rId19"/>
          <a:extLst>
            <a:ext uri="{FF2B5EF4-FFF2-40B4-BE49-F238E27FC236}">
              <a16:creationId xmlns:a16="http://schemas.microsoft.com/office/drawing/2014/main" id="{00000000-0008-0000-0200-00005C000000}"/>
            </a:ext>
          </a:extLst>
        </xdr:cNvPr>
        <xdr:cNvGrpSpPr/>
      </xdr:nvGrpSpPr>
      <xdr:grpSpPr>
        <a:xfrm>
          <a:off x="313267" y="1742861"/>
          <a:ext cx="2525268" cy="422910"/>
          <a:chOff x="313267" y="1754291"/>
          <a:chExt cx="2258568" cy="426720"/>
        </a:xfrm>
      </xdr:grpSpPr>
      <xdr:sp macro="" textlink="">
        <xdr:nvSpPr>
          <xdr:cNvPr id="17" name="Rectangle 16">
            <a:extLst>
              <a:ext uri="{FF2B5EF4-FFF2-40B4-BE49-F238E27FC236}">
                <a16:creationId xmlns:a16="http://schemas.microsoft.com/office/drawing/2014/main" id="{00000000-0008-0000-0200-000011000000}"/>
              </a:ext>
            </a:extLst>
          </xdr:cNvPr>
          <xdr:cNvSpPr/>
        </xdr:nvSpPr>
        <xdr:spPr>
          <a:xfrm>
            <a:off x="313267" y="1754291"/>
            <a:ext cx="2258568" cy="426720"/>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771167" y="1815251"/>
            <a:ext cx="153769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SUMMARY REPORT</a:t>
            </a:r>
            <a:endParaRPr lang="ru-RU" sz="1400">
              <a:solidFill>
                <a:schemeClr val="bg1"/>
              </a:solidFill>
            </a:endParaRPr>
          </a:p>
        </xdr:txBody>
      </xdr:sp>
      <xdr:pic>
        <xdr:nvPicPr>
          <xdr:cNvPr id="47" name="Graphic 46" descr="Bar chart with solid fill">
            <a:extLst>
              <a:ext uri="{FF2B5EF4-FFF2-40B4-BE49-F238E27FC236}">
                <a16:creationId xmlns:a16="http://schemas.microsoft.com/office/drawing/2014/main" id="{00000000-0008-0000-0200-00002F00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xmlns="" r:embed="rId21"/>
              </a:ext>
            </a:extLst>
          </a:blip>
          <a:stretch>
            <a:fillRect/>
          </a:stretch>
        </xdr:blipFill>
        <xdr:spPr>
          <a:xfrm>
            <a:off x="472440" y="1805940"/>
            <a:ext cx="312420" cy="312420"/>
          </a:xfrm>
          <a:prstGeom prst="rect">
            <a:avLst/>
          </a:prstGeom>
        </xdr:spPr>
      </xdr:pic>
    </xdr:grpSp>
    <xdr:clientData/>
  </xdr:twoCellAnchor>
  <xdr:twoCellAnchor>
    <xdr:from>
      <xdr:col>0</xdr:col>
      <xdr:colOff>313267</xdr:colOff>
      <xdr:row>11</xdr:row>
      <xdr:rowOff>149014</xdr:rowOff>
    </xdr:from>
    <xdr:to>
      <xdr:col>4</xdr:col>
      <xdr:colOff>137160</xdr:colOff>
      <xdr:row>14</xdr:row>
      <xdr:rowOff>23707</xdr:rowOff>
    </xdr:to>
    <xdr:grpSp>
      <xdr:nvGrpSpPr>
        <xdr:cNvPr id="93" name="Group 92">
          <a:hlinkClick xmlns:r="http://schemas.openxmlformats.org/officeDocument/2006/relationships" r:id="rId22"/>
          <a:extLst>
            <a:ext uri="{FF2B5EF4-FFF2-40B4-BE49-F238E27FC236}">
              <a16:creationId xmlns:a16="http://schemas.microsoft.com/office/drawing/2014/main" id="{00000000-0008-0000-0200-00005D000000}"/>
            </a:ext>
          </a:extLst>
        </xdr:cNvPr>
        <xdr:cNvGrpSpPr/>
      </xdr:nvGrpSpPr>
      <xdr:grpSpPr>
        <a:xfrm>
          <a:off x="313267" y="2206414"/>
          <a:ext cx="2528993" cy="417618"/>
          <a:chOff x="313267" y="2221654"/>
          <a:chExt cx="2262293" cy="423333"/>
        </a:xfrm>
      </xdr:grpSpPr>
      <xdr:sp macro="" textlink="">
        <xdr:nvSpPr>
          <xdr:cNvPr id="19" name="Rectangle 18">
            <a:extLst>
              <a:ext uri="{FF2B5EF4-FFF2-40B4-BE49-F238E27FC236}">
                <a16:creationId xmlns:a16="http://schemas.microsoft.com/office/drawing/2014/main" id="{00000000-0008-0000-0200-000013000000}"/>
              </a:ext>
            </a:extLst>
          </xdr:cNvPr>
          <xdr:cNvSpPr/>
        </xdr:nvSpPr>
        <xdr:spPr>
          <a:xfrm>
            <a:off x="313267" y="2221654"/>
            <a:ext cx="2262293" cy="423333"/>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771167" y="2293617"/>
            <a:ext cx="1507213" cy="308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bg1"/>
                </a:solidFill>
                <a:latin typeface="+mn-lt"/>
                <a:ea typeface="+mn-ea"/>
                <a:cs typeface="+mn-cs"/>
              </a:rPr>
              <a:t>STOCK CONTROL</a:t>
            </a:r>
            <a:endParaRPr lang="ru-RU" sz="1400">
              <a:solidFill>
                <a:schemeClr val="bg1"/>
              </a:solidFill>
              <a:latin typeface="+mn-lt"/>
              <a:ea typeface="+mn-ea"/>
              <a:cs typeface="+mn-cs"/>
            </a:endParaRPr>
          </a:p>
        </xdr:txBody>
      </xdr:sp>
      <xdr:pic>
        <xdr:nvPicPr>
          <xdr:cNvPr id="48" name="Graphic 47" descr="Box with solid fill">
            <a:extLst>
              <a:ext uri="{FF2B5EF4-FFF2-40B4-BE49-F238E27FC236}">
                <a16:creationId xmlns:a16="http://schemas.microsoft.com/office/drawing/2014/main" id="{00000000-0008-0000-0200-000030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xmlns="" r:embed="rId24"/>
              </a:ext>
            </a:extLst>
          </a:blip>
          <a:stretch>
            <a:fillRect/>
          </a:stretch>
        </xdr:blipFill>
        <xdr:spPr>
          <a:xfrm>
            <a:off x="491490" y="2306568"/>
            <a:ext cx="274320" cy="274320"/>
          </a:xfrm>
          <a:prstGeom prst="rect">
            <a:avLst/>
          </a:prstGeom>
        </xdr:spPr>
      </xdr:pic>
    </xdr:grpSp>
    <xdr:clientData/>
  </xdr:twoCellAnchor>
  <xdr:twoCellAnchor>
    <xdr:from>
      <xdr:col>0</xdr:col>
      <xdr:colOff>491490</xdr:colOff>
      <xdr:row>14</xdr:row>
      <xdr:rowOff>147816</xdr:rowOff>
    </xdr:from>
    <xdr:to>
      <xdr:col>1</xdr:col>
      <xdr:colOff>156210</xdr:colOff>
      <xdr:row>16</xdr:row>
      <xdr:rowOff>57862</xdr:rowOff>
    </xdr:to>
    <xdr:pic>
      <xdr:nvPicPr>
        <xdr:cNvPr id="72" name="Graphic 71" descr="Arrow circle with solid fill">
          <a:extLst>
            <a:ext uri="{FF2B5EF4-FFF2-40B4-BE49-F238E27FC236}">
              <a16:creationId xmlns:a16="http://schemas.microsoft.com/office/drawing/2014/main" id="{00000000-0008-0000-0200-000048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xmlns="" r:embed="rId26"/>
            </a:ext>
          </a:extLst>
        </a:blip>
        <a:stretch>
          <a:fillRect/>
        </a:stretch>
      </xdr:blipFill>
      <xdr:spPr>
        <a:xfrm>
          <a:off x="491490" y="2769096"/>
          <a:ext cx="274320" cy="275806"/>
        </a:xfrm>
        <a:prstGeom prst="rect">
          <a:avLst/>
        </a:prstGeom>
      </xdr:spPr>
    </xdr:pic>
    <xdr:clientData/>
  </xdr:twoCellAnchor>
  <xdr:twoCellAnchor>
    <xdr:from>
      <xdr:col>0</xdr:col>
      <xdr:colOff>313267</xdr:colOff>
      <xdr:row>17</xdr:row>
      <xdr:rowOff>5076</xdr:rowOff>
    </xdr:from>
    <xdr:to>
      <xdr:col>4</xdr:col>
      <xdr:colOff>137160</xdr:colOff>
      <xdr:row>19</xdr:row>
      <xdr:rowOff>66036</xdr:rowOff>
    </xdr:to>
    <xdr:grpSp>
      <xdr:nvGrpSpPr>
        <xdr:cNvPr id="94" name="Group 93">
          <a:hlinkClick xmlns:r="http://schemas.openxmlformats.org/officeDocument/2006/relationships" r:id="rId27"/>
          <a:extLst>
            <a:ext uri="{FF2B5EF4-FFF2-40B4-BE49-F238E27FC236}">
              <a16:creationId xmlns:a16="http://schemas.microsoft.com/office/drawing/2014/main" id="{00000000-0008-0000-0200-00005E000000}"/>
            </a:ext>
          </a:extLst>
        </xdr:cNvPr>
        <xdr:cNvGrpSpPr/>
      </xdr:nvGrpSpPr>
      <xdr:grpSpPr>
        <a:xfrm>
          <a:off x="313267" y="3148326"/>
          <a:ext cx="2528993" cy="422910"/>
          <a:chOff x="313267" y="3174996"/>
          <a:chExt cx="2262293" cy="426720"/>
        </a:xfrm>
      </xdr:grpSpPr>
      <xdr:sp macro="" textlink="">
        <xdr:nvSpPr>
          <xdr:cNvPr id="24" name="Rectangle 23">
            <a:extLst>
              <a:ext uri="{FF2B5EF4-FFF2-40B4-BE49-F238E27FC236}">
                <a16:creationId xmlns:a16="http://schemas.microsoft.com/office/drawing/2014/main" id="{00000000-0008-0000-0200-000018000000}"/>
              </a:ext>
            </a:extLst>
          </xdr:cNvPr>
          <xdr:cNvSpPr/>
        </xdr:nvSpPr>
        <xdr:spPr>
          <a:xfrm>
            <a:off x="313267" y="3174996"/>
            <a:ext cx="2262293" cy="426720"/>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771167" y="3213095"/>
            <a:ext cx="1423393" cy="308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bg1"/>
                </a:solidFill>
                <a:latin typeface="+mn-lt"/>
                <a:ea typeface="+mn-ea"/>
                <a:cs typeface="+mn-cs"/>
              </a:rPr>
              <a:t>SETTINGS</a:t>
            </a:r>
            <a:r>
              <a:rPr lang="ru-RU" sz="1400">
                <a:solidFill>
                  <a:schemeClr val="bg1"/>
                </a:solidFill>
                <a:latin typeface="+mn-lt"/>
                <a:ea typeface="+mn-ea"/>
                <a:cs typeface="+mn-cs"/>
              </a:rPr>
              <a:t> </a:t>
            </a:r>
            <a:r>
              <a:rPr lang="en-US" sz="1400">
                <a:solidFill>
                  <a:schemeClr val="bg1"/>
                </a:solidFill>
                <a:latin typeface="+mn-lt"/>
                <a:ea typeface="+mn-ea"/>
                <a:cs typeface="+mn-cs"/>
              </a:rPr>
              <a:t>APP</a:t>
            </a:r>
            <a:endParaRPr lang="ru-RU" sz="1400">
              <a:solidFill>
                <a:schemeClr val="bg1"/>
              </a:solidFill>
              <a:latin typeface="+mn-lt"/>
              <a:ea typeface="+mn-ea"/>
              <a:cs typeface="+mn-cs"/>
            </a:endParaRPr>
          </a:p>
        </xdr:txBody>
      </xdr:sp>
      <xdr:pic>
        <xdr:nvPicPr>
          <xdr:cNvPr id="73" name="Graphic 72" descr="Single gear with solid fill">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 uri="{96DAC541-7B7A-43D3-8B79-37D633B846F1}">
                <asvg:svgBlip xmlns:asvg="http://schemas.microsoft.com/office/drawing/2016/SVG/main" xmlns="" r:embed="rId29"/>
              </a:ext>
            </a:extLst>
          </a:blip>
          <a:stretch>
            <a:fillRect/>
          </a:stretch>
        </xdr:blipFill>
        <xdr:spPr>
          <a:xfrm>
            <a:off x="477774" y="3225677"/>
            <a:ext cx="292608" cy="293351"/>
          </a:xfrm>
          <a:prstGeom prst="rect">
            <a:avLst/>
          </a:prstGeom>
        </xdr:spPr>
      </xdr:pic>
    </xdr:grpSp>
    <xdr:clientData/>
  </xdr:twoCellAnchor>
  <xdr:twoCellAnchor>
    <xdr:from>
      <xdr:col>0</xdr:col>
      <xdr:colOff>313267</xdr:colOff>
      <xdr:row>19</xdr:row>
      <xdr:rowOff>115143</xdr:rowOff>
    </xdr:from>
    <xdr:to>
      <xdr:col>4</xdr:col>
      <xdr:colOff>137160</xdr:colOff>
      <xdr:row>21</xdr:row>
      <xdr:rowOff>176102</xdr:rowOff>
    </xdr:to>
    <xdr:grpSp>
      <xdr:nvGrpSpPr>
        <xdr:cNvPr id="95" name="Group 94">
          <a:hlinkClick xmlns:r="http://schemas.openxmlformats.org/officeDocument/2006/relationships" r:id="rId30"/>
          <a:extLst>
            <a:ext uri="{FF2B5EF4-FFF2-40B4-BE49-F238E27FC236}">
              <a16:creationId xmlns:a16="http://schemas.microsoft.com/office/drawing/2014/main" id="{00000000-0008-0000-0200-00005F000000}"/>
            </a:ext>
          </a:extLst>
        </xdr:cNvPr>
        <xdr:cNvGrpSpPr/>
      </xdr:nvGrpSpPr>
      <xdr:grpSpPr>
        <a:xfrm>
          <a:off x="313267" y="3620343"/>
          <a:ext cx="2528993" cy="422909"/>
          <a:chOff x="313267" y="3650823"/>
          <a:chExt cx="2262293" cy="426719"/>
        </a:xfrm>
      </xdr:grpSpPr>
      <xdr:sp macro="" textlink="">
        <xdr:nvSpPr>
          <xdr:cNvPr id="26" name="Rectangle 25">
            <a:extLst>
              <a:ext uri="{FF2B5EF4-FFF2-40B4-BE49-F238E27FC236}">
                <a16:creationId xmlns:a16="http://schemas.microsoft.com/office/drawing/2014/main" id="{00000000-0008-0000-0200-00001A000000}"/>
              </a:ext>
            </a:extLst>
          </xdr:cNvPr>
          <xdr:cNvSpPr/>
        </xdr:nvSpPr>
        <xdr:spPr>
          <a:xfrm>
            <a:off x="313267" y="3650823"/>
            <a:ext cx="2262293" cy="426719"/>
          </a:xfrm>
          <a:prstGeom prst="rect">
            <a:avLst/>
          </a:prstGeom>
          <a:gradFill>
            <a:gsLst>
              <a:gs pos="100000">
                <a:srgbClr val="262834"/>
              </a:gs>
              <a:gs pos="0">
                <a:srgbClr val="282C38"/>
              </a:gs>
            </a:gsLst>
            <a:lin ang="2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7" name="TextBox 26">
            <a:extLst>
              <a:ext uri="{FF2B5EF4-FFF2-40B4-BE49-F238E27FC236}">
                <a16:creationId xmlns:a16="http://schemas.microsoft.com/office/drawing/2014/main" id="{00000000-0008-0000-0200-00001B000000}"/>
              </a:ext>
            </a:extLst>
          </xdr:cNvPr>
          <xdr:cNvSpPr txBox="1"/>
        </xdr:nvSpPr>
        <xdr:spPr>
          <a:xfrm>
            <a:off x="771167" y="3680456"/>
            <a:ext cx="1225273"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bg1"/>
                </a:solidFill>
                <a:latin typeface="+mn-lt"/>
                <a:ea typeface="+mn-ea"/>
                <a:cs typeface="+mn-cs"/>
              </a:rPr>
              <a:t>DATABASE</a:t>
            </a:r>
            <a:endParaRPr lang="ru-RU" sz="1400">
              <a:solidFill>
                <a:schemeClr val="bg1"/>
              </a:solidFill>
              <a:latin typeface="+mn-lt"/>
              <a:ea typeface="+mn-ea"/>
              <a:cs typeface="+mn-cs"/>
            </a:endParaRPr>
          </a:p>
        </xdr:txBody>
      </xdr:sp>
      <xdr:pic>
        <xdr:nvPicPr>
          <xdr:cNvPr id="74" name="Graphic 73" descr="Database with solid fill">
            <a:extLst>
              <a:ext uri="{FF2B5EF4-FFF2-40B4-BE49-F238E27FC236}">
                <a16:creationId xmlns:a16="http://schemas.microsoft.com/office/drawing/2014/main" id="{00000000-0008-0000-0200-00004A000000}"/>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 uri="{96DAC541-7B7A-43D3-8B79-37D633B846F1}">
                <asvg:svgBlip xmlns:asvg="http://schemas.microsoft.com/office/drawing/2016/SVG/main" xmlns="" r:embed="rId32"/>
              </a:ext>
            </a:extLst>
          </a:blip>
          <a:stretch>
            <a:fillRect/>
          </a:stretch>
        </xdr:blipFill>
        <xdr:spPr>
          <a:xfrm>
            <a:off x="495682" y="3729712"/>
            <a:ext cx="248548" cy="252645"/>
          </a:xfrm>
          <a:prstGeom prst="rect">
            <a:avLst/>
          </a:prstGeom>
        </xdr:spPr>
      </xdr:pic>
    </xdr:grpSp>
    <xdr:clientData/>
  </xdr:twoCellAnchor>
  <xdr:twoCellAnchor>
    <xdr:from>
      <xdr:col>5</xdr:col>
      <xdr:colOff>456025</xdr:colOff>
      <xdr:row>2</xdr:row>
      <xdr:rowOff>134735</xdr:rowOff>
    </xdr:from>
    <xdr:to>
      <xdr:col>7</xdr:col>
      <xdr:colOff>184056</xdr:colOff>
      <xdr:row>4</xdr:row>
      <xdr:rowOff>107303</xdr:rowOff>
    </xdr:to>
    <xdr:sp macro="" textlink="Processing!W48">
      <xdr:nvSpPr>
        <xdr:cNvPr id="75" name="TextBox 74">
          <a:extLst>
            <a:ext uri="{FF2B5EF4-FFF2-40B4-BE49-F238E27FC236}">
              <a16:creationId xmlns:a16="http://schemas.microsoft.com/office/drawing/2014/main" id="{00000000-0008-0000-0200-00004B000000}"/>
            </a:ext>
          </a:extLst>
        </xdr:cNvPr>
        <xdr:cNvSpPr txBox="1"/>
      </xdr:nvSpPr>
      <xdr:spPr>
        <a:xfrm>
          <a:off x="3504025" y="561455"/>
          <a:ext cx="947231" cy="338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076650A-1413-42FE-8037-F9FBC2C65E8D}" type="TxLink">
            <a:rPr lang="en-US" sz="2400" b="0" i="0" u="none" strike="noStrike">
              <a:solidFill>
                <a:srgbClr val="21E6DF"/>
              </a:solidFill>
              <a:latin typeface="Aptos Narrow"/>
            </a:rPr>
            <a:pPr algn="ctr"/>
            <a:t>39%</a:t>
          </a:fld>
          <a:endParaRPr lang="ru-RU" sz="2400">
            <a:solidFill>
              <a:srgbClr val="21E6DF"/>
            </a:solidFill>
          </a:endParaRPr>
        </a:p>
      </xdr:txBody>
    </xdr:sp>
    <xdr:clientData/>
  </xdr:twoCellAnchor>
  <xdr:twoCellAnchor>
    <xdr:from>
      <xdr:col>5</xdr:col>
      <xdr:colOff>425545</xdr:colOff>
      <xdr:row>4</xdr:row>
      <xdr:rowOff>43296</xdr:rowOff>
    </xdr:from>
    <xdr:to>
      <xdr:col>7</xdr:col>
      <xdr:colOff>153576</xdr:colOff>
      <xdr:row>5</xdr:row>
      <xdr:rowOff>114300</xdr:rowOff>
    </xdr:to>
    <xdr:sp macro="" textlink="Processing!W47">
      <xdr:nvSpPr>
        <xdr:cNvPr id="76" name="TextBox 75">
          <a:extLst>
            <a:ext uri="{FF2B5EF4-FFF2-40B4-BE49-F238E27FC236}">
              <a16:creationId xmlns:a16="http://schemas.microsoft.com/office/drawing/2014/main" id="{00000000-0008-0000-0200-00004C000000}"/>
            </a:ext>
          </a:extLst>
        </xdr:cNvPr>
        <xdr:cNvSpPr txBox="1"/>
      </xdr:nvSpPr>
      <xdr:spPr>
        <a:xfrm>
          <a:off x="3473545" y="835776"/>
          <a:ext cx="947231" cy="253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9507F68-2B91-444D-B38F-322BCC8B07CF}" type="TxLink">
            <a:rPr lang="en-US" sz="1100" b="0" i="0" u="none" strike="noStrike">
              <a:solidFill>
                <a:schemeClr val="bg1">
                  <a:lumMod val="75000"/>
                </a:schemeClr>
              </a:solidFill>
              <a:latin typeface="Aptos Narrow"/>
            </a:rPr>
            <a:pPr algn="ctr"/>
            <a:t>Logistic Load</a:t>
          </a:fld>
          <a:endParaRPr lang="ru-RU" sz="1800" b="0">
            <a:solidFill>
              <a:schemeClr val="bg1">
                <a:lumMod val="75000"/>
              </a:schemeClr>
            </a:solidFill>
          </a:endParaRPr>
        </a:p>
      </xdr:txBody>
    </xdr:sp>
    <xdr:clientData/>
  </xdr:twoCellAnchor>
  <xdr:twoCellAnchor>
    <xdr:from>
      <xdr:col>9</xdr:col>
      <xdr:colOff>379825</xdr:colOff>
      <xdr:row>4</xdr:row>
      <xdr:rowOff>43296</xdr:rowOff>
    </xdr:from>
    <xdr:to>
      <xdr:col>11</xdr:col>
      <xdr:colOff>107856</xdr:colOff>
      <xdr:row>6</xdr:row>
      <xdr:rowOff>152400</xdr:rowOff>
    </xdr:to>
    <xdr:sp macro="" textlink="Processing!W51">
      <xdr:nvSpPr>
        <xdr:cNvPr id="77" name="TextBox 76">
          <a:extLst>
            <a:ext uri="{FF2B5EF4-FFF2-40B4-BE49-F238E27FC236}">
              <a16:creationId xmlns:a16="http://schemas.microsoft.com/office/drawing/2014/main" id="{00000000-0008-0000-0200-00004D000000}"/>
            </a:ext>
          </a:extLst>
        </xdr:cNvPr>
        <xdr:cNvSpPr txBox="1"/>
      </xdr:nvSpPr>
      <xdr:spPr>
        <a:xfrm>
          <a:off x="5866225" y="835776"/>
          <a:ext cx="947231" cy="474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6603C9A-E54B-49E2-A413-EBFF5B6B0956}" type="TxLink">
            <a:rPr lang="en-US" sz="1100" b="0" i="0" u="none" strike="noStrike">
              <a:solidFill>
                <a:schemeClr val="bg1">
                  <a:lumMod val="75000"/>
                </a:schemeClr>
              </a:solidFill>
              <a:latin typeface="Aptos Narrow"/>
            </a:rPr>
            <a:pPr algn="ctr"/>
            <a:t>Transport Downtime</a:t>
          </a:fld>
          <a:endParaRPr lang="ru-RU" sz="1800" b="0">
            <a:solidFill>
              <a:schemeClr val="bg1">
                <a:lumMod val="75000"/>
              </a:schemeClr>
            </a:solidFill>
          </a:endParaRPr>
        </a:p>
      </xdr:txBody>
    </xdr:sp>
    <xdr:clientData/>
  </xdr:twoCellAnchor>
  <xdr:twoCellAnchor>
    <xdr:from>
      <xdr:col>20</xdr:col>
      <xdr:colOff>93518</xdr:colOff>
      <xdr:row>12</xdr:row>
      <xdr:rowOff>2376</xdr:rowOff>
    </xdr:from>
    <xdr:to>
      <xdr:col>22</xdr:col>
      <xdr:colOff>45720</xdr:colOff>
      <xdr:row>13</xdr:row>
      <xdr:rowOff>160643</xdr:rowOff>
    </xdr:to>
    <xdr:sp macro="" textlink="Processing!AM47">
      <xdr:nvSpPr>
        <xdr:cNvPr id="78" name="TextBox 77">
          <a:extLst>
            <a:ext uri="{FF2B5EF4-FFF2-40B4-BE49-F238E27FC236}">
              <a16:creationId xmlns:a16="http://schemas.microsoft.com/office/drawing/2014/main" id="{00000000-0008-0000-0200-00004E000000}"/>
            </a:ext>
          </a:extLst>
        </xdr:cNvPr>
        <xdr:cNvSpPr txBox="1"/>
      </xdr:nvSpPr>
      <xdr:spPr>
        <a:xfrm>
          <a:off x="12285518" y="2257896"/>
          <a:ext cx="1171402" cy="341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4826215-EA1A-460B-A62C-6096350006FF}" type="TxLink">
            <a:rPr lang="en-US" sz="1200" b="0" i="0" u="none" strike="noStrike">
              <a:solidFill>
                <a:srgbClr val="D36FF9"/>
              </a:solidFill>
              <a:latin typeface="Aptos Narrow"/>
            </a:rPr>
            <a:pPr algn="l"/>
            <a:t>Niche Market</a:t>
          </a:fld>
          <a:endParaRPr lang="ru-RU" sz="5400">
            <a:solidFill>
              <a:srgbClr val="D36FF9"/>
            </a:solidFill>
          </a:endParaRPr>
        </a:p>
      </xdr:txBody>
    </xdr:sp>
    <xdr:clientData/>
  </xdr:twoCellAnchor>
  <xdr:twoCellAnchor>
    <xdr:from>
      <xdr:col>8</xdr:col>
      <xdr:colOff>198439</xdr:colOff>
      <xdr:row>9</xdr:row>
      <xdr:rowOff>157595</xdr:rowOff>
    </xdr:from>
    <xdr:to>
      <xdr:col>12</xdr:col>
      <xdr:colOff>350201</xdr:colOff>
      <xdr:row>11</xdr:row>
      <xdr:rowOff>130163</xdr:rowOff>
    </xdr:to>
    <xdr:grpSp>
      <xdr:nvGrpSpPr>
        <xdr:cNvPr id="86" name="Group 85">
          <a:extLst>
            <a:ext uri="{FF2B5EF4-FFF2-40B4-BE49-F238E27FC236}">
              <a16:creationId xmlns:a16="http://schemas.microsoft.com/office/drawing/2014/main" id="{00000000-0008-0000-0200-000056000000}"/>
            </a:ext>
          </a:extLst>
        </xdr:cNvPr>
        <xdr:cNvGrpSpPr/>
      </xdr:nvGrpSpPr>
      <xdr:grpSpPr>
        <a:xfrm>
          <a:off x="5608639" y="1853045"/>
          <a:ext cx="2856862" cy="334518"/>
          <a:chOff x="5023394" y="1864475"/>
          <a:chExt cx="2590162" cy="338328"/>
        </a:xfrm>
      </xdr:grpSpPr>
      <xdr:sp macro="" textlink="Processing!Q47">
        <xdr:nvSpPr>
          <xdr:cNvPr id="79" name="TextBox 78">
            <a:extLst>
              <a:ext uri="{FF2B5EF4-FFF2-40B4-BE49-F238E27FC236}">
                <a16:creationId xmlns:a16="http://schemas.microsoft.com/office/drawing/2014/main" id="{00000000-0008-0000-0200-00004F000000}"/>
              </a:ext>
            </a:extLst>
          </xdr:cNvPr>
          <xdr:cNvSpPr txBox="1"/>
        </xdr:nvSpPr>
        <xdr:spPr>
          <a:xfrm>
            <a:off x="5584285" y="1864475"/>
            <a:ext cx="702215" cy="338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0792B86-8A83-41A3-972E-E11C252F6B33}" type="TxLink">
              <a:rPr lang="en-US" sz="1400" b="0" i="0" u="none" strike="noStrike">
                <a:solidFill>
                  <a:schemeClr val="bg1">
                    <a:lumMod val="95000"/>
                  </a:schemeClr>
                </a:solidFill>
                <a:latin typeface="Aptos Narrow"/>
              </a:rPr>
              <a:pPr algn="l"/>
              <a:t>Supply</a:t>
            </a:fld>
            <a:endParaRPr lang="ru-RU" sz="3200" b="0">
              <a:solidFill>
                <a:schemeClr val="bg1">
                  <a:lumMod val="95000"/>
                </a:schemeClr>
              </a:solidFill>
            </a:endParaRPr>
          </a:p>
        </xdr:txBody>
      </xdr:sp>
      <xdr:sp macro="" textlink="Processing!T60">
        <xdr:nvSpPr>
          <xdr:cNvPr id="80" name="TextBox 79">
            <a:extLst>
              <a:ext uri="{FF2B5EF4-FFF2-40B4-BE49-F238E27FC236}">
                <a16:creationId xmlns:a16="http://schemas.microsoft.com/office/drawing/2014/main" id="{00000000-0008-0000-0200-000050000000}"/>
              </a:ext>
            </a:extLst>
          </xdr:cNvPr>
          <xdr:cNvSpPr txBox="1"/>
        </xdr:nvSpPr>
        <xdr:spPr>
          <a:xfrm>
            <a:off x="6873240" y="1864475"/>
            <a:ext cx="740316" cy="338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B8D2B08A-7AF3-4B6B-8345-4621FA215F82}" type="TxLink">
              <a:rPr lang="en-US" sz="1400" b="0" i="0" u="none" strike="noStrike">
                <a:solidFill>
                  <a:srgbClr val="D36FF9"/>
                </a:solidFill>
                <a:latin typeface="Aptos Narrow"/>
              </a:rPr>
              <a:pPr algn="r"/>
              <a:t>1,854</a:t>
            </a:fld>
            <a:endParaRPr lang="ru-RU" sz="3200">
              <a:solidFill>
                <a:srgbClr val="D36FF9"/>
              </a:solidFill>
            </a:endParaRPr>
          </a:p>
        </xdr:txBody>
      </xdr:sp>
      <xdr:sp macro="" textlink="Processing!R47">
        <xdr:nvSpPr>
          <xdr:cNvPr id="81" name="TextBox 80">
            <a:extLst>
              <a:ext uri="{FF2B5EF4-FFF2-40B4-BE49-F238E27FC236}">
                <a16:creationId xmlns:a16="http://schemas.microsoft.com/office/drawing/2014/main" id="{00000000-0008-0000-0200-000051000000}"/>
              </a:ext>
            </a:extLst>
          </xdr:cNvPr>
          <xdr:cNvSpPr txBox="1"/>
        </xdr:nvSpPr>
        <xdr:spPr>
          <a:xfrm>
            <a:off x="6064917" y="1864475"/>
            <a:ext cx="985362" cy="338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1212074C-403E-4736-B6A6-FE4FCFEC5A57}" type="TxLink">
              <a:rPr lang="en-US" sz="1400" b="0" i="0" u="none" strike="noStrike">
                <a:solidFill>
                  <a:srgbClr val="D36FF9"/>
                </a:solidFill>
                <a:latin typeface="Aptos Narrow"/>
              </a:rPr>
              <a:pPr algn="r"/>
              <a:t>Shipment</a:t>
            </a:fld>
            <a:endParaRPr lang="ru-RU" sz="4000" b="0">
              <a:solidFill>
                <a:srgbClr val="D36FF9"/>
              </a:solidFill>
            </a:endParaRPr>
          </a:p>
        </xdr:txBody>
      </xdr:sp>
      <xdr:sp macro="" textlink="Processing!S60">
        <xdr:nvSpPr>
          <xdr:cNvPr id="82" name="TextBox 81">
            <a:extLst>
              <a:ext uri="{FF2B5EF4-FFF2-40B4-BE49-F238E27FC236}">
                <a16:creationId xmlns:a16="http://schemas.microsoft.com/office/drawing/2014/main" id="{00000000-0008-0000-0200-000052000000}"/>
              </a:ext>
            </a:extLst>
          </xdr:cNvPr>
          <xdr:cNvSpPr txBox="1"/>
        </xdr:nvSpPr>
        <xdr:spPr>
          <a:xfrm>
            <a:off x="5023394" y="1864475"/>
            <a:ext cx="772437" cy="338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7A9C3B4-B479-4763-A5F8-70A25D66A1A4}" type="TxLink">
              <a:rPr lang="en-US" sz="1400" b="0" i="0" u="none" strike="noStrike">
                <a:solidFill>
                  <a:schemeClr val="bg1">
                    <a:lumMod val="95000"/>
                  </a:schemeClr>
                </a:solidFill>
                <a:latin typeface="Aptos Narrow"/>
              </a:rPr>
              <a:pPr algn="l"/>
              <a:t>1,276</a:t>
            </a:fld>
            <a:endParaRPr lang="ru-RU" sz="4000" b="0">
              <a:solidFill>
                <a:schemeClr val="bg1">
                  <a:lumMod val="95000"/>
                </a:schemeClr>
              </a:solidFill>
            </a:endParaRPr>
          </a:p>
        </xdr:txBody>
      </xdr:sp>
    </xdr:grpSp>
    <xdr:clientData/>
  </xdr:twoCellAnchor>
  <xdr:twoCellAnchor>
    <xdr:from>
      <xdr:col>13</xdr:col>
      <xdr:colOff>320040</xdr:colOff>
      <xdr:row>23</xdr:row>
      <xdr:rowOff>20435</xdr:rowOff>
    </xdr:from>
    <xdr:to>
      <xdr:col>14</xdr:col>
      <xdr:colOff>450756</xdr:colOff>
      <xdr:row>24</xdr:row>
      <xdr:rowOff>175883</xdr:rowOff>
    </xdr:to>
    <xdr:sp macro="" textlink="Processing!AA60">
      <xdr:nvSpPr>
        <xdr:cNvPr id="83" name="TextBox 82">
          <a:extLst>
            <a:ext uri="{FF2B5EF4-FFF2-40B4-BE49-F238E27FC236}">
              <a16:creationId xmlns:a16="http://schemas.microsoft.com/office/drawing/2014/main" id="{00000000-0008-0000-0200-000053000000}"/>
            </a:ext>
          </a:extLst>
        </xdr:cNvPr>
        <xdr:cNvSpPr txBox="1"/>
      </xdr:nvSpPr>
      <xdr:spPr>
        <a:xfrm>
          <a:off x="8244840" y="4287635"/>
          <a:ext cx="740316" cy="338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BD769394-1510-4B07-907B-0DBBBFA4B2B5}" type="TxLink">
            <a:rPr lang="en-US" sz="1400" b="0" i="0" u="none" strike="noStrike">
              <a:solidFill>
                <a:srgbClr val="C1E5F5"/>
              </a:solidFill>
              <a:latin typeface="Aptos Narrow"/>
            </a:rPr>
            <a:pPr algn="r"/>
            <a:t>4,530</a:t>
          </a:fld>
          <a:endParaRPr lang="ru-RU" sz="4800">
            <a:solidFill>
              <a:srgbClr val="C1E5F5"/>
            </a:solidFill>
          </a:endParaRPr>
        </a:p>
      </xdr:txBody>
    </xdr:sp>
    <xdr:clientData/>
  </xdr:twoCellAnchor>
  <xdr:twoCellAnchor>
    <xdr:from>
      <xdr:col>12</xdr:col>
      <xdr:colOff>274320</xdr:colOff>
      <xdr:row>23</xdr:row>
      <xdr:rowOff>20435</xdr:rowOff>
    </xdr:from>
    <xdr:to>
      <xdr:col>13</xdr:col>
      <xdr:colOff>405036</xdr:colOff>
      <xdr:row>24</xdr:row>
      <xdr:rowOff>175883</xdr:rowOff>
    </xdr:to>
    <xdr:sp macro="" textlink="Processing!Z31">
      <xdr:nvSpPr>
        <xdr:cNvPr id="84" name="TextBox 83">
          <a:extLst>
            <a:ext uri="{FF2B5EF4-FFF2-40B4-BE49-F238E27FC236}">
              <a16:creationId xmlns:a16="http://schemas.microsoft.com/office/drawing/2014/main" id="{00000000-0008-0000-0200-000054000000}"/>
            </a:ext>
          </a:extLst>
        </xdr:cNvPr>
        <xdr:cNvSpPr txBox="1"/>
      </xdr:nvSpPr>
      <xdr:spPr>
        <a:xfrm>
          <a:off x="7589520" y="4287635"/>
          <a:ext cx="740316" cy="338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8BDB09B7-A973-465F-98C4-BC9682902662}" type="TxLink">
            <a:rPr lang="en-US" sz="1200" b="0" i="0" u="none" strike="noStrike">
              <a:solidFill>
                <a:srgbClr val="C1E5F5"/>
              </a:solidFill>
              <a:latin typeface="Aptos Narrow"/>
            </a:rPr>
            <a:pPr algn="r"/>
            <a:t>TOTAL:</a:t>
          </a:fld>
          <a:endParaRPr lang="ru-RU" sz="4400">
            <a:solidFill>
              <a:srgbClr val="C1E5F5"/>
            </a:solidFill>
          </a:endParaRPr>
        </a:p>
      </xdr:txBody>
    </xdr:sp>
    <xdr:clientData/>
  </xdr:twoCellAnchor>
  <xdr:twoCellAnchor>
    <xdr:from>
      <xdr:col>10</xdr:col>
      <xdr:colOff>533400</xdr:colOff>
      <xdr:row>23</xdr:row>
      <xdr:rowOff>28055</xdr:rowOff>
    </xdr:from>
    <xdr:to>
      <xdr:col>12</xdr:col>
      <xdr:colOff>54516</xdr:colOff>
      <xdr:row>25</xdr:row>
      <xdr:rowOff>623</xdr:rowOff>
    </xdr:to>
    <xdr:sp macro="" textlink="Processing!Z60">
      <xdr:nvSpPr>
        <xdr:cNvPr id="85" name="TextBox 84">
          <a:extLst>
            <a:ext uri="{FF2B5EF4-FFF2-40B4-BE49-F238E27FC236}">
              <a16:creationId xmlns:a16="http://schemas.microsoft.com/office/drawing/2014/main" id="{00000000-0008-0000-0200-000055000000}"/>
            </a:ext>
          </a:extLst>
        </xdr:cNvPr>
        <xdr:cNvSpPr txBox="1"/>
      </xdr:nvSpPr>
      <xdr:spPr>
        <a:xfrm>
          <a:off x="6629400" y="4295255"/>
          <a:ext cx="740316" cy="338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35B9C64-556B-476E-B520-D81179D02484}" type="TxLink">
            <a:rPr lang="en-US" sz="1400" b="0" i="0" u="none" strike="noStrike">
              <a:solidFill>
                <a:srgbClr val="44DEEE"/>
              </a:solidFill>
              <a:latin typeface="Aptos Narrow"/>
            </a:rPr>
            <a:pPr algn="l"/>
            <a:t>4,530</a:t>
          </a:fld>
          <a:endParaRPr lang="ru-RU" sz="4000">
            <a:solidFill>
              <a:srgbClr val="44DEEE"/>
            </a:solidFill>
          </a:endParaRPr>
        </a:p>
      </xdr:txBody>
    </xdr:sp>
    <xdr:clientData/>
  </xdr:twoCellAnchor>
  <xdr:twoCellAnchor>
    <xdr:from>
      <xdr:col>16</xdr:col>
      <xdr:colOff>93518</xdr:colOff>
      <xdr:row>12</xdr:row>
      <xdr:rowOff>2376</xdr:rowOff>
    </xdr:from>
    <xdr:to>
      <xdr:col>18</xdr:col>
      <xdr:colOff>135082</xdr:colOff>
      <xdr:row>13</xdr:row>
      <xdr:rowOff>160643</xdr:rowOff>
    </xdr:to>
    <xdr:sp macro="" textlink="Processing!AL47">
      <xdr:nvSpPr>
        <xdr:cNvPr id="87" name="TextBox 86">
          <a:extLst>
            <a:ext uri="{FF2B5EF4-FFF2-40B4-BE49-F238E27FC236}">
              <a16:creationId xmlns:a16="http://schemas.microsoft.com/office/drawing/2014/main" id="{00000000-0008-0000-0200-000057000000}"/>
            </a:ext>
          </a:extLst>
        </xdr:cNvPr>
        <xdr:cNvSpPr txBox="1"/>
      </xdr:nvSpPr>
      <xdr:spPr>
        <a:xfrm>
          <a:off x="9847118" y="2257896"/>
          <a:ext cx="1260764" cy="341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AFE3C6C-7085-422C-8CA3-0EA09F821213}" type="TxLink">
            <a:rPr lang="en-US" sz="1200" b="0" i="0" u="none" strike="noStrike">
              <a:solidFill>
                <a:srgbClr val="1DE1EB"/>
              </a:solidFill>
              <a:latin typeface="Aptos Narrow"/>
              <a:ea typeface="+mn-ea"/>
              <a:cs typeface="+mn-cs"/>
            </a:rPr>
            <a:pPr marL="0" indent="0" algn="l"/>
            <a:t>Mass Market</a:t>
          </a:fld>
          <a:endParaRPr lang="ru-RU" sz="1200" b="0" i="0" u="none" strike="noStrike">
            <a:solidFill>
              <a:srgbClr val="1DE1EB"/>
            </a:solidFill>
            <a:latin typeface="Aptos Narrow"/>
            <a:ea typeface="+mn-ea"/>
            <a:cs typeface="+mn-cs"/>
          </a:endParaRPr>
        </a:p>
      </xdr:txBody>
    </xdr:sp>
    <xdr:clientData/>
  </xdr:twoCellAnchor>
  <xdr:twoCellAnchor>
    <xdr:from>
      <xdr:col>21</xdr:col>
      <xdr:colOff>106680</xdr:colOff>
      <xdr:row>12</xdr:row>
      <xdr:rowOff>2376</xdr:rowOff>
    </xdr:from>
    <xdr:to>
      <xdr:col>22</xdr:col>
      <xdr:colOff>350520</xdr:colOff>
      <xdr:row>13</xdr:row>
      <xdr:rowOff>160643</xdr:rowOff>
    </xdr:to>
    <xdr:sp macro="" textlink="Processing!AM56">
      <xdr:nvSpPr>
        <xdr:cNvPr id="88" name="TextBox 87">
          <a:extLst>
            <a:ext uri="{FF2B5EF4-FFF2-40B4-BE49-F238E27FC236}">
              <a16:creationId xmlns:a16="http://schemas.microsoft.com/office/drawing/2014/main" id="{00000000-0008-0000-0200-000058000000}"/>
            </a:ext>
          </a:extLst>
        </xdr:cNvPr>
        <xdr:cNvSpPr txBox="1"/>
      </xdr:nvSpPr>
      <xdr:spPr>
        <a:xfrm>
          <a:off x="12908280" y="2257896"/>
          <a:ext cx="853440" cy="341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02275AA6-6908-410D-94B6-6515C8A27D6D}" type="TxLink">
            <a:rPr lang="en-US" sz="1200" b="0" i="0" u="none" strike="noStrike">
              <a:solidFill>
                <a:srgbClr val="D36FF9"/>
              </a:solidFill>
              <a:latin typeface="Aptos Narrow"/>
            </a:rPr>
            <a:pPr algn="r"/>
            <a:t>4,897</a:t>
          </a:fld>
          <a:endParaRPr lang="ru-RU" sz="8000">
            <a:solidFill>
              <a:srgbClr val="D36FF9"/>
            </a:solidFill>
          </a:endParaRPr>
        </a:p>
      </xdr:txBody>
    </xdr:sp>
    <xdr:clientData/>
  </xdr:twoCellAnchor>
  <xdr:twoCellAnchor>
    <xdr:from>
      <xdr:col>17</xdr:col>
      <xdr:colOff>358140</xdr:colOff>
      <xdr:row>12</xdr:row>
      <xdr:rowOff>2376</xdr:rowOff>
    </xdr:from>
    <xdr:to>
      <xdr:col>18</xdr:col>
      <xdr:colOff>464820</xdr:colOff>
      <xdr:row>13</xdr:row>
      <xdr:rowOff>160643</xdr:rowOff>
    </xdr:to>
    <xdr:sp macro="" textlink="Processing!AL56">
      <xdr:nvSpPr>
        <xdr:cNvPr id="89" name="TextBox 88">
          <a:extLst>
            <a:ext uri="{FF2B5EF4-FFF2-40B4-BE49-F238E27FC236}">
              <a16:creationId xmlns:a16="http://schemas.microsoft.com/office/drawing/2014/main" id="{00000000-0008-0000-0200-000059000000}"/>
            </a:ext>
          </a:extLst>
        </xdr:cNvPr>
        <xdr:cNvSpPr txBox="1"/>
      </xdr:nvSpPr>
      <xdr:spPr>
        <a:xfrm>
          <a:off x="10721340" y="2257896"/>
          <a:ext cx="716280" cy="341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17BB5F2-B485-4304-9702-5CD18A458DE2}" type="TxLink">
            <a:rPr lang="en-US" sz="1200" b="0" i="0" u="none" strike="noStrike">
              <a:solidFill>
                <a:srgbClr val="1DE1EB"/>
              </a:solidFill>
              <a:latin typeface="Aptos Narrow"/>
            </a:rPr>
            <a:pPr algn="l"/>
            <a:t>4,771</a:t>
          </a:fld>
          <a:endParaRPr lang="ru-RU" sz="8000">
            <a:solidFill>
              <a:srgbClr val="1DE1EB"/>
            </a:solidFill>
          </a:endParaRPr>
        </a:p>
      </xdr:txBody>
    </xdr:sp>
    <xdr:clientData/>
  </xdr:twoCellAnchor>
  <xdr:twoCellAnchor>
    <xdr:from>
      <xdr:col>9</xdr:col>
      <xdr:colOff>372205</xdr:colOff>
      <xdr:row>2</xdr:row>
      <xdr:rowOff>134735</xdr:rowOff>
    </xdr:from>
    <xdr:to>
      <xdr:col>11</xdr:col>
      <xdr:colOff>100236</xdr:colOff>
      <xdr:row>4</xdr:row>
      <xdr:rowOff>107303</xdr:rowOff>
    </xdr:to>
    <xdr:sp macro="" textlink="Processing!W52">
      <xdr:nvSpPr>
        <xdr:cNvPr id="90" name="TextBox 89">
          <a:extLst>
            <a:ext uri="{FF2B5EF4-FFF2-40B4-BE49-F238E27FC236}">
              <a16:creationId xmlns:a16="http://schemas.microsoft.com/office/drawing/2014/main" id="{00000000-0008-0000-0200-00005A000000}"/>
            </a:ext>
          </a:extLst>
        </xdr:cNvPr>
        <xdr:cNvSpPr txBox="1"/>
      </xdr:nvSpPr>
      <xdr:spPr>
        <a:xfrm>
          <a:off x="5858605" y="561455"/>
          <a:ext cx="947231" cy="338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345889-A1FA-48B3-9B8C-916930AFC81C}" type="TxLink">
            <a:rPr lang="en-US" sz="2400" b="0" i="0" u="none" strike="noStrike">
              <a:solidFill>
                <a:srgbClr val="D36FF9"/>
              </a:solidFill>
              <a:latin typeface="Aptos Narrow"/>
            </a:rPr>
            <a:pPr algn="ctr"/>
            <a:t>44%</a:t>
          </a:fld>
          <a:endParaRPr lang="ru-RU" sz="4800">
            <a:solidFill>
              <a:srgbClr val="D36FF9"/>
            </a:solidFill>
          </a:endParaRPr>
        </a:p>
      </xdr:txBody>
    </xdr:sp>
    <xdr:clientData/>
  </xdr:twoCellAnchor>
  <xdr:twoCellAnchor>
    <xdr:from>
      <xdr:col>18</xdr:col>
      <xdr:colOff>222019</xdr:colOff>
      <xdr:row>10</xdr:row>
      <xdr:rowOff>2376</xdr:rowOff>
    </xdr:from>
    <xdr:to>
      <xdr:col>20</xdr:col>
      <xdr:colOff>174221</xdr:colOff>
      <xdr:row>11</xdr:row>
      <xdr:rowOff>160643</xdr:rowOff>
    </xdr:to>
    <xdr:sp macro="" textlink="Processing!AL46">
      <xdr:nvSpPr>
        <xdr:cNvPr id="91" name="TextBox 90">
          <a:extLst>
            <a:ext uri="{FF2B5EF4-FFF2-40B4-BE49-F238E27FC236}">
              <a16:creationId xmlns:a16="http://schemas.microsoft.com/office/drawing/2014/main" id="{00000000-0008-0000-0200-00005B000000}"/>
            </a:ext>
          </a:extLst>
        </xdr:cNvPr>
        <xdr:cNvSpPr txBox="1"/>
      </xdr:nvSpPr>
      <xdr:spPr>
        <a:xfrm>
          <a:off x="11194819" y="1892136"/>
          <a:ext cx="1171402" cy="341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DB81758-404C-441B-90C7-B3AEBCDF4958}" type="TxLink">
            <a:rPr lang="en-US" sz="1400" b="0" i="0" u="none" strike="noStrike">
              <a:solidFill>
                <a:schemeClr val="bg1"/>
              </a:solidFill>
              <a:latin typeface="Aptos Narrow"/>
            </a:rPr>
            <a:pPr algn="ctr"/>
            <a:t>Direction</a:t>
          </a:fld>
          <a:endParaRPr lang="ru-RU" sz="7200">
            <a:solidFill>
              <a:schemeClr val="bg1"/>
            </a:solidFill>
          </a:endParaRPr>
        </a:p>
      </xdr:txBody>
    </xdr:sp>
    <xdr:clientData/>
  </xdr:twoCellAnchor>
  <xdr:twoCellAnchor>
    <xdr:from>
      <xdr:col>13</xdr:col>
      <xdr:colOff>60960</xdr:colOff>
      <xdr:row>3</xdr:row>
      <xdr:rowOff>60960</xdr:rowOff>
    </xdr:from>
    <xdr:to>
      <xdr:col>14</xdr:col>
      <xdr:colOff>407394</xdr:colOff>
      <xdr:row>5</xdr:row>
      <xdr:rowOff>1693</xdr:rowOff>
    </xdr:to>
    <xdr:sp macro="" textlink="Processing!A1">
      <xdr:nvSpPr>
        <xdr:cNvPr id="96" name="TextBox 95">
          <a:extLst>
            <a:ext uri="{FF2B5EF4-FFF2-40B4-BE49-F238E27FC236}">
              <a16:creationId xmlns:a16="http://schemas.microsoft.com/office/drawing/2014/main" id="{00000000-0008-0000-0200-000060000000}"/>
            </a:ext>
          </a:extLst>
        </xdr:cNvPr>
        <xdr:cNvSpPr txBox="1"/>
      </xdr:nvSpPr>
      <xdr:spPr>
        <a:xfrm>
          <a:off x="7985760" y="670560"/>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52FC8E7-876F-4F2D-9C4F-62B17EEADB99}" type="TxLink">
            <a:rPr lang="en-US" sz="900" b="0" i="0" u="none" strike="noStrike">
              <a:solidFill>
                <a:schemeClr val="bg1">
                  <a:lumMod val="75000"/>
                </a:schemeClr>
              </a:solidFill>
              <a:latin typeface="Aptos Narrow"/>
              <a:ea typeface="+mn-ea"/>
              <a:cs typeface="+mn-cs"/>
            </a:rPr>
            <a:pPr marL="0" indent="0" algn="l"/>
            <a:t>Niche Market</a:t>
          </a:fld>
          <a:endParaRPr lang="ru-RU" sz="1200">
            <a:solidFill>
              <a:schemeClr val="bg1">
                <a:lumMod val="75000"/>
              </a:schemeClr>
            </a:solidFill>
            <a:latin typeface="+mn-lt"/>
            <a:ea typeface="+mn-ea"/>
            <a:cs typeface="+mn-cs"/>
          </a:endParaRPr>
        </a:p>
      </xdr:txBody>
    </xdr:sp>
    <xdr:clientData/>
  </xdr:twoCellAnchor>
  <xdr:twoCellAnchor>
    <xdr:from>
      <xdr:col>13</xdr:col>
      <xdr:colOff>60960</xdr:colOff>
      <xdr:row>6</xdr:row>
      <xdr:rowOff>60960</xdr:rowOff>
    </xdr:from>
    <xdr:to>
      <xdr:col>14</xdr:col>
      <xdr:colOff>407394</xdr:colOff>
      <xdr:row>8</xdr:row>
      <xdr:rowOff>1693</xdr:rowOff>
    </xdr:to>
    <xdr:sp macro="" textlink="Processing!C1">
      <xdr:nvSpPr>
        <xdr:cNvPr id="97" name="TextBox 96">
          <a:extLst>
            <a:ext uri="{FF2B5EF4-FFF2-40B4-BE49-F238E27FC236}">
              <a16:creationId xmlns:a16="http://schemas.microsoft.com/office/drawing/2014/main" id="{00000000-0008-0000-0200-000061000000}"/>
            </a:ext>
          </a:extLst>
        </xdr:cNvPr>
        <xdr:cNvSpPr txBox="1"/>
      </xdr:nvSpPr>
      <xdr:spPr>
        <a:xfrm>
          <a:off x="7985760" y="1219200"/>
          <a:ext cx="956034" cy="30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C4F03B3-7D88-469B-9A7A-14230B5396F6}" type="TxLink">
            <a:rPr lang="en-US" sz="900" b="0" i="0" u="none" strike="noStrike">
              <a:solidFill>
                <a:schemeClr val="bg1">
                  <a:lumMod val="75000"/>
                </a:schemeClr>
              </a:solidFill>
              <a:latin typeface="Aptos Narrow"/>
              <a:ea typeface="+mn-ea"/>
              <a:cs typeface="+mn-cs"/>
            </a:rPr>
            <a:pPr marL="0" indent="0" algn="l"/>
            <a:t>Mass Market</a:t>
          </a:fld>
          <a:endParaRPr lang="ru-RU" sz="1000">
            <a:solidFill>
              <a:schemeClr val="bg1">
                <a:lumMod val="75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19</xdr:col>
      <xdr:colOff>0</xdr:colOff>
      <xdr:row>1</xdr:row>
      <xdr:rowOff>0</xdr:rowOff>
    </xdr:from>
    <xdr:to>
      <xdr:col>20</xdr:col>
      <xdr:colOff>106680</xdr:colOff>
      <xdr:row>4</xdr:row>
      <xdr:rowOff>152400</xdr:rowOff>
    </xdr:to>
    <xdr:grpSp>
      <xdr:nvGrpSpPr>
        <xdr:cNvPr id="2" name="Group 1">
          <a:hlinkClick xmlns:r="http://schemas.openxmlformats.org/officeDocument/2006/relationships" r:id="rId1"/>
          <a:extLst>
            <a:ext uri="{FF2B5EF4-FFF2-40B4-BE49-F238E27FC236}">
              <a16:creationId xmlns:a16="http://schemas.microsoft.com/office/drawing/2014/main" id="{00000000-0008-0000-0300-000002000000}"/>
            </a:ext>
          </a:extLst>
        </xdr:cNvPr>
        <xdr:cNvGrpSpPr/>
      </xdr:nvGrpSpPr>
      <xdr:grpSpPr>
        <a:xfrm>
          <a:off x="14363700" y="180975"/>
          <a:ext cx="935355" cy="695325"/>
          <a:chOff x="12862560" y="563880"/>
          <a:chExt cx="853440" cy="701040"/>
        </a:xfrm>
      </xdr:grpSpPr>
      <xdr:sp macro="" textlink="">
        <xdr:nvSpPr>
          <xdr:cNvPr id="3" name="Rectangle 2">
            <a:extLst>
              <a:ext uri="{FF2B5EF4-FFF2-40B4-BE49-F238E27FC236}">
                <a16:creationId xmlns:a16="http://schemas.microsoft.com/office/drawing/2014/main" id="{00000000-0008-0000-0300-000003000000}"/>
              </a:ext>
            </a:extLst>
          </xdr:cNvPr>
          <xdr:cNvSpPr/>
        </xdr:nvSpPr>
        <xdr:spPr>
          <a:xfrm>
            <a:off x="12862560" y="563880"/>
            <a:ext cx="853440" cy="7010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nvGrpSpPr>
          <xdr:cNvPr id="4" name="Graphic 4">
            <a:extLst>
              <a:ext uri="{FF2B5EF4-FFF2-40B4-BE49-F238E27FC236}">
                <a16:creationId xmlns:a16="http://schemas.microsoft.com/office/drawing/2014/main" id="{00000000-0008-0000-0300-000004000000}"/>
              </a:ext>
            </a:extLst>
          </xdr:cNvPr>
          <xdr:cNvGrpSpPr/>
        </xdr:nvGrpSpPr>
        <xdr:grpSpPr>
          <a:xfrm>
            <a:off x="12889592" y="598233"/>
            <a:ext cx="758543" cy="613199"/>
            <a:chOff x="12988652" y="613473"/>
            <a:chExt cx="758543" cy="613199"/>
          </a:xfrm>
          <a:noFill/>
        </xdr:grpSpPr>
        <xdr:sp macro="" textlink="">
          <xdr:nvSpPr>
            <xdr:cNvPr id="5" name="Freeform: Shape 4">
              <a:extLst>
                <a:ext uri="{FF2B5EF4-FFF2-40B4-BE49-F238E27FC236}">
                  <a16:creationId xmlns:a16="http://schemas.microsoft.com/office/drawing/2014/main" id="{00000000-0008-0000-0300-000005000000}"/>
                </a:ext>
              </a:extLst>
            </xdr:cNvPr>
            <xdr:cNvSpPr/>
          </xdr:nvSpPr>
          <xdr:spPr>
            <a:xfrm>
              <a:off x="13078748" y="710706"/>
              <a:ext cx="668447" cy="515967"/>
            </a:xfrm>
            <a:custGeom>
              <a:avLst/>
              <a:gdLst>
                <a:gd name="connsiteX0" fmla="*/ 675 w 668447"/>
                <a:gd name="connsiteY0" fmla="*/ 260893 h 515967"/>
                <a:gd name="connsiteX1" fmla="*/ 675 w 668447"/>
                <a:gd name="connsiteY1" fmla="*/ 439258 h 515967"/>
                <a:gd name="connsiteX2" fmla="*/ 77767 w 668447"/>
                <a:gd name="connsiteY2" fmla="*/ 515789 h 515967"/>
                <a:gd name="connsiteX3" fmla="*/ 597360 w 668447"/>
                <a:gd name="connsiteY3" fmla="*/ 515789 h 515967"/>
                <a:gd name="connsiteX4" fmla="*/ 668462 w 668447"/>
                <a:gd name="connsiteY4" fmla="*/ 437761 h 515967"/>
                <a:gd name="connsiteX5" fmla="*/ 668462 w 668447"/>
                <a:gd name="connsiteY5" fmla="*/ 76731 h 515967"/>
                <a:gd name="connsiteX6" fmla="*/ 609478 w 668447"/>
                <a:gd name="connsiteY6" fmla="*/ 6 h 515967"/>
                <a:gd name="connsiteX7" fmla="*/ 356687 w 668447"/>
                <a:gd name="connsiteY7" fmla="*/ 6 h 515967"/>
                <a:gd name="connsiteX8" fmla="*/ 442004 w 668447"/>
                <a:gd name="connsiteY8" fmla="*/ 82327 h 515967"/>
                <a:gd name="connsiteX9" fmla="*/ 582651 w 668447"/>
                <a:gd name="connsiteY9" fmla="*/ 82327 h 515967"/>
                <a:gd name="connsiteX10" fmla="*/ 582651 w 668447"/>
                <a:gd name="connsiteY10" fmla="*/ 431196 h 515967"/>
                <a:gd name="connsiteX11" fmla="*/ 84049 w 668447"/>
                <a:gd name="connsiteY11" fmla="*/ 431196 h 515967"/>
                <a:gd name="connsiteX12" fmla="*/ 84049 w 668447"/>
                <a:gd name="connsiteY12" fmla="*/ 328303 h 5159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68447" h="515967">
                  <a:moveTo>
                    <a:pt x="675" y="260893"/>
                  </a:moveTo>
                  <a:lnTo>
                    <a:pt x="675" y="439258"/>
                  </a:lnTo>
                  <a:cubicBezTo>
                    <a:pt x="-5296" y="502439"/>
                    <a:pt x="44978" y="517896"/>
                    <a:pt x="77767" y="515789"/>
                  </a:cubicBezTo>
                  <a:lnTo>
                    <a:pt x="597360" y="515789"/>
                  </a:lnTo>
                  <a:cubicBezTo>
                    <a:pt x="658001" y="511838"/>
                    <a:pt x="668462" y="475781"/>
                    <a:pt x="668462" y="437761"/>
                  </a:cubicBezTo>
                  <a:lnTo>
                    <a:pt x="668462" y="76731"/>
                  </a:lnTo>
                  <a:cubicBezTo>
                    <a:pt x="671308" y="26516"/>
                    <a:pt x="638485" y="2112"/>
                    <a:pt x="609478" y="6"/>
                  </a:cubicBezTo>
                  <a:lnTo>
                    <a:pt x="356687" y="6"/>
                  </a:lnTo>
                  <a:lnTo>
                    <a:pt x="442004" y="82327"/>
                  </a:lnTo>
                  <a:lnTo>
                    <a:pt x="582651" y="82327"/>
                  </a:lnTo>
                  <a:lnTo>
                    <a:pt x="582651" y="431196"/>
                  </a:lnTo>
                  <a:lnTo>
                    <a:pt x="84049" y="431196"/>
                  </a:lnTo>
                  <a:lnTo>
                    <a:pt x="84049" y="328303"/>
                  </a:lnTo>
                  <a:close/>
                </a:path>
              </a:pathLst>
            </a:custGeom>
            <a:noFill/>
            <a:ln w="14865" cap="flat">
              <a:solidFill>
                <a:srgbClr val="236CAF"/>
              </a:solidFill>
              <a:prstDash val="solid"/>
              <a:miter/>
            </a:ln>
          </xdr:spPr>
          <xdr:txBody>
            <a:bodyPr rtlCol="0" anchor="ctr"/>
            <a:lstStyle/>
            <a:p>
              <a:endParaRPr lang="ru-RU"/>
            </a:p>
          </xdr:txBody>
        </xdr:sp>
        <xdr:sp macro="" textlink="">
          <xdr:nvSpPr>
            <xdr:cNvPr id="6" name="Freeform: Shape 5">
              <a:extLst>
                <a:ext uri="{FF2B5EF4-FFF2-40B4-BE49-F238E27FC236}">
                  <a16:creationId xmlns:a16="http://schemas.microsoft.com/office/drawing/2014/main" id="{00000000-0008-0000-0300-000006000000}"/>
                </a:ext>
              </a:extLst>
            </xdr:cNvPr>
            <xdr:cNvSpPr/>
          </xdr:nvSpPr>
          <xdr:spPr>
            <a:xfrm>
              <a:off x="12988652" y="613473"/>
              <a:ext cx="570884" cy="421316"/>
            </a:xfrm>
            <a:custGeom>
              <a:avLst/>
              <a:gdLst>
                <a:gd name="connsiteX0" fmla="*/ 229737 w 570884"/>
                <a:gd name="connsiteY0" fmla="*/ -65 h 421316"/>
                <a:gd name="connsiteX1" fmla="*/ 119 w 570884"/>
                <a:gd name="connsiteY1" fmla="*/ 187421 h 421316"/>
                <a:gd name="connsiteX2" fmla="*/ 231844 w 570884"/>
                <a:gd name="connsiteY2" fmla="*/ 379120 h 421316"/>
                <a:gd name="connsiteX3" fmla="*/ 231844 w 570884"/>
                <a:gd name="connsiteY3" fmla="*/ 284324 h 421316"/>
                <a:gd name="connsiteX4" fmla="*/ 571004 w 570884"/>
                <a:gd name="connsiteY4" fmla="*/ 421252 h 421316"/>
                <a:gd name="connsiteX5" fmla="*/ 231844 w 570884"/>
                <a:gd name="connsiteY5" fmla="*/ 94731 h 4213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570884" h="421316">
                  <a:moveTo>
                    <a:pt x="229737" y="-65"/>
                  </a:moveTo>
                  <a:lnTo>
                    <a:pt x="119" y="187421"/>
                  </a:lnTo>
                  <a:lnTo>
                    <a:pt x="231844" y="379120"/>
                  </a:lnTo>
                  <a:lnTo>
                    <a:pt x="231844" y="284324"/>
                  </a:lnTo>
                  <a:cubicBezTo>
                    <a:pt x="348285" y="257264"/>
                    <a:pt x="485223" y="337279"/>
                    <a:pt x="571004" y="421252"/>
                  </a:cubicBezTo>
                  <a:cubicBezTo>
                    <a:pt x="527699" y="285344"/>
                    <a:pt x="496117" y="132256"/>
                    <a:pt x="231844" y="94731"/>
                  </a:cubicBezTo>
                  <a:close/>
                </a:path>
              </a:pathLst>
            </a:custGeom>
            <a:noFill/>
            <a:ln w="14865" cap="flat">
              <a:solidFill>
                <a:srgbClr val="236CAF"/>
              </a:solidFill>
              <a:prstDash val="solid"/>
              <a:miter/>
            </a:ln>
          </xdr:spPr>
          <xdr:txBody>
            <a:bodyPr rtlCol="0" anchor="ctr"/>
            <a:lstStyle/>
            <a:p>
              <a:endParaRPr lang="ru-RU"/>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20</xdr:col>
      <xdr:colOff>15240</xdr:colOff>
      <xdr:row>1</xdr:row>
      <xdr:rowOff>167640</xdr:rowOff>
    </xdr:from>
    <xdr:to>
      <xdr:col>21</xdr:col>
      <xdr:colOff>213360</xdr:colOff>
      <xdr:row>5</xdr:row>
      <xdr:rowOff>137160</xdr:rowOff>
    </xdr:to>
    <xdr:grpSp>
      <xdr:nvGrpSpPr>
        <xdr:cNvPr id="2" name="Group 1">
          <a:hlinkClick xmlns:r="http://schemas.openxmlformats.org/officeDocument/2006/relationships" r:id="rId1"/>
          <a:extLst>
            <a:ext uri="{FF2B5EF4-FFF2-40B4-BE49-F238E27FC236}">
              <a16:creationId xmlns:a16="http://schemas.microsoft.com/office/drawing/2014/main" id="{00000000-0008-0000-0400-000002000000}"/>
            </a:ext>
          </a:extLst>
        </xdr:cNvPr>
        <xdr:cNvGrpSpPr/>
      </xdr:nvGrpSpPr>
      <xdr:grpSpPr>
        <a:xfrm>
          <a:off x="13807440" y="548640"/>
          <a:ext cx="922020" cy="693420"/>
          <a:chOff x="12862560" y="563880"/>
          <a:chExt cx="853440" cy="701040"/>
        </a:xfrm>
      </xdr:grpSpPr>
      <xdr:sp macro="" textlink="">
        <xdr:nvSpPr>
          <xdr:cNvPr id="3" name="Rectangle 2">
            <a:extLst>
              <a:ext uri="{FF2B5EF4-FFF2-40B4-BE49-F238E27FC236}">
                <a16:creationId xmlns:a16="http://schemas.microsoft.com/office/drawing/2014/main" id="{00000000-0008-0000-0400-000003000000}"/>
              </a:ext>
            </a:extLst>
          </xdr:cNvPr>
          <xdr:cNvSpPr/>
        </xdr:nvSpPr>
        <xdr:spPr>
          <a:xfrm>
            <a:off x="12862560" y="563880"/>
            <a:ext cx="853440" cy="7010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nvGrpSpPr>
          <xdr:cNvPr id="4" name="Graphic 4">
            <a:extLst>
              <a:ext uri="{FF2B5EF4-FFF2-40B4-BE49-F238E27FC236}">
                <a16:creationId xmlns:a16="http://schemas.microsoft.com/office/drawing/2014/main" id="{00000000-0008-0000-0400-000004000000}"/>
              </a:ext>
            </a:extLst>
          </xdr:cNvPr>
          <xdr:cNvGrpSpPr/>
        </xdr:nvGrpSpPr>
        <xdr:grpSpPr>
          <a:xfrm>
            <a:off x="12889592" y="598233"/>
            <a:ext cx="758543" cy="613199"/>
            <a:chOff x="12988652" y="613473"/>
            <a:chExt cx="758543" cy="613199"/>
          </a:xfrm>
          <a:noFill/>
        </xdr:grpSpPr>
        <xdr:sp macro="" textlink="">
          <xdr:nvSpPr>
            <xdr:cNvPr id="5" name="Freeform: Shape 4">
              <a:extLst>
                <a:ext uri="{FF2B5EF4-FFF2-40B4-BE49-F238E27FC236}">
                  <a16:creationId xmlns:a16="http://schemas.microsoft.com/office/drawing/2014/main" id="{00000000-0008-0000-0400-000005000000}"/>
                </a:ext>
              </a:extLst>
            </xdr:cNvPr>
            <xdr:cNvSpPr/>
          </xdr:nvSpPr>
          <xdr:spPr>
            <a:xfrm>
              <a:off x="13078748" y="710706"/>
              <a:ext cx="668447" cy="515967"/>
            </a:xfrm>
            <a:custGeom>
              <a:avLst/>
              <a:gdLst>
                <a:gd name="connsiteX0" fmla="*/ 675 w 668447"/>
                <a:gd name="connsiteY0" fmla="*/ 260893 h 515967"/>
                <a:gd name="connsiteX1" fmla="*/ 675 w 668447"/>
                <a:gd name="connsiteY1" fmla="*/ 439258 h 515967"/>
                <a:gd name="connsiteX2" fmla="*/ 77767 w 668447"/>
                <a:gd name="connsiteY2" fmla="*/ 515789 h 515967"/>
                <a:gd name="connsiteX3" fmla="*/ 597360 w 668447"/>
                <a:gd name="connsiteY3" fmla="*/ 515789 h 515967"/>
                <a:gd name="connsiteX4" fmla="*/ 668462 w 668447"/>
                <a:gd name="connsiteY4" fmla="*/ 437761 h 515967"/>
                <a:gd name="connsiteX5" fmla="*/ 668462 w 668447"/>
                <a:gd name="connsiteY5" fmla="*/ 76731 h 515967"/>
                <a:gd name="connsiteX6" fmla="*/ 609478 w 668447"/>
                <a:gd name="connsiteY6" fmla="*/ 6 h 515967"/>
                <a:gd name="connsiteX7" fmla="*/ 356687 w 668447"/>
                <a:gd name="connsiteY7" fmla="*/ 6 h 515967"/>
                <a:gd name="connsiteX8" fmla="*/ 442004 w 668447"/>
                <a:gd name="connsiteY8" fmla="*/ 82327 h 515967"/>
                <a:gd name="connsiteX9" fmla="*/ 582651 w 668447"/>
                <a:gd name="connsiteY9" fmla="*/ 82327 h 515967"/>
                <a:gd name="connsiteX10" fmla="*/ 582651 w 668447"/>
                <a:gd name="connsiteY10" fmla="*/ 431196 h 515967"/>
                <a:gd name="connsiteX11" fmla="*/ 84049 w 668447"/>
                <a:gd name="connsiteY11" fmla="*/ 431196 h 515967"/>
                <a:gd name="connsiteX12" fmla="*/ 84049 w 668447"/>
                <a:gd name="connsiteY12" fmla="*/ 328303 h 5159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68447" h="515967">
                  <a:moveTo>
                    <a:pt x="675" y="260893"/>
                  </a:moveTo>
                  <a:lnTo>
                    <a:pt x="675" y="439258"/>
                  </a:lnTo>
                  <a:cubicBezTo>
                    <a:pt x="-5296" y="502439"/>
                    <a:pt x="44978" y="517896"/>
                    <a:pt x="77767" y="515789"/>
                  </a:cubicBezTo>
                  <a:lnTo>
                    <a:pt x="597360" y="515789"/>
                  </a:lnTo>
                  <a:cubicBezTo>
                    <a:pt x="658001" y="511838"/>
                    <a:pt x="668462" y="475781"/>
                    <a:pt x="668462" y="437761"/>
                  </a:cubicBezTo>
                  <a:lnTo>
                    <a:pt x="668462" y="76731"/>
                  </a:lnTo>
                  <a:cubicBezTo>
                    <a:pt x="671308" y="26516"/>
                    <a:pt x="638485" y="2112"/>
                    <a:pt x="609478" y="6"/>
                  </a:cubicBezTo>
                  <a:lnTo>
                    <a:pt x="356687" y="6"/>
                  </a:lnTo>
                  <a:lnTo>
                    <a:pt x="442004" y="82327"/>
                  </a:lnTo>
                  <a:lnTo>
                    <a:pt x="582651" y="82327"/>
                  </a:lnTo>
                  <a:lnTo>
                    <a:pt x="582651" y="431196"/>
                  </a:lnTo>
                  <a:lnTo>
                    <a:pt x="84049" y="431196"/>
                  </a:lnTo>
                  <a:lnTo>
                    <a:pt x="84049" y="328303"/>
                  </a:lnTo>
                  <a:close/>
                </a:path>
              </a:pathLst>
            </a:custGeom>
            <a:noFill/>
            <a:ln w="14865" cap="flat">
              <a:solidFill>
                <a:srgbClr val="236CAF"/>
              </a:solidFill>
              <a:prstDash val="solid"/>
              <a:miter/>
            </a:ln>
          </xdr:spPr>
          <xdr:txBody>
            <a:bodyPr rtlCol="0" anchor="ctr"/>
            <a:lstStyle/>
            <a:p>
              <a:endParaRPr lang="ru-RU"/>
            </a:p>
          </xdr:txBody>
        </xdr:sp>
        <xdr:sp macro="" textlink="">
          <xdr:nvSpPr>
            <xdr:cNvPr id="6" name="Freeform: Shape 5">
              <a:extLst>
                <a:ext uri="{FF2B5EF4-FFF2-40B4-BE49-F238E27FC236}">
                  <a16:creationId xmlns:a16="http://schemas.microsoft.com/office/drawing/2014/main" id="{00000000-0008-0000-0400-000006000000}"/>
                </a:ext>
              </a:extLst>
            </xdr:cNvPr>
            <xdr:cNvSpPr/>
          </xdr:nvSpPr>
          <xdr:spPr>
            <a:xfrm>
              <a:off x="12988652" y="613473"/>
              <a:ext cx="570884" cy="421316"/>
            </a:xfrm>
            <a:custGeom>
              <a:avLst/>
              <a:gdLst>
                <a:gd name="connsiteX0" fmla="*/ 229737 w 570884"/>
                <a:gd name="connsiteY0" fmla="*/ -65 h 421316"/>
                <a:gd name="connsiteX1" fmla="*/ 119 w 570884"/>
                <a:gd name="connsiteY1" fmla="*/ 187421 h 421316"/>
                <a:gd name="connsiteX2" fmla="*/ 231844 w 570884"/>
                <a:gd name="connsiteY2" fmla="*/ 379120 h 421316"/>
                <a:gd name="connsiteX3" fmla="*/ 231844 w 570884"/>
                <a:gd name="connsiteY3" fmla="*/ 284324 h 421316"/>
                <a:gd name="connsiteX4" fmla="*/ 571004 w 570884"/>
                <a:gd name="connsiteY4" fmla="*/ 421252 h 421316"/>
                <a:gd name="connsiteX5" fmla="*/ 231844 w 570884"/>
                <a:gd name="connsiteY5" fmla="*/ 94731 h 4213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570884" h="421316">
                  <a:moveTo>
                    <a:pt x="229737" y="-65"/>
                  </a:moveTo>
                  <a:lnTo>
                    <a:pt x="119" y="187421"/>
                  </a:lnTo>
                  <a:lnTo>
                    <a:pt x="231844" y="379120"/>
                  </a:lnTo>
                  <a:lnTo>
                    <a:pt x="231844" y="284324"/>
                  </a:lnTo>
                  <a:cubicBezTo>
                    <a:pt x="348285" y="257264"/>
                    <a:pt x="485223" y="337279"/>
                    <a:pt x="571004" y="421252"/>
                  </a:cubicBezTo>
                  <a:cubicBezTo>
                    <a:pt x="527699" y="285344"/>
                    <a:pt x="496117" y="132256"/>
                    <a:pt x="231844" y="94731"/>
                  </a:cubicBezTo>
                  <a:close/>
                </a:path>
              </a:pathLst>
            </a:custGeom>
            <a:noFill/>
            <a:ln w="14865" cap="flat">
              <a:solidFill>
                <a:srgbClr val="236CAF"/>
              </a:solidFill>
              <a:prstDash val="solid"/>
              <a:miter/>
            </a:ln>
          </xdr:spPr>
          <xdr:txBody>
            <a:bodyPr rtlCol="0" anchor="ctr"/>
            <a:lstStyle/>
            <a:p>
              <a:endParaRPr lang="ru-RU"/>
            </a:p>
          </xdr:txBody>
        </xdr:sp>
      </xdr:grp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220980</xdr:colOff>
      <xdr:row>4</xdr:row>
      <xdr:rowOff>99060</xdr:rowOff>
    </xdr:to>
    <xdr:sp macro="" textlink="">
      <xdr:nvSpPr>
        <xdr:cNvPr id="2" name="Rectangle 1">
          <a:extLst>
            <a:ext uri="{FF2B5EF4-FFF2-40B4-BE49-F238E27FC236}">
              <a16:creationId xmlns:a16="http://schemas.microsoft.com/office/drawing/2014/main" id="{00000000-0008-0000-0500-000002000000}"/>
            </a:ext>
          </a:extLst>
        </xdr:cNvPr>
        <xdr:cNvSpPr/>
      </xdr:nvSpPr>
      <xdr:spPr>
        <a:xfrm>
          <a:off x="0" y="0"/>
          <a:ext cx="830580" cy="830580"/>
        </a:xfrm>
        <a:prstGeom prst="rect">
          <a:avLst/>
        </a:prstGeom>
        <a:gradFill>
          <a:gsLst>
            <a:gs pos="82000">
              <a:srgbClr val="D36FF9"/>
            </a:gs>
            <a:gs pos="18000">
              <a:srgbClr val="9F7EF8"/>
            </a:gs>
          </a:gsLst>
          <a:lin ang="2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0</xdr:colOff>
      <xdr:row>5</xdr:row>
      <xdr:rowOff>83820</xdr:rowOff>
    </xdr:from>
    <xdr:to>
      <xdr:col>1</xdr:col>
      <xdr:colOff>220980</xdr:colOff>
      <xdr:row>10</xdr:row>
      <xdr:rowOff>0</xdr:rowOff>
    </xdr:to>
    <xdr:sp macro="" textlink="">
      <xdr:nvSpPr>
        <xdr:cNvPr id="3" name="Rectangle 2">
          <a:extLst>
            <a:ext uri="{FF2B5EF4-FFF2-40B4-BE49-F238E27FC236}">
              <a16:creationId xmlns:a16="http://schemas.microsoft.com/office/drawing/2014/main" id="{00000000-0008-0000-0500-000003000000}"/>
            </a:ext>
          </a:extLst>
        </xdr:cNvPr>
        <xdr:cNvSpPr/>
      </xdr:nvSpPr>
      <xdr:spPr>
        <a:xfrm>
          <a:off x="0" y="998220"/>
          <a:ext cx="830580" cy="830580"/>
        </a:xfrm>
        <a:prstGeom prst="rect">
          <a:avLst/>
        </a:prstGeom>
        <a:gradFill>
          <a:gsLst>
            <a:gs pos="88000">
              <a:srgbClr val="21E6DF"/>
            </a:gs>
            <a:gs pos="21000">
              <a:srgbClr val="9F7EF8"/>
            </a:gs>
          </a:gsLst>
          <a:lin ang="2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0</xdr:colOff>
      <xdr:row>11</xdr:row>
      <xdr:rowOff>22860</xdr:rowOff>
    </xdr:from>
    <xdr:to>
      <xdr:col>1</xdr:col>
      <xdr:colOff>220980</xdr:colOff>
      <xdr:row>15</xdr:row>
      <xdr:rowOff>121920</xdr:rowOff>
    </xdr:to>
    <xdr:sp macro="" textlink="">
      <xdr:nvSpPr>
        <xdr:cNvPr id="4" name="Rectangle 3">
          <a:extLst>
            <a:ext uri="{FF2B5EF4-FFF2-40B4-BE49-F238E27FC236}">
              <a16:creationId xmlns:a16="http://schemas.microsoft.com/office/drawing/2014/main" id="{00000000-0008-0000-0500-000004000000}"/>
            </a:ext>
          </a:extLst>
        </xdr:cNvPr>
        <xdr:cNvSpPr/>
      </xdr:nvSpPr>
      <xdr:spPr>
        <a:xfrm>
          <a:off x="0" y="2034540"/>
          <a:ext cx="830580" cy="830580"/>
        </a:xfrm>
        <a:prstGeom prst="rect">
          <a:avLst/>
        </a:prstGeom>
        <a:gradFill>
          <a:gsLst>
            <a:gs pos="82000">
              <a:srgbClr val="D36FF9"/>
            </a:gs>
            <a:gs pos="18000">
              <a:srgbClr val="F3ABFD"/>
            </a:gs>
          </a:gsLst>
          <a:lin ang="2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8</xdr:col>
      <xdr:colOff>0</xdr:colOff>
      <xdr:row>8</xdr:row>
      <xdr:rowOff>0</xdr:rowOff>
    </xdr:from>
    <xdr:to>
      <xdr:col>9</xdr:col>
      <xdr:colOff>373621</xdr:colOff>
      <xdr:row>11</xdr:row>
      <xdr:rowOff>84142</xdr:rowOff>
    </xdr:to>
    <xdr:grpSp>
      <xdr:nvGrpSpPr>
        <xdr:cNvPr id="5" name="Group 4">
          <a:extLst>
            <a:ext uri="{FF2B5EF4-FFF2-40B4-BE49-F238E27FC236}">
              <a16:creationId xmlns:a16="http://schemas.microsoft.com/office/drawing/2014/main" id="{00000000-0008-0000-0500-000005000000}"/>
            </a:ext>
          </a:extLst>
        </xdr:cNvPr>
        <xdr:cNvGrpSpPr/>
      </xdr:nvGrpSpPr>
      <xdr:grpSpPr>
        <a:xfrm>
          <a:off x="5486400" y="1447800"/>
          <a:ext cx="1059421" cy="627067"/>
          <a:chOff x="809288" y="5310647"/>
          <a:chExt cx="983221" cy="640402"/>
        </a:xfrm>
      </xdr:grpSpPr>
      <xdr:sp macro="" textlink="">
        <xdr:nvSpPr>
          <xdr:cNvPr id="6" name="Rectangle 5">
            <a:extLst>
              <a:ext uri="{FF2B5EF4-FFF2-40B4-BE49-F238E27FC236}">
                <a16:creationId xmlns:a16="http://schemas.microsoft.com/office/drawing/2014/main" id="{00000000-0008-0000-0500-000006000000}"/>
              </a:ext>
            </a:extLst>
          </xdr:cNvPr>
          <xdr:cNvSpPr/>
        </xdr:nvSpPr>
        <xdr:spPr>
          <a:xfrm rot="10800000">
            <a:off x="1783365" y="5503067"/>
            <a:ext cx="9144" cy="447982"/>
          </a:xfrm>
          <a:prstGeom prst="rect">
            <a:avLst/>
          </a:prstGeom>
          <a:gradFill>
            <a:gsLst>
              <a:gs pos="18000">
                <a:schemeClr val="accent1">
                  <a:lumMod val="5000"/>
                  <a:lumOff val="95000"/>
                  <a:alpha val="0"/>
                </a:schemeClr>
              </a:gs>
              <a:gs pos="100000">
                <a:schemeClr val="bg1"/>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7" name="Rectangle 6">
            <a:extLst>
              <a:ext uri="{FF2B5EF4-FFF2-40B4-BE49-F238E27FC236}">
                <a16:creationId xmlns:a16="http://schemas.microsoft.com/office/drawing/2014/main" id="{00000000-0008-0000-0500-000007000000}"/>
              </a:ext>
            </a:extLst>
          </xdr:cNvPr>
          <xdr:cNvSpPr/>
        </xdr:nvSpPr>
        <xdr:spPr>
          <a:xfrm rot="10800000">
            <a:off x="1601768" y="5503067"/>
            <a:ext cx="9144" cy="447982"/>
          </a:xfrm>
          <a:prstGeom prst="rect">
            <a:avLst/>
          </a:prstGeom>
          <a:gradFill>
            <a:gsLst>
              <a:gs pos="18000">
                <a:schemeClr val="accent1">
                  <a:lumMod val="5000"/>
                  <a:lumOff val="95000"/>
                  <a:alpha val="0"/>
                </a:schemeClr>
              </a:gs>
              <a:gs pos="100000">
                <a:schemeClr val="bg1"/>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8" name="Rectangle 7">
            <a:extLst>
              <a:ext uri="{FF2B5EF4-FFF2-40B4-BE49-F238E27FC236}">
                <a16:creationId xmlns:a16="http://schemas.microsoft.com/office/drawing/2014/main" id="{00000000-0008-0000-0500-000008000000}"/>
              </a:ext>
            </a:extLst>
          </xdr:cNvPr>
          <xdr:cNvSpPr/>
        </xdr:nvSpPr>
        <xdr:spPr>
          <a:xfrm rot="10800000">
            <a:off x="1409925" y="5371412"/>
            <a:ext cx="9144" cy="447982"/>
          </a:xfrm>
          <a:prstGeom prst="rect">
            <a:avLst/>
          </a:prstGeom>
          <a:gradFill>
            <a:gsLst>
              <a:gs pos="18000">
                <a:schemeClr val="accent1">
                  <a:lumMod val="5000"/>
                  <a:lumOff val="95000"/>
                  <a:alpha val="0"/>
                </a:schemeClr>
              </a:gs>
              <a:gs pos="100000">
                <a:schemeClr val="bg1"/>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9" name="Rectangle 8">
            <a:extLst>
              <a:ext uri="{FF2B5EF4-FFF2-40B4-BE49-F238E27FC236}">
                <a16:creationId xmlns:a16="http://schemas.microsoft.com/office/drawing/2014/main" id="{00000000-0008-0000-0500-000009000000}"/>
              </a:ext>
            </a:extLst>
          </xdr:cNvPr>
          <xdr:cNvSpPr/>
        </xdr:nvSpPr>
        <xdr:spPr>
          <a:xfrm rot="10800000">
            <a:off x="1185215" y="5371412"/>
            <a:ext cx="9144" cy="447982"/>
          </a:xfrm>
          <a:prstGeom prst="rect">
            <a:avLst/>
          </a:prstGeom>
          <a:gradFill>
            <a:gsLst>
              <a:gs pos="18000">
                <a:schemeClr val="accent1">
                  <a:lumMod val="5000"/>
                  <a:lumOff val="95000"/>
                  <a:alpha val="0"/>
                </a:schemeClr>
              </a:gs>
              <a:gs pos="100000">
                <a:schemeClr val="bg1"/>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10" name="Rectangle 9">
            <a:extLst>
              <a:ext uri="{FF2B5EF4-FFF2-40B4-BE49-F238E27FC236}">
                <a16:creationId xmlns:a16="http://schemas.microsoft.com/office/drawing/2014/main" id="{00000000-0008-0000-0500-00000A000000}"/>
              </a:ext>
            </a:extLst>
          </xdr:cNvPr>
          <xdr:cNvSpPr/>
        </xdr:nvSpPr>
        <xdr:spPr>
          <a:xfrm rot="10800000">
            <a:off x="1299013" y="5310647"/>
            <a:ext cx="9144" cy="447982"/>
          </a:xfrm>
          <a:prstGeom prst="rect">
            <a:avLst/>
          </a:prstGeom>
          <a:gradFill>
            <a:gsLst>
              <a:gs pos="18000">
                <a:schemeClr val="accent1">
                  <a:lumMod val="5000"/>
                  <a:lumOff val="95000"/>
                  <a:alpha val="0"/>
                </a:schemeClr>
              </a:gs>
              <a:gs pos="100000">
                <a:schemeClr val="bg1"/>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11" name="Rectangle 10">
            <a:extLst>
              <a:ext uri="{FF2B5EF4-FFF2-40B4-BE49-F238E27FC236}">
                <a16:creationId xmlns:a16="http://schemas.microsoft.com/office/drawing/2014/main" id="{00000000-0008-0000-0500-00000B000000}"/>
              </a:ext>
            </a:extLst>
          </xdr:cNvPr>
          <xdr:cNvSpPr/>
        </xdr:nvSpPr>
        <xdr:spPr>
          <a:xfrm rot="10800000">
            <a:off x="990885" y="5503067"/>
            <a:ext cx="9144" cy="447982"/>
          </a:xfrm>
          <a:prstGeom prst="rect">
            <a:avLst/>
          </a:prstGeom>
          <a:gradFill>
            <a:gsLst>
              <a:gs pos="18000">
                <a:schemeClr val="accent1">
                  <a:lumMod val="5000"/>
                  <a:lumOff val="95000"/>
                  <a:alpha val="0"/>
                </a:schemeClr>
              </a:gs>
              <a:gs pos="100000">
                <a:schemeClr val="bg1"/>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12" name="Rectangle 11">
            <a:extLst>
              <a:ext uri="{FF2B5EF4-FFF2-40B4-BE49-F238E27FC236}">
                <a16:creationId xmlns:a16="http://schemas.microsoft.com/office/drawing/2014/main" id="{00000000-0008-0000-0500-00000C000000}"/>
              </a:ext>
            </a:extLst>
          </xdr:cNvPr>
          <xdr:cNvSpPr/>
        </xdr:nvSpPr>
        <xdr:spPr>
          <a:xfrm rot="10800000">
            <a:off x="809288" y="5503067"/>
            <a:ext cx="9144" cy="447982"/>
          </a:xfrm>
          <a:prstGeom prst="rect">
            <a:avLst/>
          </a:prstGeom>
          <a:gradFill>
            <a:gsLst>
              <a:gs pos="18000">
                <a:schemeClr val="accent1">
                  <a:lumMod val="5000"/>
                  <a:lumOff val="95000"/>
                  <a:alpha val="0"/>
                </a:schemeClr>
              </a:gs>
              <a:gs pos="100000">
                <a:schemeClr val="bg1"/>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5</xdr:col>
      <xdr:colOff>331076</xdr:colOff>
      <xdr:row>6</xdr:row>
      <xdr:rowOff>73572</xdr:rowOff>
    </xdr:from>
    <xdr:to>
      <xdr:col>6</xdr:col>
      <xdr:colOff>130736</xdr:colOff>
      <xdr:row>7</xdr:row>
      <xdr:rowOff>124692</xdr:rowOff>
    </xdr:to>
    <xdr:grpSp>
      <xdr:nvGrpSpPr>
        <xdr:cNvPr id="27" name="Group 26">
          <a:extLst>
            <a:ext uri="{FF2B5EF4-FFF2-40B4-BE49-F238E27FC236}">
              <a16:creationId xmlns:a16="http://schemas.microsoft.com/office/drawing/2014/main" id="{00000000-0008-0000-0500-00001B000000}"/>
            </a:ext>
          </a:extLst>
        </xdr:cNvPr>
        <xdr:cNvGrpSpPr/>
      </xdr:nvGrpSpPr>
      <xdr:grpSpPr>
        <a:xfrm rot="10800000">
          <a:off x="3760076" y="1159422"/>
          <a:ext cx="485460" cy="232095"/>
          <a:chOff x="7238212" y="5255960"/>
          <a:chExt cx="409260" cy="235139"/>
        </a:xfrm>
      </xdr:grpSpPr>
      <xdr:sp macro="" textlink="">
        <xdr:nvSpPr>
          <xdr:cNvPr id="28" name="Rectangle: Rounded Corners 27">
            <a:extLst>
              <a:ext uri="{FF2B5EF4-FFF2-40B4-BE49-F238E27FC236}">
                <a16:creationId xmlns:a16="http://schemas.microsoft.com/office/drawing/2014/main" id="{00000000-0008-0000-0500-00001C000000}"/>
              </a:ext>
            </a:extLst>
          </xdr:cNvPr>
          <xdr:cNvSpPr/>
        </xdr:nvSpPr>
        <xdr:spPr>
          <a:xfrm>
            <a:off x="7238212" y="5277457"/>
            <a:ext cx="378000" cy="177199"/>
          </a:xfrm>
          <a:prstGeom prst="roundRect">
            <a:avLst>
              <a:gd name="adj" fmla="val 50000"/>
            </a:avLst>
          </a:prstGeom>
          <a:gradFill>
            <a:gsLst>
              <a:gs pos="61000">
                <a:schemeClr val="tx1">
                  <a:lumMod val="95000"/>
                  <a:lumOff val="5000"/>
                </a:schemeClr>
              </a:gs>
              <a:gs pos="100000">
                <a:schemeClr val="tx1"/>
              </a:gs>
              <a:gs pos="0">
                <a:schemeClr val="tx1">
                  <a:lumMod val="65000"/>
                  <a:lumOff val="35000"/>
                </a:schemeClr>
              </a:gs>
            </a:gsLst>
            <a:lin ang="0" scaled="0"/>
          </a:gradFill>
          <a:ln w="12700">
            <a:solidFill>
              <a:schemeClr val="tx1">
                <a:lumMod val="85000"/>
                <a:lumOff val="15000"/>
              </a:schemeClr>
            </a:solidFill>
          </a:ln>
          <a:effectLst>
            <a:innerShdw blurRad="114300">
              <a:prstClr val="black"/>
            </a:innerShdw>
          </a:effectLst>
          <a:scene3d>
            <a:camera prst="orthographicFront">
              <a:rot lat="0" lon="0" rev="0"/>
            </a:camera>
            <a:lightRig rig="balanced" dir="t">
              <a:rot lat="0" lon="0" rev="8700000"/>
            </a:lightRig>
          </a:scene3d>
          <a:sp3d contourW="12700">
            <a:bevelT w="25400" h="44450" prst="softRound"/>
            <a:contourClr>
              <a:schemeClr val="tx1">
                <a:lumMod val="85000"/>
                <a:lumOff val="1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9" name="Oval 28">
            <a:extLst>
              <a:ext uri="{FF2B5EF4-FFF2-40B4-BE49-F238E27FC236}">
                <a16:creationId xmlns:a16="http://schemas.microsoft.com/office/drawing/2014/main" id="{00000000-0008-0000-0500-00001D000000}"/>
              </a:ext>
            </a:extLst>
          </xdr:cNvPr>
          <xdr:cNvSpPr/>
        </xdr:nvSpPr>
        <xdr:spPr>
          <a:xfrm>
            <a:off x="7413472" y="5255960"/>
            <a:ext cx="234000" cy="235139"/>
          </a:xfrm>
          <a:prstGeom prst="ellipse">
            <a:avLst/>
          </a:prstGeom>
          <a:solidFill>
            <a:schemeClr val="tx1">
              <a:lumMod val="75000"/>
              <a:lumOff val="25000"/>
            </a:schemeClr>
          </a:solidFill>
          <a:ln w="12700">
            <a:solidFill>
              <a:schemeClr val="tx1"/>
            </a:solidFill>
          </a:ln>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7</xdr:col>
      <xdr:colOff>0</xdr:colOff>
      <xdr:row>3</xdr:row>
      <xdr:rowOff>0</xdr:rowOff>
    </xdr:from>
    <xdr:to>
      <xdr:col>7</xdr:col>
      <xdr:colOff>409260</xdr:colOff>
      <xdr:row>4</xdr:row>
      <xdr:rowOff>54506</xdr:rowOff>
    </xdr:to>
    <xdr:grpSp>
      <xdr:nvGrpSpPr>
        <xdr:cNvPr id="33" name="Group 32">
          <a:extLst>
            <a:ext uri="{FF2B5EF4-FFF2-40B4-BE49-F238E27FC236}">
              <a16:creationId xmlns:a16="http://schemas.microsoft.com/office/drawing/2014/main" id="{00000000-0008-0000-0500-000021000000}"/>
            </a:ext>
          </a:extLst>
        </xdr:cNvPr>
        <xdr:cNvGrpSpPr/>
      </xdr:nvGrpSpPr>
      <xdr:grpSpPr>
        <a:xfrm>
          <a:off x="4800600" y="542925"/>
          <a:ext cx="409260" cy="235481"/>
          <a:chOff x="7238212" y="5255960"/>
          <a:chExt cx="409260" cy="235139"/>
        </a:xfrm>
      </xdr:grpSpPr>
      <xdr:sp macro="" textlink="">
        <xdr:nvSpPr>
          <xdr:cNvPr id="34" name="Rectangle: Rounded Corners 33">
            <a:extLst>
              <a:ext uri="{FF2B5EF4-FFF2-40B4-BE49-F238E27FC236}">
                <a16:creationId xmlns:a16="http://schemas.microsoft.com/office/drawing/2014/main" id="{00000000-0008-0000-0500-000022000000}"/>
              </a:ext>
            </a:extLst>
          </xdr:cNvPr>
          <xdr:cNvSpPr/>
        </xdr:nvSpPr>
        <xdr:spPr>
          <a:xfrm>
            <a:off x="7238212" y="5277458"/>
            <a:ext cx="378000" cy="177199"/>
          </a:xfrm>
          <a:prstGeom prst="roundRect">
            <a:avLst>
              <a:gd name="adj" fmla="val 50000"/>
            </a:avLst>
          </a:prstGeom>
          <a:gradFill>
            <a:gsLst>
              <a:gs pos="61000">
                <a:srgbClr val="D36FF9"/>
              </a:gs>
              <a:gs pos="100000">
                <a:schemeClr val="tx1"/>
              </a:gs>
              <a:gs pos="0">
                <a:schemeClr val="accent5">
                  <a:lumMod val="75000"/>
                </a:schemeClr>
              </a:gs>
            </a:gsLst>
            <a:lin ang="0" scaled="0"/>
          </a:gradFill>
          <a:ln w="12700">
            <a:solidFill>
              <a:srgbClr val="D36FF9"/>
            </a:solidFill>
          </a:ln>
          <a:effectLst>
            <a:innerShdw blurRad="114300">
              <a:prstClr val="black"/>
            </a:innerShdw>
          </a:effectLst>
          <a:scene3d>
            <a:camera prst="orthographicFront">
              <a:rot lat="0" lon="0" rev="0"/>
            </a:camera>
            <a:lightRig rig="balanced" dir="t">
              <a:rot lat="0" lon="0" rev="8700000"/>
            </a:lightRig>
          </a:scene3d>
          <a:sp3d contourW="12700">
            <a:bevelT w="25400" h="44450" prst="softRound"/>
            <a:contourClr>
              <a:schemeClr val="tx1">
                <a:lumMod val="85000"/>
                <a:lumOff val="1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5" name="Oval 34">
            <a:extLst>
              <a:ext uri="{FF2B5EF4-FFF2-40B4-BE49-F238E27FC236}">
                <a16:creationId xmlns:a16="http://schemas.microsoft.com/office/drawing/2014/main" id="{00000000-0008-0000-0500-000023000000}"/>
              </a:ext>
            </a:extLst>
          </xdr:cNvPr>
          <xdr:cNvSpPr/>
        </xdr:nvSpPr>
        <xdr:spPr>
          <a:xfrm>
            <a:off x="7413472" y="5255960"/>
            <a:ext cx="234000" cy="235139"/>
          </a:xfrm>
          <a:prstGeom prst="ellipse">
            <a:avLst/>
          </a:prstGeom>
          <a:solidFill>
            <a:srgbClr val="D36FF9"/>
          </a:solidFill>
          <a:ln w="12700">
            <a:solidFill>
              <a:schemeClr val="accent5">
                <a:lumMod val="75000"/>
              </a:schemeClr>
            </a:solidFill>
          </a:ln>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7</xdr:col>
      <xdr:colOff>124562</xdr:colOff>
      <xdr:row>5</xdr:row>
      <xdr:rowOff>180676</xdr:rowOff>
    </xdr:from>
    <xdr:to>
      <xdr:col>7</xdr:col>
      <xdr:colOff>360897</xdr:colOff>
      <xdr:row>8</xdr:row>
      <xdr:rowOff>41296</xdr:rowOff>
    </xdr:to>
    <xdr:grpSp>
      <xdr:nvGrpSpPr>
        <xdr:cNvPr id="36" name="Group 35">
          <a:extLst>
            <a:ext uri="{FF2B5EF4-FFF2-40B4-BE49-F238E27FC236}">
              <a16:creationId xmlns:a16="http://schemas.microsoft.com/office/drawing/2014/main" id="{00000000-0008-0000-0500-000024000000}"/>
            </a:ext>
          </a:extLst>
        </xdr:cNvPr>
        <xdr:cNvGrpSpPr/>
      </xdr:nvGrpSpPr>
      <xdr:grpSpPr>
        <a:xfrm rot="16200000">
          <a:off x="4841557" y="1169156"/>
          <a:ext cx="403545" cy="236335"/>
          <a:chOff x="7238212" y="5255960"/>
          <a:chExt cx="409260" cy="235139"/>
        </a:xfrm>
      </xdr:grpSpPr>
      <xdr:sp macro="" textlink="">
        <xdr:nvSpPr>
          <xdr:cNvPr id="37" name="Rectangle: Rounded Corners 36">
            <a:extLst>
              <a:ext uri="{FF2B5EF4-FFF2-40B4-BE49-F238E27FC236}">
                <a16:creationId xmlns:a16="http://schemas.microsoft.com/office/drawing/2014/main" id="{00000000-0008-0000-0500-000025000000}"/>
              </a:ext>
            </a:extLst>
          </xdr:cNvPr>
          <xdr:cNvSpPr/>
        </xdr:nvSpPr>
        <xdr:spPr>
          <a:xfrm>
            <a:off x="7238212" y="5277458"/>
            <a:ext cx="378000" cy="177199"/>
          </a:xfrm>
          <a:prstGeom prst="roundRect">
            <a:avLst>
              <a:gd name="adj" fmla="val 50000"/>
            </a:avLst>
          </a:prstGeom>
          <a:gradFill>
            <a:gsLst>
              <a:gs pos="61000">
                <a:srgbClr val="15D5E9"/>
              </a:gs>
              <a:gs pos="100000">
                <a:schemeClr val="tx1"/>
              </a:gs>
              <a:gs pos="0">
                <a:schemeClr val="accent4">
                  <a:lumMod val="75000"/>
                </a:schemeClr>
              </a:gs>
            </a:gsLst>
            <a:lin ang="0" scaled="0"/>
          </a:gradFill>
          <a:ln w="12700">
            <a:solidFill>
              <a:srgbClr val="44DEEE"/>
            </a:solidFill>
          </a:ln>
          <a:effectLst>
            <a:innerShdw blurRad="114300">
              <a:prstClr val="black"/>
            </a:innerShdw>
          </a:effectLst>
          <a:scene3d>
            <a:camera prst="orthographicFront">
              <a:rot lat="0" lon="0" rev="0"/>
            </a:camera>
            <a:lightRig rig="balanced" dir="t">
              <a:rot lat="0" lon="0" rev="8700000"/>
            </a:lightRig>
          </a:scene3d>
          <a:sp3d contourW="12700">
            <a:bevelT w="25400" h="44450" prst="softRound"/>
            <a:contourClr>
              <a:schemeClr val="tx1">
                <a:lumMod val="85000"/>
                <a:lumOff val="1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8" name="Oval 37">
            <a:extLst>
              <a:ext uri="{FF2B5EF4-FFF2-40B4-BE49-F238E27FC236}">
                <a16:creationId xmlns:a16="http://schemas.microsoft.com/office/drawing/2014/main" id="{00000000-0008-0000-0500-000026000000}"/>
              </a:ext>
            </a:extLst>
          </xdr:cNvPr>
          <xdr:cNvSpPr/>
        </xdr:nvSpPr>
        <xdr:spPr>
          <a:xfrm>
            <a:off x="7413472" y="5255960"/>
            <a:ext cx="234000" cy="235139"/>
          </a:xfrm>
          <a:prstGeom prst="ellipse">
            <a:avLst/>
          </a:prstGeom>
          <a:solidFill>
            <a:srgbClr val="15D5E9"/>
          </a:solidFill>
          <a:ln w="12700">
            <a:solidFill>
              <a:schemeClr val="accent4">
                <a:lumMod val="75000"/>
                <a:alpha val="98000"/>
              </a:schemeClr>
            </a:solidFill>
          </a:ln>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10</xdr:col>
      <xdr:colOff>0</xdr:colOff>
      <xdr:row>7</xdr:row>
      <xdr:rowOff>0</xdr:rowOff>
    </xdr:from>
    <xdr:to>
      <xdr:col>10</xdr:col>
      <xdr:colOff>234000</xdr:colOff>
      <xdr:row>8</xdr:row>
      <xdr:rowOff>53455</xdr:rowOff>
    </xdr:to>
    <xdr:sp macro="" textlink="">
      <xdr:nvSpPr>
        <xdr:cNvPr id="18" name="Oval 17">
          <a:extLst>
            <a:ext uri="{FF2B5EF4-FFF2-40B4-BE49-F238E27FC236}">
              <a16:creationId xmlns:a16="http://schemas.microsoft.com/office/drawing/2014/main" id="{00000000-0008-0000-0500-000012000000}"/>
            </a:ext>
          </a:extLst>
        </xdr:cNvPr>
        <xdr:cNvSpPr/>
      </xdr:nvSpPr>
      <xdr:spPr>
        <a:xfrm>
          <a:off x="6096000" y="1280160"/>
          <a:ext cx="234000" cy="236335"/>
        </a:xfrm>
        <a:prstGeom prst="ellipse">
          <a:avLst/>
        </a:prstGeom>
        <a:solidFill>
          <a:srgbClr val="15D5E9"/>
        </a:solidFill>
        <a:ln w="12700">
          <a:solidFill>
            <a:schemeClr val="accent4">
              <a:lumMod val="75000"/>
              <a:alpha val="98000"/>
            </a:schemeClr>
          </a:solidFill>
        </a:ln>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0</xdr:colOff>
      <xdr:row>18</xdr:row>
      <xdr:rowOff>0</xdr:rowOff>
    </xdr:from>
    <xdr:to>
      <xdr:col>0</xdr:col>
      <xdr:colOff>541020</xdr:colOff>
      <xdr:row>20</xdr:row>
      <xdr:rowOff>106680</xdr:rowOff>
    </xdr:to>
    <xdr:sp macro="" textlink="">
      <xdr:nvSpPr>
        <xdr:cNvPr id="13" name="Rectangle 12">
          <a:extLst>
            <a:ext uri="{FF2B5EF4-FFF2-40B4-BE49-F238E27FC236}">
              <a16:creationId xmlns:a16="http://schemas.microsoft.com/office/drawing/2014/main" id="{00000000-0008-0000-0500-00000D000000}"/>
            </a:ext>
          </a:extLst>
        </xdr:cNvPr>
        <xdr:cNvSpPr/>
      </xdr:nvSpPr>
      <xdr:spPr>
        <a:xfrm>
          <a:off x="0" y="3291840"/>
          <a:ext cx="541020" cy="472440"/>
        </a:xfrm>
        <a:prstGeom prst="rect">
          <a:avLst/>
        </a:prstGeom>
        <a:gradFill>
          <a:gsLst>
            <a:gs pos="29000">
              <a:srgbClr val="145876"/>
            </a:gs>
            <a:gs pos="100000">
              <a:srgbClr val="D36FF9"/>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0</xdr:colOff>
      <xdr:row>22</xdr:row>
      <xdr:rowOff>45720</xdr:rowOff>
    </xdr:from>
    <xdr:to>
      <xdr:col>0</xdr:col>
      <xdr:colOff>541020</xdr:colOff>
      <xdr:row>24</xdr:row>
      <xdr:rowOff>152400</xdr:rowOff>
    </xdr:to>
    <xdr:sp macro="" textlink="">
      <xdr:nvSpPr>
        <xdr:cNvPr id="14" name="Rectangle 13">
          <a:extLst>
            <a:ext uri="{FF2B5EF4-FFF2-40B4-BE49-F238E27FC236}">
              <a16:creationId xmlns:a16="http://schemas.microsoft.com/office/drawing/2014/main" id="{00000000-0008-0000-0500-00000E000000}"/>
            </a:ext>
          </a:extLst>
        </xdr:cNvPr>
        <xdr:cNvSpPr/>
      </xdr:nvSpPr>
      <xdr:spPr>
        <a:xfrm>
          <a:off x="0" y="4069080"/>
          <a:ext cx="541020" cy="472440"/>
        </a:xfrm>
        <a:prstGeom prst="rect">
          <a:avLst/>
        </a:prstGeom>
        <a:gradFill>
          <a:gsLst>
            <a:gs pos="25000">
              <a:srgbClr val="21E6DF"/>
            </a:gs>
            <a:gs pos="100000">
              <a:srgbClr val="9F7EF8"/>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0</xdr:colOff>
      <xdr:row>25</xdr:row>
      <xdr:rowOff>175260</xdr:rowOff>
    </xdr:from>
    <xdr:to>
      <xdr:col>0</xdr:col>
      <xdr:colOff>541020</xdr:colOff>
      <xdr:row>28</xdr:row>
      <xdr:rowOff>99060</xdr:rowOff>
    </xdr:to>
    <xdr:sp macro="" textlink="">
      <xdr:nvSpPr>
        <xdr:cNvPr id="15" name="Rectangle 14">
          <a:extLst>
            <a:ext uri="{FF2B5EF4-FFF2-40B4-BE49-F238E27FC236}">
              <a16:creationId xmlns:a16="http://schemas.microsoft.com/office/drawing/2014/main" id="{00000000-0008-0000-0500-00000F000000}"/>
            </a:ext>
          </a:extLst>
        </xdr:cNvPr>
        <xdr:cNvSpPr/>
      </xdr:nvSpPr>
      <xdr:spPr>
        <a:xfrm>
          <a:off x="0" y="4747260"/>
          <a:ext cx="541020" cy="472440"/>
        </a:xfrm>
        <a:prstGeom prst="rect">
          <a:avLst/>
        </a:prstGeom>
        <a:gradFill>
          <a:gsLst>
            <a:gs pos="0">
              <a:srgbClr val="D36FF9"/>
            </a:gs>
            <a:gs pos="100000">
              <a:srgbClr val="9F7EF8"/>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0</xdr:colOff>
      <xdr:row>29</xdr:row>
      <xdr:rowOff>137160</xdr:rowOff>
    </xdr:from>
    <xdr:to>
      <xdr:col>0</xdr:col>
      <xdr:colOff>541020</xdr:colOff>
      <xdr:row>32</xdr:row>
      <xdr:rowOff>60960</xdr:rowOff>
    </xdr:to>
    <xdr:sp macro="" textlink="">
      <xdr:nvSpPr>
        <xdr:cNvPr id="16" name="Rectangle 15">
          <a:extLst>
            <a:ext uri="{FF2B5EF4-FFF2-40B4-BE49-F238E27FC236}">
              <a16:creationId xmlns:a16="http://schemas.microsoft.com/office/drawing/2014/main" id="{00000000-0008-0000-0500-000010000000}"/>
            </a:ext>
          </a:extLst>
        </xdr:cNvPr>
        <xdr:cNvSpPr/>
      </xdr:nvSpPr>
      <xdr:spPr>
        <a:xfrm>
          <a:off x="0" y="5440680"/>
          <a:ext cx="541020" cy="472440"/>
        </a:xfrm>
        <a:prstGeom prst="rect">
          <a:avLst/>
        </a:prstGeom>
        <a:gradFill>
          <a:gsLst>
            <a:gs pos="0">
              <a:srgbClr val="44DEEE"/>
            </a:gs>
            <a:gs pos="90000">
              <a:srgbClr val="5A45F4"/>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0</xdr:colOff>
      <xdr:row>34</xdr:row>
      <xdr:rowOff>0</xdr:rowOff>
    </xdr:from>
    <xdr:to>
      <xdr:col>0</xdr:col>
      <xdr:colOff>541020</xdr:colOff>
      <xdr:row>37</xdr:row>
      <xdr:rowOff>80683</xdr:rowOff>
    </xdr:to>
    <xdr:sp macro="" textlink="">
      <xdr:nvSpPr>
        <xdr:cNvPr id="17" name="Rectangle 16">
          <a:extLst>
            <a:ext uri="{FF2B5EF4-FFF2-40B4-BE49-F238E27FC236}">
              <a16:creationId xmlns:a16="http://schemas.microsoft.com/office/drawing/2014/main" id="{00000000-0008-0000-0500-000011000000}"/>
            </a:ext>
          </a:extLst>
        </xdr:cNvPr>
        <xdr:cNvSpPr/>
      </xdr:nvSpPr>
      <xdr:spPr>
        <a:xfrm>
          <a:off x="0" y="6217920"/>
          <a:ext cx="541020" cy="629323"/>
        </a:xfrm>
        <a:prstGeom prst="rect">
          <a:avLst/>
        </a:prstGeom>
        <a:gradFill>
          <a:gsLst>
            <a:gs pos="0">
              <a:srgbClr val="1B717D"/>
            </a:gs>
            <a:gs pos="69000">
              <a:srgbClr val="0F2842">
                <a:alpha val="46667"/>
              </a:srgbClr>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8</xdr:col>
      <xdr:colOff>407144</xdr:colOff>
      <xdr:row>8</xdr:row>
      <xdr:rowOff>149118</xdr:rowOff>
    </xdr:from>
    <xdr:to>
      <xdr:col>9</xdr:col>
      <xdr:colOff>32595</xdr:colOff>
      <xdr:row>11</xdr:row>
      <xdr:rowOff>9738</xdr:rowOff>
    </xdr:to>
    <xdr:grpSp>
      <xdr:nvGrpSpPr>
        <xdr:cNvPr id="19" name="Group 18">
          <a:extLst>
            <a:ext uri="{FF2B5EF4-FFF2-40B4-BE49-F238E27FC236}">
              <a16:creationId xmlns:a16="http://schemas.microsoft.com/office/drawing/2014/main" id="{00000000-0008-0000-0500-000013000000}"/>
            </a:ext>
          </a:extLst>
        </xdr:cNvPr>
        <xdr:cNvGrpSpPr/>
      </xdr:nvGrpSpPr>
      <xdr:grpSpPr>
        <a:xfrm rot="5400000">
          <a:off x="5847397" y="1643065"/>
          <a:ext cx="403545" cy="311251"/>
          <a:chOff x="7238212" y="5255960"/>
          <a:chExt cx="409260" cy="235139"/>
        </a:xfrm>
      </xdr:grpSpPr>
      <xdr:sp macro="" textlink="">
        <xdr:nvSpPr>
          <xdr:cNvPr id="20" name="Rectangle: Rounded Corners 19">
            <a:extLst>
              <a:ext uri="{FF2B5EF4-FFF2-40B4-BE49-F238E27FC236}">
                <a16:creationId xmlns:a16="http://schemas.microsoft.com/office/drawing/2014/main" id="{00000000-0008-0000-0500-000014000000}"/>
              </a:ext>
            </a:extLst>
          </xdr:cNvPr>
          <xdr:cNvSpPr/>
        </xdr:nvSpPr>
        <xdr:spPr>
          <a:xfrm>
            <a:off x="7238212" y="5268598"/>
            <a:ext cx="378000" cy="194919"/>
          </a:xfrm>
          <a:prstGeom prst="roundRect">
            <a:avLst>
              <a:gd name="adj" fmla="val 50000"/>
            </a:avLst>
          </a:prstGeom>
          <a:gradFill>
            <a:gsLst>
              <a:gs pos="61000">
                <a:schemeClr val="tx1">
                  <a:lumMod val="95000"/>
                  <a:lumOff val="5000"/>
                </a:schemeClr>
              </a:gs>
              <a:gs pos="100000">
                <a:schemeClr val="tx1"/>
              </a:gs>
              <a:gs pos="0">
                <a:schemeClr val="tx1">
                  <a:lumMod val="65000"/>
                  <a:lumOff val="35000"/>
                </a:schemeClr>
              </a:gs>
            </a:gsLst>
            <a:lin ang="0" scaled="0"/>
          </a:gradFill>
          <a:ln w="12700">
            <a:solidFill>
              <a:schemeClr val="tx1">
                <a:lumMod val="85000"/>
                <a:lumOff val="15000"/>
              </a:schemeClr>
            </a:solidFill>
          </a:ln>
          <a:effectLst>
            <a:innerShdw blurRad="114300">
              <a:prstClr val="black"/>
            </a:innerShdw>
          </a:effectLst>
          <a:scene3d>
            <a:camera prst="orthographicFront">
              <a:rot lat="0" lon="0" rev="0"/>
            </a:camera>
            <a:lightRig rig="balanced" dir="t">
              <a:rot lat="0" lon="0" rev="8700000"/>
            </a:lightRig>
          </a:scene3d>
          <a:sp3d contourW="12700">
            <a:bevelT w="25400" h="44450" prst="softRound"/>
            <a:contourClr>
              <a:schemeClr val="tx1">
                <a:lumMod val="85000"/>
                <a:lumOff val="1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1" name="Oval 20">
            <a:extLst>
              <a:ext uri="{FF2B5EF4-FFF2-40B4-BE49-F238E27FC236}">
                <a16:creationId xmlns:a16="http://schemas.microsoft.com/office/drawing/2014/main" id="{00000000-0008-0000-0500-000015000000}"/>
              </a:ext>
            </a:extLst>
          </xdr:cNvPr>
          <xdr:cNvSpPr/>
        </xdr:nvSpPr>
        <xdr:spPr>
          <a:xfrm>
            <a:off x="7413472" y="5255960"/>
            <a:ext cx="234000" cy="235139"/>
          </a:xfrm>
          <a:prstGeom prst="ellipse">
            <a:avLst/>
          </a:prstGeom>
          <a:solidFill>
            <a:schemeClr val="tx1">
              <a:lumMod val="75000"/>
              <a:lumOff val="25000"/>
            </a:schemeClr>
          </a:solidFill>
          <a:ln w="12700">
            <a:solidFill>
              <a:schemeClr val="tx1"/>
            </a:solidFill>
          </a:ln>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9</xdr:col>
      <xdr:colOff>521970</xdr:colOff>
      <xdr:row>2</xdr:row>
      <xdr:rowOff>19050</xdr:rowOff>
    </xdr:from>
    <xdr:to>
      <xdr:col>11</xdr:col>
      <xdr:colOff>198120</xdr:colOff>
      <xdr:row>5</xdr:row>
      <xdr:rowOff>144780</xdr:rowOff>
    </xdr:to>
    <xdr:sp macro="" textlink="$J$2">
      <xdr:nvSpPr>
        <xdr:cNvPr id="22" name="TextBox 21">
          <a:extLst>
            <a:ext uri="{FF2B5EF4-FFF2-40B4-BE49-F238E27FC236}">
              <a16:creationId xmlns:a16="http://schemas.microsoft.com/office/drawing/2014/main" id="{00000000-0008-0000-0500-000016000000}"/>
            </a:ext>
          </a:extLst>
        </xdr:cNvPr>
        <xdr:cNvSpPr txBox="1"/>
      </xdr:nvSpPr>
      <xdr:spPr>
        <a:xfrm rot="5400000">
          <a:off x="6118860" y="274320"/>
          <a:ext cx="67437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4A1BAA-5C7C-4DD9-85EA-D5DBDB13181B}" type="TxLink">
            <a:rPr lang="en-US" sz="4000" b="0" i="0" u="none" strike="noStrike">
              <a:blipFill>
                <a:blip xmlns:r="http://schemas.openxmlformats.org/officeDocument/2006/relationships" r:embed="rId1">
                  <a:extLst>
                    <a:ext uri="{96DAC541-7B7A-43D3-8B79-37D633B846F1}">
                      <asvg:svgBlip xmlns:asvg="http://schemas.microsoft.com/office/drawing/2016/SVG/main" xmlns="" r:embed="rId2"/>
                    </a:ext>
                  </a:extLst>
                </a:blip>
                <a:stretch>
                  <a:fillRect/>
                </a:stretch>
              </a:blipFill>
              <a:latin typeface="Arial" panose="020B0604020202020204" pitchFamily="34" charset="0"/>
              <a:cs typeface="Arial" panose="020B0604020202020204" pitchFamily="34" charset="0"/>
            </a:rPr>
            <a:pPr algn="ctr"/>
            <a:t>█</a:t>
          </a:fld>
          <a:endParaRPr lang="ru-RU" sz="4000" b="0">
            <a:blipFill>
              <a:blip xmlns:r="http://schemas.openxmlformats.org/officeDocument/2006/relationships" r:embed="rId1">
                <a:extLst>
                  <a:ext uri="{96DAC541-7B7A-43D3-8B79-37D633B846F1}">
                    <asvg:svgBlip xmlns:asvg="http://schemas.microsoft.com/office/drawing/2016/SVG/main" xmlns="" r:embed="rId2"/>
                  </a:ext>
                </a:extLst>
              </a:blip>
              <a:stretch>
                <a:fillRect/>
              </a:stretch>
            </a:blipFill>
            <a:latin typeface="Arial" panose="020B0604020202020204" pitchFamily="34" charset="0"/>
            <a:cs typeface="Arial" panose="020B0604020202020204" pitchFamily="34" charset="0"/>
          </a:endParaRPr>
        </a:p>
      </xdr:txBody>
    </xdr:sp>
    <xdr:clientData/>
  </xdr:twoCellAnchor>
  <xdr:twoCellAnchor>
    <xdr:from>
      <xdr:col>8</xdr:col>
      <xdr:colOff>466937</xdr:colOff>
      <xdr:row>2</xdr:row>
      <xdr:rowOff>96943</xdr:rowOff>
    </xdr:from>
    <xdr:to>
      <xdr:col>9</xdr:col>
      <xdr:colOff>94723</xdr:colOff>
      <xdr:row>4</xdr:row>
      <xdr:rowOff>140443</xdr:rowOff>
    </xdr:to>
    <xdr:grpSp>
      <xdr:nvGrpSpPr>
        <xdr:cNvPr id="23" name="Group 22">
          <a:extLst>
            <a:ext uri="{FF2B5EF4-FFF2-40B4-BE49-F238E27FC236}">
              <a16:creationId xmlns:a16="http://schemas.microsoft.com/office/drawing/2014/main" id="{00000000-0008-0000-0500-000017000000}"/>
            </a:ext>
          </a:extLst>
        </xdr:cNvPr>
        <xdr:cNvGrpSpPr/>
      </xdr:nvGrpSpPr>
      <xdr:grpSpPr>
        <a:xfrm rot="16200000">
          <a:off x="5907405" y="504825"/>
          <a:ext cx="405450" cy="313586"/>
          <a:chOff x="7238212" y="5255960"/>
          <a:chExt cx="409260" cy="235139"/>
        </a:xfrm>
      </xdr:grpSpPr>
      <xdr:sp macro="" textlink="">
        <xdr:nvSpPr>
          <xdr:cNvPr id="24" name="Rectangle: Rounded Corners 23">
            <a:extLst>
              <a:ext uri="{FF2B5EF4-FFF2-40B4-BE49-F238E27FC236}">
                <a16:creationId xmlns:a16="http://schemas.microsoft.com/office/drawing/2014/main" id="{00000000-0008-0000-0500-000018000000}"/>
              </a:ext>
            </a:extLst>
          </xdr:cNvPr>
          <xdr:cNvSpPr/>
        </xdr:nvSpPr>
        <xdr:spPr>
          <a:xfrm>
            <a:off x="7238212" y="5277458"/>
            <a:ext cx="378000" cy="177199"/>
          </a:xfrm>
          <a:prstGeom prst="roundRect">
            <a:avLst>
              <a:gd name="adj" fmla="val 50000"/>
            </a:avLst>
          </a:prstGeom>
          <a:gradFill>
            <a:gsLst>
              <a:gs pos="61000">
                <a:srgbClr val="D36FF9"/>
              </a:gs>
              <a:gs pos="100000">
                <a:schemeClr val="tx1"/>
              </a:gs>
              <a:gs pos="0">
                <a:schemeClr val="accent5">
                  <a:lumMod val="75000"/>
                </a:schemeClr>
              </a:gs>
            </a:gsLst>
            <a:lin ang="0" scaled="0"/>
          </a:gradFill>
          <a:ln w="12700">
            <a:solidFill>
              <a:srgbClr val="D36FF9"/>
            </a:solidFill>
          </a:ln>
          <a:effectLst>
            <a:innerShdw blurRad="114300">
              <a:prstClr val="black"/>
            </a:innerShdw>
          </a:effectLst>
          <a:scene3d>
            <a:camera prst="orthographicFront">
              <a:rot lat="0" lon="0" rev="0"/>
            </a:camera>
            <a:lightRig rig="balanced" dir="t">
              <a:rot lat="0" lon="0" rev="8700000"/>
            </a:lightRig>
          </a:scene3d>
          <a:sp3d contourW="12700">
            <a:bevelT w="25400" h="44450" prst="softRound"/>
            <a:contourClr>
              <a:schemeClr val="tx1">
                <a:lumMod val="85000"/>
                <a:lumOff val="1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5" name="Oval 24">
            <a:extLst>
              <a:ext uri="{FF2B5EF4-FFF2-40B4-BE49-F238E27FC236}">
                <a16:creationId xmlns:a16="http://schemas.microsoft.com/office/drawing/2014/main" id="{00000000-0008-0000-0500-000019000000}"/>
              </a:ext>
            </a:extLst>
          </xdr:cNvPr>
          <xdr:cNvSpPr/>
        </xdr:nvSpPr>
        <xdr:spPr>
          <a:xfrm>
            <a:off x="7413472" y="5255960"/>
            <a:ext cx="234000" cy="235139"/>
          </a:xfrm>
          <a:prstGeom prst="ellipse">
            <a:avLst/>
          </a:prstGeom>
          <a:solidFill>
            <a:srgbClr val="D36FF9"/>
          </a:solidFill>
          <a:ln w="12700">
            <a:solidFill>
              <a:schemeClr val="accent5">
                <a:lumMod val="75000"/>
              </a:schemeClr>
            </a:solidFill>
          </a:ln>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384.930219675924" createdVersion="8" refreshedVersion="8" minRefreshableVersion="3" recordCount="48">
  <cacheSource type="worksheet">
    <worksheetSource name="mydata"/>
  </cacheSource>
  <cacheFields count="52">
    <cacheField name="Year" numFmtId="0">
      <sharedItems containsSemiMixedTypes="0" containsString="0" containsNumber="1" containsInteger="1" minValue="2024" maxValue="2025" count="2">
        <n v="2024"/>
        <n v="2025"/>
      </sharedItems>
    </cacheField>
    <cacheField name="Month" numFmtId="0">
      <sharedItems containsSemiMixedTypes="0" containsString="0" containsNumber="1" containsInteger="1" minValue="1" maxValue="12" count="12">
        <n v="1"/>
        <n v="2"/>
        <n v="3"/>
        <n v="4"/>
        <n v="5"/>
        <n v="6"/>
        <n v="7"/>
        <n v="8"/>
        <n v="9"/>
        <n v="10"/>
        <n v="11"/>
        <n v="12"/>
      </sharedItems>
    </cacheField>
    <cacheField name="Name Month" numFmtId="0">
      <sharedItems count="12">
        <s v="JAN"/>
        <s v="FEB"/>
        <s v="MAR"/>
        <s v="APR"/>
        <s v="MAY"/>
        <s v="JUN"/>
        <s v="JUL"/>
        <s v="AUG"/>
        <s v="SEP"/>
        <s v="OCT"/>
        <s v="NOV"/>
        <s v="DEC"/>
      </sharedItems>
    </cacheField>
    <cacheField name="Markets" numFmtId="0">
      <sharedItems count="2">
        <s v="Niche Market"/>
        <s v="Mass Market"/>
      </sharedItems>
    </cacheField>
    <cacheField name="Sales" numFmtId="0">
      <sharedItems containsSemiMixedTypes="0" containsString="0" containsNumber="1" containsInteger="1" minValue="272" maxValue="884"/>
    </cacheField>
    <cacheField name="ROI" numFmtId="164">
      <sharedItems containsSemiMixedTypes="0" containsString="0" containsNumber="1" minValue="0.152" maxValue="0.56899999999999995"/>
    </cacheField>
    <cacheField name="Lower" numFmtId="0">
      <sharedItems containsSemiMixedTypes="0" containsString="0" containsNumber="1" minValue="57" maxValue="356"/>
    </cacheField>
    <cacheField name="Middle" numFmtId="0">
      <sharedItems containsSemiMixedTypes="0" containsString="0" containsNumber="1" minValue="90.199999999999989" maxValue="676"/>
    </cacheField>
    <cacheField name="High" numFmtId="0">
      <sharedItems containsSemiMixedTypes="0" containsString="0" containsNumber="1" minValue="191.19999999999993" maxValue="880"/>
    </cacheField>
    <cacheField name="FaceBook" numFmtId="9">
      <sharedItems containsSemiMixedTypes="0" containsString="0" containsNumber="1" minValue="0.03" maxValue="0.44"/>
    </cacheField>
    <cacheField name="Instagram" numFmtId="9">
      <sharedItems containsSemiMixedTypes="0" containsString="0" containsNumber="1" minValue="0.03" maxValue="0.44"/>
    </cacheField>
    <cacheField name="Online Store" numFmtId="9">
      <sharedItems containsSemiMixedTypes="0" containsString="0" containsNumber="1" minValue="0.06" maxValue="0.47"/>
    </cacheField>
    <cacheField name="Shopify" numFmtId="9">
      <sharedItems containsSemiMixedTypes="0" containsString="0" containsNumber="1" minValue="0.06" maxValue="0.47"/>
    </cacheField>
    <cacheField name="Coverage" numFmtId="9">
      <sharedItems containsSemiMixedTypes="0" containsString="0" containsNumber="1" minValue="0.5" maxValue="0.8"/>
    </cacheField>
    <cacheField name="Sales Plan" numFmtId="9">
      <sharedItems containsSemiMixedTypes="0" containsString="0" containsNumber="1" minValue="0.65" maxValue="1.2"/>
    </cacheField>
    <cacheField name="KPI" numFmtId="9">
      <sharedItems containsSemiMixedTypes="0" containsString="0" containsNumber="1" minValue="0.67" maxValue="1.08"/>
    </cacheField>
    <cacheField name="Conversion" numFmtId="9">
      <sharedItems containsSemiMixedTypes="0" containsString="0" containsNumber="1" minValue="0.5" maxValue="0.94"/>
    </cacheField>
    <cacheField name="Margin" numFmtId="9">
      <sharedItems containsSemiMixedTypes="0" containsString="0" containsNumber="1" minValue="0.12" maxValue="0.7"/>
    </cacheField>
    <cacheField name="Stock Balances" numFmtId="0">
      <sharedItems containsSemiMixedTypes="0" containsString="0" containsNumber="1" containsInteger="1" minValue="116" maxValue="1230"/>
    </cacheField>
    <cacheField name="Warehouse Load" numFmtId="9">
      <sharedItems containsSemiMixedTypes="0" containsString="0" containsNumber="1" minValue="0.16" maxValue="0.99"/>
    </cacheField>
    <cacheField name="Shipped Orders" numFmtId="9">
      <sharedItems containsSemiMixedTypes="0" containsString="0" containsNumber="1" minValue="0.7" maxValue="0.95"/>
    </cacheField>
    <cacheField name="Product 1" numFmtId="0">
      <sharedItems containsSemiMixedTypes="0" containsString="0" containsNumber="1" containsInteger="1" minValue="125" maxValue="894"/>
    </cacheField>
    <cacheField name="Product 2" numFmtId="0">
      <sharedItems containsSemiMixedTypes="0" containsString="0" containsNumber="1" containsInteger="1" minValue="112" maxValue="895"/>
    </cacheField>
    <cacheField name="Product 3" numFmtId="0">
      <sharedItems containsSemiMixedTypes="0" containsString="0" containsNumber="1" containsInteger="1" minValue="122" maxValue="887"/>
    </cacheField>
    <cacheField name="Product 4" numFmtId="0">
      <sharedItems containsSemiMixedTypes="0" containsString="0" containsNumber="1" containsInteger="1" minValue="119" maxValue="861"/>
    </cacheField>
    <cacheField name="Product 5" numFmtId="0">
      <sharedItems containsSemiMixedTypes="0" containsString="0" containsNumber="1" containsInteger="1" minValue="107" maxValue="874"/>
    </cacheField>
    <cacheField name="Product 6" numFmtId="0">
      <sharedItems containsSemiMixedTypes="0" containsString="0" containsNumber="1" containsInteger="1" minValue="102" maxValue="896"/>
    </cacheField>
    <cacheField name="Product 7" numFmtId="0">
      <sharedItems containsSemiMixedTypes="0" containsString="0" containsNumber="1" containsInteger="1" minValue="112" maxValue="878"/>
    </cacheField>
    <cacheField name="Product 8" numFmtId="0">
      <sharedItems containsSemiMixedTypes="0" containsString="0" containsNumber="1" containsInteger="1" minValue="100" maxValue="849"/>
    </cacheField>
    <cacheField name="Product 9" numFmtId="0">
      <sharedItems containsSemiMixedTypes="0" containsString="0" containsNumber="1" containsInteger="1" minValue="102" maxValue="875"/>
    </cacheField>
    <cacheField name="Product 0" numFmtId="0">
      <sharedItems containsSemiMixedTypes="0" containsString="0" containsNumber="1" containsInteger="1" minValue="112" maxValue="898"/>
    </cacheField>
    <cacheField name="Inventory Cost" numFmtId="0">
      <sharedItems containsSemiMixedTypes="0" containsString="0" containsNumber="1" containsInteger="1" minValue="11" maxValue="816"/>
    </cacheField>
    <cacheField name="Inventory Turnover" numFmtId="0">
      <sharedItems containsSemiMixedTypes="0" containsString="0" containsNumber="1" containsInteger="1" minValue="32" maxValue="855"/>
    </cacheField>
    <cacheField name="Warehouse Payback" numFmtId="0">
      <sharedItems containsSemiMixedTypes="0" containsString="0" containsNumber="1" containsInteger="1" minValue="38" maxValue="1076"/>
    </cacheField>
    <cacheField name="Consumption" numFmtId="9">
      <sharedItems containsSemiMixedTypes="0" containsString="0" containsNumber="1" minValue="0.31" maxValue="0.8"/>
    </cacheField>
    <cacheField name="Coming" numFmtId="9">
      <sharedItems containsSemiMixedTypes="0" containsString="0" containsNumber="1" minValue="0.41" maxValue="0.9"/>
    </cacheField>
    <cacheField name="Returns" numFmtId="9">
      <sharedItems containsSemiMixedTypes="0" containsString="0" containsNumber="1" minValue="0.5" maxValue="0.98"/>
    </cacheField>
    <cacheField name="Shelf Life Exceeded" numFmtId="0">
      <sharedItems containsSemiMixedTypes="0" containsString="0" containsNumber="1" containsInteger="1" minValue="42" maxValue="836"/>
    </cacheField>
    <cacheField name="Disposal" numFmtId="0">
      <sharedItems containsSemiMixedTypes="0" containsString="0" containsNumber="1" containsInteger="1" minValue="29" maxValue="836"/>
    </cacheField>
    <cacheField name="Logistic Load" numFmtId="9">
      <sharedItems containsSemiMixedTypes="0" containsString="0" containsNumber="1" minValue="0.27" maxValue="0.98"/>
    </cacheField>
    <cacheField name="Transport Downtime" numFmtId="9">
      <sharedItems containsSemiMixedTypes="0" containsString="0" containsNumber="1" minValue="7.0000000000000007E-2" maxValue="0.37"/>
    </cacheField>
    <cacheField name="Supply" numFmtId="0">
      <sharedItems containsMixedTypes="1" containsNumber="1" containsInteger="1" minValue="22" maxValue="567"/>
    </cacheField>
    <cacheField name="Shipment" numFmtId="0">
      <sharedItems containsSemiMixedTypes="0" containsString="0" containsNumber="1" containsInteger="1" minValue="18" maxValue="658"/>
    </cacheField>
    <cacheField name="Logistics Costs" numFmtId="0">
      <sharedItems containsSemiMixedTypes="0" containsString="0" containsNumber="1" containsInteger="1" minValue="69" maxValue="918"/>
    </cacheField>
    <cacheField name="North" numFmtId="0">
      <sharedItems containsSemiMixedTypes="0" containsString="0" containsNumber="1" containsInteger="1" minValue="5" maxValue="107"/>
    </cacheField>
    <cacheField name="Northeast" numFmtId="0">
      <sharedItems containsSemiMixedTypes="0" containsString="0" containsNumber="1" containsInteger="1" minValue="7" maxValue="111"/>
    </cacheField>
    <cacheField name="East" numFmtId="0">
      <sharedItems containsSemiMixedTypes="0" containsString="0" containsNumber="1" containsInteger="1" minValue="5" maxValue="113"/>
    </cacheField>
    <cacheField name="Southeast" numFmtId="0">
      <sharedItems containsSemiMixedTypes="0" containsString="0" containsNumber="1" containsInteger="1" minValue="4" maxValue="140"/>
    </cacheField>
    <cacheField name="South" numFmtId="0">
      <sharedItems containsSemiMixedTypes="0" containsString="0" containsNumber="1" containsInteger="1" minValue="9" maxValue="137"/>
    </cacheField>
    <cacheField name="Southwest" numFmtId="0">
      <sharedItems containsSemiMixedTypes="0" containsString="0" containsNumber="1" containsInteger="1" minValue="6" maxValue="160"/>
    </cacheField>
    <cacheField name="West" numFmtId="0">
      <sharedItems containsSemiMixedTypes="0" containsString="0" containsNumber="1" containsInteger="1" minValue="4" maxValue="136"/>
    </cacheField>
    <cacheField name="Northwest" numFmtId="0">
      <sharedItems containsSemiMixedTypes="0" containsString="0" containsNumber="1" containsInteger="1" minValue="10" maxValue="123"/>
    </cacheField>
  </cacheFields>
  <extLst>
    <ext xmlns:x14="http://schemas.microsoft.com/office/spreadsheetml/2009/9/main" uri="{725AE2AE-9491-48be-B2B4-4EB974FC3084}">
      <x14:pivotCacheDefinition pivotCacheId="17727234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x v="0"/>
    <x v="0"/>
    <n v="542"/>
    <n v="0.27400000000000002"/>
    <n v="319.2"/>
    <n v="466.79999999999995"/>
    <n v="598.79999999999995"/>
    <n v="0.19"/>
    <n v="0.31"/>
    <n v="0.19"/>
    <n v="0.31"/>
    <n v="0.67"/>
    <n v="0.74"/>
    <n v="0.81"/>
    <n v="0.64"/>
    <n v="0.44"/>
    <n v="621"/>
    <n v="0.8"/>
    <n v="0.74"/>
    <n v="131"/>
    <n v="839"/>
    <n v="427"/>
    <n v="513"/>
    <n v="484"/>
    <n v="447"/>
    <n v="750"/>
    <n v="542"/>
    <n v="404"/>
    <n v="602"/>
    <n v="446"/>
    <n v="605"/>
    <n v="640"/>
    <n v="0.46"/>
    <n v="0.41"/>
    <n v="0.98"/>
    <n v="137"/>
    <n v="73"/>
    <n v="0.31"/>
    <n v="0.09"/>
    <n v="54"/>
    <n v="95"/>
    <n v="69"/>
    <n v="83"/>
    <n v="51"/>
    <n v="10"/>
    <n v="13"/>
    <n v="26"/>
    <n v="91"/>
    <n v="119"/>
    <n v="101"/>
  </r>
  <r>
    <x v="0"/>
    <x v="1"/>
    <x v="1"/>
    <x v="0"/>
    <n v="314"/>
    <n v="0.33399999999999996"/>
    <n v="291.2"/>
    <n v="572"/>
    <n v="864"/>
    <n v="0.42"/>
    <n v="0.21"/>
    <n v="0.28999999999999998"/>
    <n v="0.08"/>
    <n v="0.59"/>
    <n v="1.19"/>
    <n v="1.07"/>
    <n v="0.54"/>
    <n v="0.66"/>
    <n v="811"/>
    <n v="0.85"/>
    <n v="0.76"/>
    <n v="628"/>
    <n v="258"/>
    <n v="164"/>
    <n v="402"/>
    <n v="506"/>
    <n v="331"/>
    <n v="692"/>
    <n v="831"/>
    <n v="207"/>
    <n v="415"/>
    <n v="160"/>
    <n v="663"/>
    <n v="944"/>
    <n v="0.72"/>
    <n v="0.89"/>
    <n v="0.91"/>
    <n v="115"/>
    <n v="102"/>
    <n v="0.34"/>
    <n v="0.2"/>
    <n v="36"/>
    <n v="65"/>
    <n v="106"/>
    <n v="77"/>
    <n v="51"/>
    <n v="7"/>
    <n v="11"/>
    <n v="33"/>
    <n v="6"/>
    <n v="17"/>
    <n v="111"/>
  </r>
  <r>
    <x v="0"/>
    <x v="2"/>
    <x v="2"/>
    <x v="0"/>
    <n v="452"/>
    <n v="0.193"/>
    <n v="144.5"/>
    <n v="294.5"/>
    <n v="610"/>
    <n v="0.14000000000000001"/>
    <n v="0.26"/>
    <n v="0.24"/>
    <n v="0.36"/>
    <n v="0.55000000000000004"/>
    <n v="0.87"/>
    <n v="0.75"/>
    <n v="0.88"/>
    <n v="0.42"/>
    <n v="843"/>
    <n v="0.99"/>
    <n v="0.85"/>
    <n v="239"/>
    <n v="747"/>
    <n v="280"/>
    <n v="581"/>
    <n v="696"/>
    <n v="441"/>
    <n v="207"/>
    <n v="211"/>
    <n v="661"/>
    <n v="503"/>
    <n v="154"/>
    <n v="659"/>
    <n v="734"/>
    <n v="0.34"/>
    <n v="0.77"/>
    <n v="0.98"/>
    <n v="54"/>
    <n v="221"/>
    <n v="0.64"/>
    <n v="0.08"/>
    <n v="46"/>
    <n v="85"/>
    <n v="145"/>
    <n v="86"/>
    <n v="46"/>
    <n v="15"/>
    <n v="9"/>
    <n v="61"/>
    <n v="46"/>
    <n v="95"/>
    <n v="81"/>
  </r>
  <r>
    <x v="0"/>
    <x v="3"/>
    <x v="3"/>
    <x v="0"/>
    <n v="452"/>
    <n v="0.152"/>
    <n v="206.5"/>
    <n v="467.59999999999997"/>
    <n v="850.5"/>
    <n v="0.3"/>
    <n v="0.21"/>
    <n v="0.28999999999999998"/>
    <n v="0.2"/>
    <n v="0.67"/>
    <n v="0.85"/>
    <n v="0.99"/>
    <n v="0.73"/>
    <n v="0.3"/>
    <n v="732"/>
    <n v="0.5"/>
    <n v="0.78"/>
    <n v="773"/>
    <n v="799"/>
    <n v="436"/>
    <n v="654"/>
    <n v="420"/>
    <n v="703"/>
    <n v="133"/>
    <n v="384"/>
    <n v="865"/>
    <n v="624"/>
    <n v="408"/>
    <n v="423"/>
    <n v="728"/>
    <n v="0.8"/>
    <n v="0.62"/>
    <n v="0.73"/>
    <n v="82"/>
    <n v="205"/>
    <n v="0.51"/>
    <n v="0.21"/>
    <n v="103"/>
    <n v="59"/>
    <n v="216"/>
    <n v="72"/>
    <n v="91"/>
    <n v="10"/>
    <n v="10"/>
    <n v="28"/>
    <n v="19"/>
    <n v="105"/>
    <n v="38"/>
  </r>
  <r>
    <x v="0"/>
    <x v="4"/>
    <x v="4"/>
    <x v="0"/>
    <n v="680"/>
    <n v="0.26400000000000001"/>
    <n v="242.2"/>
    <n v="468.99999999999994"/>
    <n v="700"/>
    <n v="0.26"/>
    <n v="0.13"/>
    <n v="0.37"/>
    <n v="0.24"/>
    <n v="0.79"/>
    <n v="0.96000000000000008"/>
    <n v="0.85"/>
    <n v="0.6"/>
    <n v="0.4"/>
    <n v="471"/>
    <n v="0.35"/>
    <n v="0.82"/>
    <n v="790"/>
    <n v="846"/>
    <n v="658"/>
    <n v="533"/>
    <n v="475"/>
    <n v="226"/>
    <n v="585"/>
    <n v="147"/>
    <n v="129"/>
    <n v="294"/>
    <n v="515"/>
    <n v="324"/>
    <n v="704"/>
    <n v="0.42"/>
    <n v="0.59"/>
    <n v="0.63"/>
    <n v="98"/>
    <n v="225"/>
    <n v="0.96"/>
    <n v="0.26"/>
    <n v="80"/>
    <n v="28"/>
    <n v="128"/>
    <n v="64"/>
    <n v="62"/>
    <n v="9"/>
    <n v="11"/>
    <n v="75"/>
    <n v="64"/>
    <n v="15"/>
    <n v="22"/>
  </r>
  <r>
    <x v="0"/>
    <x v="5"/>
    <x v="5"/>
    <x v="0"/>
    <n v="652"/>
    <n v="0.25600000000000001"/>
    <n v="222"/>
    <n v="352.8"/>
    <n v="552"/>
    <n v="0.24"/>
    <n v="0.1"/>
    <n v="0.4"/>
    <n v="0.26"/>
    <n v="0.67"/>
    <n v="1.1499999999999999"/>
    <n v="1.01"/>
    <n v="0.8"/>
    <n v="0.53"/>
    <n v="348"/>
    <n v="0.25"/>
    <n v="0.76"/>
    <n v="364"/>
    <n v="252"/>
    <n v="602"/>
    <n v="277"/>
    <n v="214"/>
    <n v="102"/>
    <n v="218"/>
    <n v="426"/>
    <n v="191"/>
    <n v="223"/>
    <n v="494"/>
    <n v="342"/>
    <n v="662"/>
    <n v="0.68"/>
    <n v="0.48"/>
    <n v="0.83"/>
    <n v="105"/>
    <n v="150"/>
    <n v="0.7"/>
    <n v="0.33"/>
    <n v="22"/>
    <n v="18"/>
    <n v="184"/>
    <n v="72"/>
    <n v="85"/>
    <n v="10"/>
    <n v="13"/>
    <n v="28"/>
    <n v="79"/>
    <n v="87"/>
    <n v="10"/>
  </r>
  <r>
    <x v="0"/>
    <x v="6"/>
    <x v="6"/>
    <x v="0"/>
    <n v="464"/>
    <n v="0.27500000000000002"/>
    <n v="226.79999999999998"/>
    <n v="373.79999999999995"/>
    <n v="626.5"/>
    <n v="0.43"/>
    <n v="0.05"/>
    <n v="0.45"/>
    <n v="7.0000000000000007E-2"/>
    <n v="0.62"/>
    <n v="0.84"/>
    <n v="0.71"/>
    <n v="0.81"/>
    <n v="0.5"/>
    <n v="522"/>
    <n v="0.57999999999999996"/>
    <n v="0.82"/>
    <n v="247"/>
    <n v="526"/>
    <n v="876"/>
    <n v="478"/>
    <n v="322"/>
    <n v="190"/>
    <n v="544"/>
    <n v="341"/>
    <n v="743"/>
    <n v="869"/>
    <n v="441"/>
    <n v="506"/>
    <n v="900"/>
    <n v="0.55000000000000004"/>
    <n v="0.71"/>
    <n v="0.91"/>
    <n v="210"/>
    <n v="53"/>
    <n v="0.95"/>
    <n v="0.28000000000000003"/>
    <n v="38"/>
    <n v="77"/>
    <n v="177"/>
    <n v="67"/>
    <n v="21"/>
    <n v="9"/>
    <n v="4"/>
    <n v="55"/>
    <n v="87"/>
    <n v="65"/>
    <n v="123"/>
  </r>
  <r>
    <x v="0"/>
    <x v="7"/>
    <x v="7"/>
    <x v="0"/>
    <n v="512"/>
    <n v="0.22"/>
    <n v="135.6"/>
    <n v="345.59999999999997"/>
    <n v="573.6"/>
    <n v="0.28000000000000003"/>
    <n v="0.34"/>
    <n v="0.16"/>
    <n v="0.22"/>
    <n v="0.61"/>
    <n v="1.0899999999999999"/>
    <n v="1.02"/>
    <n v="0.65"/>
    <n v="0.51"/>
    <n v="1012"/>
    <n v="0.87"/>
    <n v="0.8"/>
    <n v="155"/>
    <n v="518"/>
    <n v="387"/>
    <n v="714"/>
    <n v="372"/>
    <n v="230"/>
    <n v="496"/>
    <n v="137"/>
    <n v="102"/>
    <n v="320"/>
    <n v="203"/>
    <n v="716"/>
    <n v="929"/>
    <n v="0.72"/>
    <n v="0.54"/>
    <n v="0.96"/>
    <n v="79"/>
    <n v="108"/>
    <n v="0.46"/>
    <n v="0.24"/>
    <s v="`"/>
    <n v="47"/>
    <n v="302"/>
    <n v="75"/>
    <n v="45"/>
    <n v="11"/>
    <n v="6"/>
    <n v="9"/>
    <n v="102"/>
    <n v="136"/>
    <n v="111"/>
  </r>
  <r>
    <x v="0"/>
    <x v="8"/>
    <x v="8"/>
    <x v="0"/>
    <n v="380"/>
    <n v="0.26900000000000002"/>
    <n v="87"/>
    <n v="342"/>
    <n v="536"/>
    <n v="0.44"/>
    <n v="0.09"/>
    <n v="0.41"/>
    <n v="0.06"/>
    <n v="0.51"/>
    <n v="0.96000000000000008"/>
    <n v="0.87"/>
    <n v="0.59"/>
    <n v="0.52"/>
    <n v="1230"/>
    <n v="0.67"/>
    <n v="0.83"/>
    <n v="204"/>
    <n v="434"/>
    <n v="534"/>
    <n v="513"/>
    <n v="392"/>
    <n v="360"/>
    <n v="496"/>
    <n v="178"/>
    <n v="148"/>
    <n v="321"/>
    <n v="216"/>
    <n v="722"/>
    <n v="829"/>
    <n v="0.56000000000000005"/>
    <n v="0.53"/>
    <n v="0.7"/>
    <n v="42"/>
    <n v="116"/>
    <n v="0.82"/>
    <n v="0.2"/>
    <n v="60"/>
    <n v="79"/>
    <n v="313"/>
    <n v="67"/>
    <n v="15"/>
    <n v="9"/>
    <n v="7"/>
    <n v="56"/>
    <n v="147"/>
    <n v="47"/>
    <n v="95"/>
  </r>
  <r>
    <x v="0"/>
    <x v="9"/>
    <x v="9"/>
    <x v="0"/>
    <n v="767"/>
    <n v="0.32800000000000001"/>
    <n v="133"/>
    <n v="515.19999999999993"/>
    <n v="758.8"/>
    <n v="0.28000000000000003"/>
    <n v="0.15"/>
    <n v="0.35"/>
    <n v="0.22"/>
    <n v="0.5"/>
    <n v="0.88"/>
    <n v="0.71"/>
    <n v="0.93"/>
    <n v="0.7"/>
    <n v="1056"/>
    <n v="0.43"/>
    <n v="0.83"/>
    <n v="871"/>
    <n v="112"/>
    <n v="786"/>
    <n v="365"/>
    <n v="157"/>
    <n v="562"/>
    <n v="819"/>
    <n v="388"/>
    <n v="548"/>
    <n v="215"/>
    <n v="400"/>
    <n v="500"/>
    <n v="736"/>
    <n v="0.6"/>
    <n v="0.47"/>
    <n v="0.74"/>
    <n v="74"/>
    <n v="150"/>
    <n v="0.67"/>
    <n v="7.0000000000000007E-2"/>
    <n v="43"/>
    <n v="121"/>
    <n v="140"/>
    <n v="53"/>
    <n v="61"/>
    <n v="5"/>
    <n v="8"/>
    <n v="23"/>
    <n v="120"/>
    <n v="56"/>
    <n v="52"/>
  </r>
  <r>
    <x v="0"/>
    <x v="10"/>
    <x v="10"/>
    <x v="0"/>
    <n v="638"/>
    <n v="0.36399999999999999"/>
    <n v="176.39999999999998"/>
    <n v="496.99999999999994"/>
    <n v="697.9"/>
    <n v="0.18"/>
    <n v="0.17"/>
    <n v="0.33"/>
    <n v="0.32"/>
    <n v="0.53"/>
    <n v="1.0999999999999999"/>
    <n v="0.98"/>
    <n v="0.54"/>
    <n v="0.63"/>
    <n v="820"/>
    <n v="0.16"/>
    <n v="0.84"/>
    <n v="128"/>
    <n v="483"/>
    <n v="887"/>
    <n v="440"/>
    <n v="509"/>
    <n v="651"/>
    <n v="348"/>
    <n v="100"/>
    <n v="421"/>
    <n v="838"/>
    <n v="395"/>
    <n v="508"/>
    <n v="619"/>
    <n v="0.41"/>
    <n v="0.79"/>
    <n v="0.93"/>
    <n v="68"/>
    <n v="149"/>
    <n v="0.37"/>
    <n v="0.22"/>
    <n v="41"/>
    <n v="83"/>
    <n v="209"/>
    <n v="62"/>
    <n v="55"/>
    <n v="13"/>
    <n v="6"/>
    <n v="51"/>
    <n v="160"/>
    <n v="134"/>
    <n v="22"/>
  </r>
  <r>
    <x v="0"/>
    <x v="11"/>
    <x v="11"/>
    <x v="0"/>
    <n v="548"/>
    <n v="0.35699999999999998"/>
    <n v="183.5"/>
    <n v="314"/>
    <n v="410.5"/>
    <n v="0.42"/>
    <n v="0.16"/>
    <n v="0.34"/>
    <n v="0.08"/>
    <n v="0.8"/>
    <n v="1.1599999999999999"/>
    <n v="0.9"/>
    <n v="0.54"/>
    <n v="0.43"/>
    <n v="907"/>
    <n v="0.91"/>
    <n v="0.79"/>
    <n v="325"/>
    <n v="309"/>
    <n v="618"/>
    <n v="361"/>
    <n v="392"/>
    <n v="896"/>
    <n v="859"/>
    <n v="812"/>
    <n v="809"/>
    <n v="838"/>
    <n v="347"/>
    <n v="543"/>
    <n v="656"/>
    <n v="0.51"/>
    <n v="0.87"/>
    <n v="0.55000000000000004"/>
    <n v="68"/>
    <n v="80"/>
    <n v="0.27"/>
    <n v="7.0000000000000007E-2"/>
    <n v="30"/>
    <n v="147"/>
    <n v="81"/>
    <n v="56"/>
    <n v="56"/>
    <n v="9"/>
    <n v="4"/>
    <n v="58"/>
    <n v="75"/>
    <n v="32"/>
    <n v="32"/>
  </r>
  <r>
    <x v="1"/>
    <x v="0"/>
    <x v="0"/>
    <x v="0"/>
    <n v="381"/>
    <n v="0.31"/>
    <n v="286.40000000000003"/>
    <n v="360.8"/>
    <n v="877.6"/>
    <n v="0.2"/>
    <n v="0.26"/>
    <n v="0.24"/>
    <n v="0.3"/>
    <n v="0.75"/>
    <n v="0.78"/>
    <n v="0.76"/>
    <n v="0.68"/>
    <n v="0.49"/>
    <n v="721"/>
    <n v="0.17"/>
    <n v="0.7"/>
    <n v="185"/>
    <n v="565"/>
    <n v="514"/>
    <n v="174"/>
    <n v="140"/>
    <n v="811"/>
    <n v="454"/>
    <n v="317"/>
    <n v="585"/>
    <n v="148"/>
    <n v="553"/>
    <n v="103"/>
    <n v="728"/>
    <n v="0.63"/>
    <n v="0.56000000000000005"/>
    <n v="0.97"/>
    <n v="44"/>
    <n v="118"/>
    <n v="0.85"/>
    <n v="0.11"/>
    <n v="312"/>
    <n v="235"/>
    <n v="133"/>
    <n v="72"/>
    <n v="63"/>
    <n v="113"/>
    <n v="27"/>
    <n v="53"/>
    <n v="24"/>
    <n v="59"/>
    <n v="43"/>
  </r>
  <r>
    <x v="1"/>
    <x v="1"/>
    <x v="1"/>
    <x v="0"/>
    <n v="469"/>
    <n v="0.17299999999999999"/>
    <n v="264"/>
    <n v="376.2"/>
    <n v="589.19999999999993"/>
    <n v="0.35"/>
    <n v="0.21"/>
    <n v="0.28999999999999998"/>
    <n v="0.15"/>
    <n v="0.57999999999999996"/>
    <n v="0.85"/>
    <n v="0.81"/>
    <n v="0.7"/>
    <n v="0.62"/>
    <n v="1079"/>
    <n v="0.21"/>
    <n v="0.85"/>
    <n v="164"/>
    <n v="513"/>
    <n v="836"/>
    <n v="305"/>
    <n v="707"/>
    <n v="762"/>
    <n v="112"/>
    <n v="295"/>
    <n v="431"/>
    <n v="650"/>
    <n v="416"/>
    <n v="628"/>
    <n v="778"/>
    <n v="0.68"/>
    <n v="0.8"/>
    <n v="0.88"/>
    <n v="121"/>
    <n v="29"/>
    <n v="0.48"/>
    <n v="7.0000000000000007E-2"/>
    <n v="299"/>
    <n v="323"/>
    <n v="125"/>
    <n v="74"/>
    <n v="63"/>
    <n v="98"/>
    <n v="27"/>
    <n v="88"/>
    <n v="41"/>
    <n v="38"/>
    <n v="57"/>
  </r>
  <r>
    <x v="1"/>
    <x v="2"/>
    <x v="2"/>
    <x v="0"/>
    <n v="432"/>
    <n v="0.52200000000000002"/>
    <n v="279.59999999999997"/>
    <n v="428.4"/>
    <n v="552"/>
    <n v="0.31"/>
    <n v="0.28999999999999998"/>
    <n v="0.21"/>
    <n v="0.19"/>
    <n v="0.52"/>
    <n v="0.78"/>
    <n v="0.83"/>
    <n v="0.5"/>
    <n v="0.55000000000000004"/>
    <n v="797"/>
    <n v="0.16"/>
    <n v="0.8"/>
    <n v="206"/>
    <n v="816"/>
    <n v="720"/>
    <n v="256"/>
    <n v="148"/>
    <n v="197"/>
    <n v="775"/>
    <n v="534"/>
    <n v="574"/>
    <n v="889"/>
    <n v="236"/>
    <n v="413"/>
    <n v="1035"/>
    <n v="0.44"/>
    <n v="0.82"/>
    <n v="0.88"/>
    <n v="91"/>
    <n v="58"/>
    <n v="0.79"/>
    <n v="0.32"/>
    <n v="414"/>
    <n v="450"/>
    <n v="162"/>
    <n v="48"/>
    <n v="83"/>
    <n v="99"/>
    <n v="15"/>
    <n v="66"/>
    <n v="26"/>
    <n v="49"/>
    <n v="45"/>
  </r>
  <r>
    <x v="1"/>
    <x v="3"/>
    <x v="3"/>
    <x v="0"/>
    <n v="555"/>
    <n v="0.47"/>
    <n v="248.39999999999998"/>
    <n v="421.2"/>
    <n v="542.4"/>
    <n v="0.09"/>
    <n v="0.2"/>
    <n v="0.3"/>
    <n v="0.41"/>
    <n v="0.52"/>
    <n v="0.67"/>
    <n v="0.92"/>
    <n v="0.94"/>
    <n v="0.65"/>
    <n v="527"/>
    <n v="0.46"/>
    <n v="0.83"/>
    <n v="569"/>
    <n v="826"/>
    <n v="593"/>
    <n v="663"/>
    <n v="380"/>
    <n v="403"/>
    <n v="507"/>
    <n v="309"/>
    <n v="745"/>
    <n v="537"/>
    <n v="194"/>
    <n v="761"/>
    <n v="1076"/>
    <n v="0.79"/>
    <n v="0.78"/>
    <n v="0.53"/>
    <n v="69"/>
    <n v="104"/>
    <n v="0.76"/>
    <n v="0.28000000000000003"/>
    <n v="329"/>
    <n v="400"/>
    <n v="209"/>
    <n v="47"/>
    <n v="27"/>
    <n v="94"/>
    <n v="32"/>
    <n v="84"/>
    <n v="29"/>
    <n v="54"/>
    <n v="80"/>
  </r>
  <r>
    <x v="1"/>
    <x v="4"/>
    <x v="4"/>
    <x v="0"/>
    <n v="432"/>
    <n v="0.35499999999999998"/>
    <n v="244.8"/>
    <n v="468.8"/>
    <n v="764.80000000000007"/>
    <n v="0.28000000000000003"/>
    <n v="0.03"/>
    <n v="0.47"/>
    <n v="0.22"/>
    <n v="0.69"/>
    <n v="0.97000000000000008"/>
    <n v="0.69"/>
    <n v="0.56000000000000005"/>
    <n v="0.42"/>
    <n v="1207"/>
    <n v="0.59"/>
    <n v="0.72"/>
    <n v="125"/>
    <n v="670"/>
    <n v="265"/>
    <n v="476"/>
    <n v="714"/>
    <n v="469"/>
    <n v="462"/>
    <n v="439"/>
    <n v="345"/>
    <n v="190"/>
    <n v="573"/>
    <n v="417"/>
    <n v="769"/>
    <n v="0.8"/>
    <n v="0.53"/>
    <n v="0.54"/>
    <n v="79"/>
    <n v="132"/>
    <n v="0.81"/>
    <n v="0.37"/>
    <n v="206"/>
    <n v="261"/>
    <n v="247"/>
    <n v="5"/>
    <n v="59"/>
    <n v="111"/>
    <n v="28"/>
    <n v="62"/>
    <n v="35"/>
    <n v="53"/>
    <n v="36"/>
  </r>
  <r>
    <x v="1"/>
    <x v="5"/>
    <x v="5"/>
    <x v="0"/>
    <n v="459"/>
    <n v="0.56899999999999995"/>
    <n v="132"/>
    <n v="262.5"/>
    <n v="527"/>
    <n v="0.24"/>
    <n v="7.0000000000000007E-2"/>
    <n v="0.43"/>
    <n v="0.26"/>
    <n v="0.7"/>
    <n v="1"/>
    <n v="0.7"/>
    <n v="0.53"/>
    <n v="0.63"/>
    <n v="582"/>
    <n v="0.7"/>
    <n v="0.73"/>
    <n v="185"/>
    <n v="682"/>
    <n v="379"/>
    <n v="482"/>
    <n v="765"/>
    <n v="181"/>
    <n v="511"/>
    <n v="242"/>
    <n v="487"/>
    <n v="517"/>
    <n v="753"/>
    <n v="582"/>
    <n v="468"/>
    <n v="0.8"/>
    <n v="0.52"/>
    <n v="0.85"/>
    <n v="74"/>
    <n v="189"/>
    <n v="0.7"/>
    <n v="0.16"/>
    <n v="179"/>
    <n v="124"/>
    <n v="239"/>
    <n v="17"/>
    <n v="32"/>
    <n v="72"/>
    <n v="21"/>
    <n v="80"/>
    <n v="28"/>
    <n v="29"/>
    <n v="56"/>
  </r>
  <r>
    <x v="1"/>
    <x v="6"/>
    <x v="6"/>
    <x v="0"/>
    <n v="432"/>
    <n v="0.39200000000000002"/>
    <n v="254.4"/>
    <n v="440"/>
    <n v="880"/>
    <n v="0.27"/>
    <n v="0.11"/>
    <n v="0.39"/>
    <n v="0.23"/>
    <n v="0.79"/>
    <n v="0.75"/>
    <n v="0.88"/>
    <n v="0.84"/>
    <n v="0.35"/>
    <n v="483"/>
    <n v="0.43"/>
    <n v="0.95"/>
    <n v="268"/>
    <n v="144"/>
    <n v="566"/>
    <n v="520"/>
    <n v="183"/>
    <n v="738"/>
    <n v="720"/>
    <n v="233"/>
    <n v="366"/>
    <n v="289"/>
    <n v="816"/>
    <n v="534"/>
    <n v="422"/>
    <n v="0.38"/>
    <n v="0.89"/>
    <n v="0.93"/>
    <n v="137"/>
    <n v="66"/>
    <n v="0.57999999999999996"/>
    <n v="0.35"/>
    <n v="156"/>
    <n v="107"/>
    <n v="331"/>
    <n v="74"/>
    <n v="63"/>
    <n v="88"/>
    <n v="51"/>
    <n v="44"/>
    <n v="28"/>
    <n v="96"/>
    <n v="41"/>
  </r>
  <r>
    <x v="1"/>
    <x v="7"/>
    <x v="7"/>
    <x v="0"/>
    <n v="658"/>
    <n v="0.24199999999999999"/>
    <n v="280"/>
    <n v="441"/>
    <n v="753.19999999999993"/>
    <n v="0.28000000000000003"/>
    <n v="0.2"/>
    <n v="0.3"/>
    <n v="0.22"/>
    <n v="0.62"/>
    <n v="0.96000000000000008"/>
    <n v="1.04"/>
    <n v="0.81"/>
    <n v="0.38"/>
    <n v="566"/>
    <n v="0.34"/>
    <n v="0.94"/>
    <n v="216"/>
    <n v="600"/>
    <n v="610"/>
    <n v="516"/>
    <n v="825"/>
    <n v="804"/>
    <n v="808"/>
    <n v="114"/>
    <n v="181"/>
    <n v="620"/>
    <n v="465"/>
    <n v="575"/>
    <n v="571"/>
    <n v="0.74"/>
    <n v="0.64"/>
    <n v="0.67"/>
    <n v="234"/>
    <n v="110"/>
    <n v="0.3"/>
    <n v="0.14000000000000001"/>
    <n v="169"/>
    <n v="250"/>
    <n v="338"/>
    <n v="86"/>
    <n v="36"/>
    <n v="50"/>
    <n v="44"/>
    <n v="62"/>
    <n v="21"/>
    <n v="72"/>
    <n v="61"/>
  </r>
  <r>
    <x v="1"/>
    <x v="8"/>
    <x v="8"/>
    <x v="0"/>
    <n v="579"/>
    <n v="0.46800000000000003"/>
    <n v="318.40000000000003"/>
    <n v="676"/>
    <n v="820"/>
    <n v="0.24"/>
    <n v="0.36"/>
    <n v="0.14000000000000001"/>
    <n v="0.26"/>
    <n v="0.52"/>
    <n v="1.2"/>
    <n v="1.05"/>
    <n v="0.8"/>
    <n v="0.49"/>
    <n v="933"/>
    <n v="0.36"/>
    <n v="0.94"/>
    <n v="707"/>
    <n v="223"/>
    <n v="746"/>
    <n v="767"/>
    <n v="422"/>
    <n v="636"/>
    <n v="618"/>
    <n v="705"/>
    <n v="403"/>
    <n v="486"/>
    <n v="194"/>
    <n v="855"/>
    <n v="974"/>
    <n v="0.69"/>
    <n v="0.52"/>
    <n v="0.69"/>
    <n v="205"/>
    <n v="51"/>
    <n v="0.5"/>
    <n v="0.13"/>
    <n v="213"/>
    <n v="583"/>
    <n v="243"/>
    <n v="44"/>
    <n v="68"/>
    <n v="66"/>
    <n v="39"/>
    <n v="40"/>
    <n v="26"/>
    <n v="71"/>
    <n v="17"/>
  </r>
  <r>
    <x v="1"/>
    <x v="9"/>
    <x v="9"/>
    <x v="0"/>
    <n v="622"/>
    <n v="0.42799999999999999"/>
    <n v="159.5"/>
    <n v="425"/>
    <n v="509.5"/>
    <n v="0.11"/>
    <n v="0.09"/>
    <n v="0.41"/>
    <n v="0.39"/>
    <n v="0.75"/>
    <n v="0.73"/>
    <n v="0.93"/>
    <n v="0.93"/>
    <n v="0.48"/>
    <n v="696"/>
    <n v="0.9"/>
    <n v="0.79"/>
    <n v="809"/>
    <n v="516"/>
    <n v="498"/>
    <n v="233"/>
    <n v="318"/>
    <n v="682"/>
    <n v="509"/>
    <n v="459"/>
    <n v="657"/>
    <n v="130"/>
    <n v="236"/>
    <n v="761"/>
    <n v="1050"/>
    <n v="0.76"/>
    <n v="0.52"/>
    <n v="0.8"/>
    <n v="147"/>
    <n v="54"/>
    <n v="0.66"/>
    <n v="0.2"/>
    <n v="153"/>
    <n v="556"/>
    <n v="241"/>
    <n v="43"/>
    <n v="12"/>
    <n v="62"/>
    <n v="56"/>
    <n v="58"/>
    <n v="29"/>
    <n v="76"/>
    <n v="52"/>
  </r>
  <r>
    <x v="1"/>
    <x v="10"/>
    <x v="10"/>
    <x v="0"/>
    <n v="477"/>
    <n v="0.32600000000000001"/>
    <n v="356"/>
    <n v="568"/>
    <n v="875.2"/>
    <n v="0.38"/>
    <n v="0.34"/>
    <n v="0.16"/>
    <n v="0.12"/>
    <n v="0.57999999999999996"/>
    <n v="0.97000000000000008"/>
    <n v="0.71"/>
    <n v="0.64"/>
    <n v="0.48"/>
    <n v="842"/>
    <n v="0.86"/>
    <n v="0.92"/>
    <n v="302"/>
    <n v="467"/>
    <n v="668"/>
    <n v="286"/>
    <n v="547"/>
    <n v="867"/>
    <n v="671"/>
    <n v="364"/>
    <n v="545"/>
    <n v="639"/>
    <n v="472"/>
    <n v="583"/>
    <n v="632"/>
    <n v="0.52"/>
    <n v="0.85"/>
    <n v="0.87"/>
    <n v="211"/>
    <n v="165"/>
    <n v="0.79"/>
    <n v="0.2"/>
    <n v="131"/>
    <n v="382"/>
    <n v="177"/>
    <n v="17"/>
    <n v="32"/>
    <n v="63"/>
    <n v="44"/>
    <n v="36"/>
    <n v="15"/>
    <n v="87"/>
    <n v="39"/>
  </r>
  <r>
    <x v="1"/>
    <x v="11"/>
    <x v="11"/>
    <x v="0"/>
    <n v="590"/>
    <n v="0.372"/>
    <n v="304.8"/>
    <n v="376.8"/>
    <n v="757.19999999999993"/>
    <n v="0.27"/>
    <n v="0.22"/>
    <n v="0.28000000000000003"/>
    <n v="0.23"/>
    <n v="0.78"/>
    <n v="1.1199999999999999"/>
    <n v="0.85"/>
    <n v="0.92"/>
    <n v="0.69"/>
    <n v="1062"/>
    <n v="0.94"/>
    <n v="0.86"/>
    <n v="629"/>
    <n v="895"/>
    <n v="149"/>
    <n v="498"/>
    <n v="274"/>
    <n v="555"/>
    <n v="840"/>
    <n v="511"/>
    <n v="744"/>
    <n v="377"/>
    <n v="343"/>
    <n v="486"/>
    <n v="802"/>
    <n v="0.59"/>
    <n v="0.75"/>
    <n v="0.51"/>
    <n v="102"/>
    <n v="137"/>
    <n v="0.85"/>
    <n v="0.28000000000000003"/>
    <n v="171"/>
    <n v="380"/>
    <n v="142"/>
    <n v="19"/>
    <n v="32"/>
    <n v="47"/>
    <n v="44"/>
    <n v="71"/>
    <n v="32"/>
    <n v="66"/>
    <n v="54"/>
  </r>
  <r>
    <x v="0"/>
    <x v="0"/>
    <x v="0"/>
    <x v="1"/>
    <n v="272"/>
    <n v="0.30400000000000005"/>
    <n v="212.8"/>
    <n v="311.20000000000005"/>
    <n v="399.20000000000005"/>
    <n v="0.22"/>
    <n v="0.27"/>
    <n v="0.23"/>
    <n v="0.28000000000000003"/>
    <n v="0.52"/>
    <n v="1.0699999999999998"/>
    <n v="0.68"/>
    <n v="0.79"/>
    <n v="0.12"/>
    <n v="207"/>
    <n v="0.25"/>
    <n v="0.86"/>
    <n v="467"/>
    <n v="441"/>
    <n v="500"/>
    <n v="642"/>
    <n v="272"/>
    <n v="878"/>
    <n v="246"/>
    <n v="187"/>
    <n v="536"/>
    <n v="849"/>
    <n v="45"/>
    <n v="32"/>
    <n v="262"/>
    <n v="0.31"/>
    <n v="0.59"/>
    <n v="0.93"/>
    <n v="836"/>
    <n v="649"/>
    <n v="0.43"/>
    <n v="0.26"/>
    <n v="46"/>
    <n v="63"/>
    <n v="150"/>
    <n v="62"/>
    <n v="55"/>
    <n v="13"/>
    <n v="6"/>
    <n v="51"/>
    <n v="160"/>
    <n v="134"/>
    <n v="22"/>
  </r>
  <r>
    <x v="0"/>
    <x v="1"/>
    <x v="1"/>
    <x v="1"/>
    <n v="548"/>
    <n v="0.30399999999999999"/>
    <n v="72.800000000000011"/>
    <n v="143"/>
    <n v="216"/>
    <n v="0.34"/>
    <n v="0.38"/>
    <n v="0.12"/>
    <n v="0.16"/>
    <n v="0.61"/>
    <n v="0.70000000000000007"/>
    <n v="0.92"/>
    <n v="0.65"/>
    <n v="0.15"/>
    <n v="271"/>
    <n v="0.33"/>
    <n v="0.93"/>
    <n v="520"/>
    <n v="547"/>
    <n v="779"/>
    <n v="688"/>
    <n v="421"/>
    <n v="161"/>
    <n v="293"/>
    <n v="849"/>
    <n v="419"/>
    <n v="169"/>
    <n v="43"/>
    <n v="127"/>
    <n v="61"/>
    <n v="0.4"/>
    <n v="0.48"/>
    <n v="0.9"/>
    <n v="599"/>
    <n v="623"/>
    <n v="0.38"/>
    <n v="0.13"/>
    <n v="51"/>
    <n v="65"/>
    <n v="132"/>
    <n v="56"/>
    <n v="56"/>
    <n v="9"/>
    <n v="4"/>
    <n v="58"/>
    <n v="75"/>
    <n v="32"/>
    <n v="32"/>
  </r>
  <r>
    <x v="0"/>
    <x v="2"/>
    <x v="2"/>
    <x v="1"/>
    <n v="536"/>
    <n v="0.222"/>
    <n v="144.5"/>
    <n v="294.5"/>
    <n v="610"/>
    <n v="0.09"/>
    <n v="0.11"/>
    <n v="0.39"/>
    <n v="0.41"/>
    <n v="0.77"/>
    <n v="1.0999999999999999"/>
    <n v="0.87"/>
    <n v="0.56999999999999995"/>
    <n v="0.23"/>
    <n v="281"/>
    <n v="0.98"/>
    <n v="0.77"/>
    <n v="248"/>
    <n v="363"/>
    <n v="792"/>
    <n v="234"/>
    <n v="290"/>
    <n v="465"/>
    <n v="423"/>
    <n v="731"/>
    <n v="253"/>
    <n v="364"/>
    <n v="49"/>
    <n v="90"/>
    <n v="232"/>
    <n v="0.45"/>
    <n v="0.46"/>
    <n v="0.63"/>
    <n v="484"/>
    <n v="595"/>
    <n v="0.72"/>
    <n v="0.1"/>
    <n v="33"/>
    <n v="101"/>
    <n v="108"/>
    <n v="42"/>
    <n v="22"/>
    <n v="64"/>
    <n v="77"/>
    <n v="137"/>
    <n v="12"/>
    <n v="18"/>
    <n v="50"/>
  </r>
  <r>
    <x v="0"/>
    <x v="3"/>
    <x v="3"/>
    <x v="1"/>
    <n v="602"/>
    <n v="0.18099999999999999"/>
    <n v="88.5"/>
    <n v="200.40000000000003"/>
    <n v="364.5"/>
    <n v="0.36"/>
    <n v="0.24"/>
    <n v="0.26"/>
    <n v="0.14000000000000001"/>
    <n v="0.65"/>
    <n v="1.19"/>
    <n v="0.82"/>
    <n v="0.87"/>
    <n v="0.12"/>
    <n v="244"/>
    <n v="0.45"/>
    <n v="0.78"/>
    <n v="676"/>
    <n v="218"/>
    <n v="593"/>
    <n v="853"/>
    <n v="614"/>
    <n v="268"/>
    <n v="878"/>
    <n v="598"/>
    <n v="630"/>
    <n v="112"/>
    <n v="90"/>
    <n v="81"/>
    <n v="64"/>
    <n v="0.5"/>
    <n v="0.89"/>
    <n v="0.5"/>
    <n v="427"/>
    <n v="725"/>
    <n v="0.59"/>
    <n v="0.13"/>
    <n v="46"/>
    <n v="112"/>
    <n v="246"/>
    <n v="34"/>
    <n v="47"/>
    <n v="84"/>
    <n v="22"/>
    <n v="101"/>
    <n v="49"/>
    <n v="26"/>
    <n v="75"/>
  </r>
  <r>
    <x v="0"/>
    <x v="4"/>
    <x v="4"/>
    <x v="1"/>
    <n v="830"/>
    <n v="0.16200000000000001"/>
    <n v="103.80000000000001"/>
    <n v="201.00000000000006"/>
    <n v="300"/>
    <n v="0.2"/>
    <n v="0.28000000000000003"/>
    <n v="0.22"/>
    <n v="0.3"/>
    <n v="0.79"/>
    <n v="1.0899999999999999"/>
    <n v="0.88"/>
    <n v="0.69"/>
    <n v="0.15"/>
    <n v="157"/>
    <n v="0.96"/>
    <n v="0.75"/>
    <n v="400"/>
    <n v="259"/>
    <n v="345"/>
    <n v="549"/>
    <n v="344"/>
    <n v="227"/>
    <n v="506"/>
    <n v="553"/>
    <n v="184"/>
    <n v="733"/>
    <n v="154"/>
    <n v="49"/>
    <n v="38"/>
    <n v="0.43"/>
    <n v="0.56000000000000005"/>
    <n v="0.9"/>
    <n v="476"/>
    <n v="673"/>
    <n v="0.62"/>
    <n v="0.2"/>
    <n v="55"/>
    <n v="83"/>
    <n v="204"/>
    <n v="25"/>
    <n v="16"/>
    <n v="91"/>
    <n v="75"/>
    <n v="116"/>
    <n v="49"/>
    <n v="22"/>
    <n v="73"/>
  </r>
  <r>
    <x v="0"/>
    <x v="5"/>
    <x v="5"/>
    <x v="1"/>
    <n v="884"/>
    <n v="0.157"/>
    <n v="148"/>
    <n v="235.2"/>
    <n v="368"/>
    <n v="0.11"/>
    <n v="0.27"/>
    <n v="0.23"/>
    <n v="0.39"/>
    <n v="0.8"/>
    <n v="1.17"/>
    <n v="0.94"/>
    <n v="0.87"/>
    <n v="0.17"/>
    <n v="116"/>
    <n v="0.96"/>
    <n v="0.81"/>
    <n v="174"/>
    <n v="357"/>
    <n v="218"/>
    <n v="672"/>
    <n v="663"/>
    <n v="688"/>
    <n v="627"/>
    <n v="312"/>
    <n v="224"/>
    <n v="785"/>
    <n v="165"/>
    <n v="52"/>
    <n v="176"/>
    <n v="0.56999999999999995"/>
    <n v="0.42"/>
    <n v="0.81"/>
    <n v="546"/>
    <n v="500"/>
    <n v="0.43"/>
    <n v="0.33"/>
    <n v="52"/>
    <n v="32"/>
    <n v="108"/>
    <n v="70"/>
    <n v="7"/>
    <n v="69"/>
    <n v="86"/>
    <n v="67"/>
    <n v="72"/>
    <n v="27"/>
    <n v="28"/>
  </r>
  <r>
    <x v="0"/>
    <x v="6"/>
    <x v="6"/>
    <x v="1"/>
    <n v="626"/>
    <n v="0.30500000000000005"/>
    <n v="97.200000000000017"/>
    <n v="160.20000000000005"/>
    <n v="268.5"/>
    <n v="7.0000000000000007E-2"/>
    <n v="0.24"/>
    <n v="0.26"/>
    <n v="0.43"/>
    <n v="0.67"/>
    <n v="0.70000000000000007"/>
    <n v="1"/>
    <n v="0.65"/>
    <n v="0.16"/>
    <n v="174"/>
    <n v="0.33"/>
    <n v="0.78"/>
    <n v="811"/>
    <n v="494"/>
    <n v="645"/>
    <n v="459"/>
    <n v="338"/>
    <n v="357"/>
    <n v="657"/>
    <n v="577"/>
    <n v="815"/>
    <n v="672"/>
    <n v="97"/>
    <n v="112"/>
    <n v="79"/>
    <n v="0.59"/>
    <n v="0.74"/>
    <n v="0.5"/>
    <n v="489"/>
    <n v="382"/>
    <n v="0.62"/>
    <n v="0.3"/>
    <n v="40"/>
    <n v="24"/>
    <n v="276"/>
    <n v="71"/>
    <n v="47"/>
    <n v="110"/>
    <n v="112"/>
    <n v="78"/>
    <n v="39"/>
    <n v="26"/>
    <n v="73"/>
  </r>
  <r>
    <x v="0"/>
    <x v="7"/>
    <x v="7"/>
    <x v="1"/>
    <n v="632"/>
    <n v="0.191"/>
    <n v="90.4"/>
    <n v="230.40000000000003"/>
    <n v="382.4"/>
    <n v="0.03"/>
    <n v="0.28000000000000003"/>
    <n v="0.22"/>
    <n v="0.47"/>
    <n v="0.7"/>
    <n v="0.92"/>
    <n v="0.75"/>
    <n v="0.7"/>
    <n v="0.18"/>
    <n v="338"/>
    <n v="0.74"/>
    <n v="0.9"/>
    <n v="467"/>
    <n v="568"/>
    <n v="411"/>
    <n v="335"/>
    <n v="649"/>
    <n v="677"/>
    <n v="537"/>
    <n v="608"/>
    <n v="617"/>
    <n v="484"/>
    <n v="11"/>
    <n v="158"/>
    <n v="164"/>
    <n v="0.36"/>
    <n v="0.49"/>
    <n v="0.81"/>
    <n v="579"/>
    <n v="305"/>
    <n v="0.78"/>
    <n v="0.3"/>
    <n v="45"/>
    <n v="28"/>
    <n v="252"/>
    <n v="40"/>
    <n v="20"/>
    <n v="82"/>
    <n v="14"/>
    <n v="47"/>
    <n v="29"/>
    <n v="21"/>
    <n v="32"/>
  </r>
  <r>
    <x v="0"/>
    <x v="8"/>
    <x v="8"/>
    <x v="1"/>
    <n v="518"/>
    <n v="0.29900000000000004"/>
    <n v="87"/>
    <n v="342"/>
    <n v="536"/>
    <n v="0.2"/>
    <n v="0.09"/>
    <n v="0.41"/>
    <n v="0.3"/>
    <n v="0.65"/>
    <n v="1.02"/>
    <n v="0.77"/>
    <n v="0.57999999999999996"/>
    <n v="0.16"/>
    <n v="410"/>
    <n v="0.19"/>
    <n v="0.88"/>
    <n v="769"/>
    <n v="484"/>
    <n v="862"/>
    <n v="833"/>
    <n v="654"/>
    <n v="284"/>
    <n v="253"/>
    <n v="439"/>
    <n v="450"/>
    <n v="491"/>
    <n v="14"/>
    <n v="138"/>
    <n v="158"/>
    <n v="0.72"/>
    <n v="0.44"/>
    <n v="0.87"/>
    <n v="374"/>
    <n v="409"/>
    <n v="0.98"/>
    <n v="0.3"/>
    <n v="97"/>
    <n v="103"/>
    <n v="192"/>
    <n v="38"/>
    <n v="37"/>
    <n v="45"/>
    <n v="109"/>
    <n v="119"/>
    <n v="55"/>
    <n v="10"/>
    <n v="74"/>
  </r>
  <r>
    <x v="0"/>
    <x v="9"/>
    <x v="9"/>
    <x v="1"/>
    <n v="554"/>
    <n v="0.35699999999999998"/>
    <n v="57"/>
    <n v="220.80000000000007"/>
    <n v="325.20000000000005"/>
    <n v="0.28999999999999998"/>
    <n v="0.31"/>
    <n v="0.19"/>
    <n v="0.21"/>
    <n v="0.66"/>
    <n v="0.85"/>
    <n v="0.77"/>
    <n v="0.66"/>
    <n v="0.21"/>
    <n v="352"/>
    <n v="0.32"/>
    <n v="0.91"/>
    <n v="765"/>
    <n v="375"/>
    <n v="603"/>
    <n v="236"/>
    <n v="178"/>
    <n v="739"/>
    <n v="188"/>
    <n v="142"/>
    <n v="582"/>
    <n v="664"/>
    <n v="45"/>
    <n v="118"/>
    <n v="120"/>
    <n v="0.47"/>
    <n v="0.43"/>
    <n v="0.64"/>
    <n v="200"/>
    <n v="500"/>
    <n v="0.96"/>
    <n v="0.17"/>
    <n v="110"/>
    <n v="144"/>
    <n v="228"/>
    <n v="7"/>
    <n v="11"/>
    <n v="16"/>
    <n v="11"/>
    <n v="87"/>
    <n v="45"/>
    <n v="4"/>
    <n v="33"/>
  </r>
  <r>
    <x v="0"/>
    <x v="10"/>
    <x v="10"/>
    <x v="1"/>
    <n v="794"/>
    <n v="0.21199999999999999"/>
    <n v="75.600000000000023"/>
    <n v="213.00000000000006"/>
    <n v="299.10000000000002"/>
    <n v="0.21"/>
    <n v="0.35"/>
    <n v="0.15"/>
    <n v="0.28999999999999998"/>
    <n v="0.6"/>
    <n v="0.74"/>
    <n v="0.91"/>
    <n v="0.86"/>
    <n v="0.21"/>
    <n v="274"/>
    <n v="0.84"/>
    <n v="0.95"/>
    <n v="435"/>
    <n v="140"/>
    <n v="181"/>
    <n v="549"/>
    <n v="193"/>
    <n v="888"/>
    <n v="375"/>
    <n v="104"/>
    <n v="875"/>
    <n v="211"/>
    <n v="112"/>
    <n v="127"/>
    <n v="165"/>
    <n v="0.61"/>
    <n v="0.82"/>
    <n v="0.55000000000000004"/>
    <n v="215"/>
    <n v="401"/>
    <n v="0.72"/>
    <n v="0.23"/>
    <n v="90"/>
    <n v="100"/>
    <n v="294"/>
    <n v="9"/>
    <n v="51"/>
    <n v="57"/>
    <n v="37"/>
    <n v="99"/>
    <n v="12"/>
    <n v="4"/>
    <n v="78"/>
  </r>
  <r>
    <x v="0"/>
    <x v="11"/>
    <x v="11"/>
    <x v="1"/>
    <n v="636"/>
    <n v="0.38600000000000001"/>
    <n v="183.5"/>
    <n v="314"/>
    <n v="410.5"/>
    <n v="0.26"/>
    <n v="0.2"/>
    <n v="0.3"/>
    <n v="0.24"/>
    <n v="0.61"/>
    <n v="1.0999999999999999"/>
    <n v="0.78"/>
    <n v="0.59"/>
    <n v="0.14000000000000001"/>
    <n v="303"/>
    <n v="0.43"/>
    <n v="0.76"/>
    <n v="715"/>
    <n v="783"/>
    <n v="831"/>
    <n v="119"/>
    <n v="874"/>
    <n v="701"/>
    <n v="432"/>
    <n v="448"/>
    <n v="487"/>
    <n v="898"/>
    <n v="143"/>
    <n v="201"/>
    <n v="164"/>
    <n v="0.55000000000000004"/>
    <n v="0.9"/>
    <n v="0.51"/>
    <n v="351"/>
    <n v="195"/>
    <n v="0.55000000000000004"/>
    <n v="0.24"/>
    <n v="58"/>
    <n v="95"/>
    <n v="270"/>
    <n v="53"/>
    <n v="42"/>
    <n v="35"/>
    <n v="48"/>
    <n v="50"/>
    <n v="35"/>
    <n v="8"/>
    <n v="33"/>
  </r>
  <r>
    <x v="1"/>
    <x v="0"/>
    <x v="0"/>
    <x v="1"/>
    <n v="464"/>
    <n v="0.184"/>
    <n v="71.599999999999966"/>
    <n v="90.199999999999989"/>
    <n v="219.39999999999998"/>
    <n v="0.16"/>
    <n v="0.42"/>
    <n v="0.08"/>
    <n v="0.34"/>
    <n v="0.75"/>
    <n v="0.82000000000000006"/>
    <n v="0.85"/>
    <n v="0.6"/>
    <n v="0.14000000000000001"/>
    <n v="241"/>
    <n v="0.52"/>
    <n v="0.91"/>
    <n v="579"/>
    <n v="447"/>
    <n v="122"/>
    <n v="399"/>
    <n v="552"/>
    <n v="593"/>
    <n v="815"/>
    <n v="623"/>
    <n v="747"/>
    <n v="605"/>
    <n v="106"/>
    <n v="181"/>
    <n v="161"/>
    <n v="0.61"/>
    <n v="0.41"/>
    <n v="0.78"/>
    <n v="231"/>
    <n v="301"/>
    <n v="0.5"/>
    <n v="0.33"/>
    <n v="284"/>
    <n v="535"/>
    <n v="361"/>
    <n v="48"/>
    <n v="101"/>
    <n v="34"/>
    <n v="120"/>
    <n v="21"/>
    <n v="59"/>
    <n v="40"/>
    <n v="59"/>
  </r>
  <r>
    <x v="1"/>
    <x v="1"/>
    <x v="1"/>
    <x v="1"/>
    <n v="616"/>
    <n v="0.28699999999999998"/>
    <n v="176"/>
    <n v="250.8"/>
    <n v="392.80000000000007"/>
    <n v="0.17"/>
    <n v="0.18"/>
    <n v="0.32"/>
    <n v="0.33"/>
    <n v="0.66"/>
    <n v="0.98000000000000009"/>
    <n v="0.67"/>
    <n v="0.92"/>
    <n v="0.18"/>
    <n v="360"/>
    <n v="0.73"/>
    <n v="0.83"/>
    <n v="494"/>
    <n v="332"/>
    <n v="348"/>
    <n v="207"/>
    <n v="107"/>
    <n v="171"/>
    <n v="521"/>
    <n v="769"/>
    <n v="507"/>
    <n v="614"/>
    <n v="162"/>
    <n v="161"/>
    <n v="87"/>
    <n v="0.69"/>
    <n v="0.42"/>
    <n v="0.75"/>
    <n v="429"/>
    <n v="254"/>
    <n v="0.54"/>
    <n v="0.23"/>
    <n v="337"/>
    <n v="388"/>
    <n v="358"/>
    <n v="99"/>
    <n v="75"/>
    <n v="23"/>
    <n v="78"/>
    <n v="20"/>
    <n v="42"/>
    <n v="34"/>
    <n v="30"/>
  </r>
  <r>
    <x v="1"/>
    <x v="2"/>
    <x v="2"/>
    <x v="1"/>
    <n v="546"/>
    <n v="0.29000000000000004"/>
    <n v="186.40000000000003"/>
    <n v="285.60000000000002"/>
    <n v="368"/>
    <n v="0.15"/>
    <n v="0.28000000000000003"/>
    <n v="0.22"/>
    <n v="0.35"/>
    <n v="0.59"/>
    <n v="0.98000000000000009"/>
    <n v="1"/>
    <n v="0.83"/>
    <n v="0.23"/>
    <n v="266"/>
    <n v="0.84"/>
    <n v="0.93"/>
    <n v="797"/>
    <n v="560"/>
    <n v="344"/>
    <n v="822"/>
    <n v="554"/>
    <n v="683"/>
    <n v="195"/>
    <n v="271"/>
    <n v="297"/>
    <n v="200"/>
    <n v="63"/>
    <n v="219"/>
    <n v="169"/>
    <n v="0.4"/>
    <n v="0.81"/>
    <n v="0.83"/>
    <n v="559"/>
    <n v="216"/>
    <n v="0.56999999999999995"/>
    <n v="0.1"/>
    <n v="502"/>
    <n v="641"/>
    <n v="398"/>
    <n v="48"/>
    <n v="36"/>
    <n v="25"/>
    <n v="32"/>
    <n v="46"/>
    <n v="24"/>
    <n v="27"/>
    <n v="110"/>
  </r>
  <r>
    <x v="1"/>
    <x v="3"/>
    <x v="3"/>
    <x v="1"/>
    <n v="733"/>
    <n v="0.499"/>
    <n v="165.60000000000002"/>
    <n v="280.8"/>
    <n v="361.6"/>
    <n v="0.09"/>
    <n v="0.44"/>
    <n v="0.06"/>
    <n v="0.41"/>
    <n v="0.53"/>
    <n v="1.01"/>
    <n v="1.07"/>
    <n v="0.74"/>
    <n v="0.12"/>
    <n v="176"/>
    <n v="0.74"/>
    <n v="0.83"/>
    <n v="853"/>
    <n v="156"/>
    <n v="827"/>
    <n v="214"/>
    <n v="450"/>
    <n v="624"/>
    <n v="434"/>
    <n v="568"/>
    <n v="555"/>
    <n v="687"/>
    <n v="84"/>
    <n v="73"/>
    <n v="147"/>
    <n v="0.67"/>
    <n v="0.52"/>
    <n v="0.75"/>
    <n v="456"/>
    <n v="312"/>
    <n v="0.98"/>
    <n v="0.23"/>
    <n v="473"/>
    <n v="626"/>
    <n v="512"/>
    <n v="86"/>
    <n v="101"/>
    <n v="17"/>
    <n v="140"/>
    <n v="37"/>
    <n v="71"/>
    <n v="25"/>
    <n v="10"/>
  </r>
  <r>
    <x v="1"/>
    <x v="4"/>
    <x v="4"/>
    <x v="1"/>
    <n v="539"/>
    <n v="0.38500000000000001"/>
    <n v="61.199999999999989"/>
    <n v="117.19999999999999"/>
    <n v="191.19999999999993"/>
    <n v="0.34"/>
    <n v="0.28000000000000003"/>
    <n v="0.22"/>
    <n v="0.16"/>
    <n v="0.53"/>
    <n v="0.8"/>
    <n v="1.08"/>
    <n v="0.73"/>
    <n v="0.21"/>
    <n v="403"/>
    <n v="0.88"/>
    <n v="0.81"/>
    <n v="749"/>
    <n v="374"/>
    <n v="540"/>
    <n v="387"/>
    <n v="848"/>
    <n v="862"/>
    <n v="552"/>
    <n v="542"/>
    <n v="739"/>
    <n v="527"/>
    <n v="126"/>
    <n v="232"/>
    <n v="96"/>
    <n v="0.71"/>
    <n v="0.84"/>
    <n v="0.92"/>
    <n v="334"/>
    <n v="526"/>
    <n v="0.38"/>
    <n v="0.17"/>
    <n v="234"/>
    <n v="301"/>
    <n v="668"/>
    <n v="47"/>
    <n v="82"/>
    <n v="10"/>
    <n v="123"/>
    <n v="36"/>
    <n v="111"/>
    <n v="33"/>
    <n v="50"/>
  </r>
  <r>
    <x v="1"/>
    <x v="5"/>
    <x v="5"/>
    <x v="1"/>
    <n v="621"/>
    <n v="0.31399999999999995"/>
    <n v="132"/>
    <n v="262.5"/>
    <n v="527"/>
    <n v="0.05"/>
    <n v="0.43"/>
    <n v="7.0000000000000007E-2"/>
    <n v="0.45"/>
    <n v="0.72"/>
    <n v="1.0699999999999998"/>
    <n v="1.02"/>
    <n v="0.76"/>
    <n v="0.2"/>
    <n v="194"/>
    <n v="0.19"/>
    <n v="0.9"/>
    <n v="657"/>
    <n v="524"/>
    <n v="344"/>
    <n v="703"/>
    <n v="525"/>
    <n v="821"/>
    <n v="196"/>
    <n v="809"/>
    <n v="721"/>
    <n v="690"/>
    <n v="103"/>
    <n v="201"/>
    <n v="83"/>
    <n v="0.31"/>
    <n v="0.71"/>
    <n v="0.77"/>
    <n v="361"/>
    <n v="510"/>
    <n v="0.82"/>
    <n v="0.2"/>
    <n v="90"/>
    <n v="100"/>
    <n v="848"/>
    <n v="40"/>
    <n v="84"/>
    <n v="53"/>
    <n v="134"/>
    <n v="34"/>
    <n v="67"/>
    <n v="40"/>
    <n v="38"/>
  </r>
  <r>
    <x v="1"/>
    <x v="6"/>
    <x v="6"/>
    <x v="1"/>
    <n v="533"/>
    <n v="0.42200000000000004"/>
    <n v="63.599999999999994"/>
    <n v="110"/>
    <n v="220"/>
    <n v="0.1"/>
    <n v="0.24"/>
    <n v="0.26"/>
    <n v="0.4"/>
    <n v="0.72"/>
    <n v="0.81"/>
    <n v="1.06"/>
    <n v="0.53"/>
    <n v="0.2"/>
    <n v="162"/>
    <n v="0.63"/>
    <n v="0.88"/>
    <n v="152"/>
    <n v="358"/>
    <n v="172"/>
    <n v="449"/>
    <n v="868"/>
    <n v="582"/>
    <n v="319"/>
    <n v="444"/>
    <n v="304"/>
    <n v="117"/>
    <n v="53"/>
    <n v="219"/>
    <n v="100"/>
    <n v="0.56000000000000005"/>
    <n v="0.68"/>
    <n v="0.91"/>
    <n v="513"/>
    <n v="585"/>
    <n v="0.76"/>
    <n v="0.11"/>
    <n v="84"/>
    <n v="50"/>
    <n v="854"/>
    <n v="107"/>
    <n v="64"/>
    <n v="8"/>
    <n v="29"/>
    <n v="40"/>
    <n v="55"/>
    <n v="28"/>
    <n v="94"/>
  </r>
  <r>
    <x v="1"/>
    <x v="7"/>
    <x v="7"/>
    <x v="1"/>
    <n v="869"/>
    <n v="0.42499999999999999"/>
    <n v="120"/>
    <n v="189"/>
    <n v="322.80000000000007"/>
    <n v="0.13"/>
    <n v="0.26"/>
    <n v="0.24"/>
    <n v="0.37"/>
    <n v="0.73"/>
    <n v="0.71000000000000008"/>
    <n v="0.86"/>
    <n v="0.76"/>
    <n v="0.2"/>
    <n v="189"/>
    <n v="0.8"/>
    <n v="0.81"/>
    <n v="894"/>
    <n v="508"/>
    <n v="445"/>
    <n v="861"/>
    <n v="411"/>
    <n v="730"/>
    <n v="860"/>
    <n v="444"/>
    <n v="832"/>
    <n v="273"/>
    <n v="182"/>
    <n v="99"/>
    <n v="134"/>
    <n v="0.6"/>
    <n v="0.55000000000000004"/>
    <n v="0.63"/>
    <n v="664"/>
    <n v="464"/>
    <n v="0.39"/>
    <n v="0.34"/>
    <n v="252"/>
    <n v="150"/>
    <n v="872"/>
    <n v="100"/>
    <n v="66"/>
    <n v="51"/>
    <n v="40"/>
    <n v="37"/>
    <n v="11"/>
    <n v="34"/>
    <n v="82"/>
  </r>
  <r>
    <x v="1"/>
    <x v="8"/>
    <x v="8"/>
    <x v="1"/>
    <n v="731"/>
    <n v="0.26400000000000001"/>
    <n v="79.599999999999966"/>
    <n v="169"/>
    <n v="205"/>
    <n v="0.21"/>
    <n v="0.3"/>
    <n v="0.2"/>
    <n v="0.28999999999999998"/>
    <n v="0.56000000000000005"/>
    <n v="0.67"/>
    <n v="0.69"/>
    <n v="0.8"/>
    <n v="0.16"/>
    <n v="312"/>
    <n v="0.55000000000000004"/>
    <n v="0.79"/>
    <n v="391"/>
    <n v="276"/>
    <n v="449"/>
    <n v="152"/>
    <n v="297"/>
    <n v="538"/>
    <n v="628"/>
    <n v="807"/>
    <n v="439"/>
    <n v="767"/>
    <n v="69"/>
    <n v="42"/>
    <n v="74"/>
    <n v="0.54"/>
    <n v="0.68"/>
    <n v="0.63"/>
    <n v="725"/>
    <n v="458"/>
    <n v="0.44"/>
    <n v="0.1"/>
    <n v="565"/>
    <n v="550"/>
    <n v="918"/>
    <n v="61"/>
    <n v="46"/>
    <n v="44"/>
    <n v="23"/>
    <n v="36"/>
    <n v="52"/>
    <n v="43"/>
    <n v="122"/>
  </r>
  <r>
    <x v="1"/>
    <x v="9"/>
    <x v="9"/>
    <x v="1"/>
    <n v="835"/>
    <n v="0.45799999999999996"/>
    <n v="159.5"/>
    <n v="425"/>
    <n v="509.5"/>
    <n v="0.26"/>
    <n v="0.14000000000000001"/>
    <n v="0.36"/>
    <n v="0.24"/>
    <n v="0.8"/>
    <n v="0.81"/>
    <n v="0.7"/>
    <n v="0.73"/>
    <n v="0.23"/>
    <n v="233"/>
    <n v="0.76"/>
    <n v="0.94"/>
    <n v="560"/>
    <n v="374"/>
    <n v="647"/>
    <n v="311"/>
    <n v="669"/>
    <n v="803"/>
    <n v="755"/>
    <n v="404"/>
    <n v="839"/>
    <n v="880"/>
    <n v="27"/>
    <n v="56"/>
    <n v="56"/>
    <n v="0.6"/>
    <n v="0.66"/>
    <n v="0.81"/>
    <n v="669"/>
    <n v="484"/>
    <n v="0.79"/>
    <n v="0.22"/>
    <n v="567"/>
    <n v="658"/>
    <n v="765"/>
    <n v="99"/>
    <n v="111"/>
    <n v="37"/>
    <n v="131"/>
    <n v="27"/>
    <n v="98"/>
    <n v="41"/>
    <n v="22"/>
  </r>
  <r>
    <x v="1"/>
    <x v="10"/>
    <x v="10"/>
    <x v="1"/>
    <n v="602"/>
    <n v="0.35499999999999998"/>
    <n v="89"/>
    <n v="142"/>
    <n v="218.79999999999995"/>
    <n v="0.21"/>
    <n v="0.42"/>
    <n v="0.08"/>
    <n v="0.28999999999999998"/>
    <n v="0.67"/>
    <n v="0.96000000000000008"/>
    <n v="0.9"/>
    <n v="0.88"/>
    <n v="0.19"/>
    <n v="281"/>
    <n v="0.79"/>
    <n v="0.94"/>
    <n v="777"/>
    <n v="322"/>
    <n v="762"/>
    <n v="226"/>
    <n v="393"/>
    <n v="518"/>
    <n v="688"/>
    <n v="470"/>
    <n v="421"/>
    <n v="561"/>
    <n v="166"/>
    <n v="67"/>
    <n v="259"/>
    <n v="0.33"/>
    <n v="0.54"/>
    <n v="0.92"/>
    <n v="514"/>
    <n v="549"/>
    <n v="0.81"/>
    <n v="0.3"/>
    <n v="375"/>
    <n v="400"/>
    <n v="628"/>
    <n v="48"/>
    <n v="73"/>
    <n v="39"/>
    <n v="85"/>
    <n v="53"/>
    <n v="81"/>
    <n v="33"/>
    <n v="102"/>
  </r>
  <r>
    <x v="1"/>
    <x v="11"/>
    <x v="11"/>
    <x v="1"/>
    <n v="774"/>
    <n v="0.40200000000000002"/>
    <n v="203.2"/>
    <n v="251.2"/>
    <n v="504.80000000000007"/>
    <n v="0.31"/>
    <n v="0.19"/>
    <n v="0.31"/>
    <n v="0.19"/>
    <n v="0.62"/>
    <n v="0.65"/>
    <n v="0.93"/>
    <n v="0.6"/>
    <n v="0.19"/>
    <n v="354"/>
    <n v="0.8"/>
    <n v="0.72"/>
    <n v="421"/>
    <n v="869"/>
    <n v="745"/>
    <n v="765"/>
    <n v="266"/>
    <n v="400"/>
    <n v="274"/>
    <n v="283"/>
    <n v="256"/>
    <n v="304"/>
    <n v="148"/>
    <n v="204"/>
    <n v="100"/>
    <n v="0.8"/>
    <n v="0.65"/>
    <n v="0.56000000000000005"/>
    <n v="620"/>
    <n v="836"/>
    <n v="0.75"/>
    <n v="0.25"/>
    <n v="469"/>
    <n v="464"/>
    <n v="535"/>
    <n v="98"/>
    <n v="47"/>
    <n v="28"/>
    <n v="43"/>
    <n v="52"/>
    <n v="64"/>
    <n v="27"/>
    <n v="7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37:AN50" firstHeaderRow="0" firstDataRow="1" firstDataCol="1" rowPageCount="1" colPageCount="1"/>
  <pivotFields count="52">
    <pivotField showAll="0">
      <items count="3">
        <item x="0"/>
        <item h="1" x="1"/>
        <item t="default"/>
      </items>
    </pivotField>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axis="axisPage" showAll="0">
      <items count="3">
        <item x="1"/>
        <item x="0"/>
        <item t="default"/>
      </items>
    </pivotField>
    <pivotField dataField="1" showAll="0"/>
    <pivotField dataField="1" numFmtId="164" showAll="0"/>
    <pivotField dataField="1" showAll="0"/>
    <pivotField dataField="1" showAll="0"/>
    <pivotField dataField="1" showAll="0"/>
    <pivotField dataField="1" showAll="0"/>
    <pivotField dataField="1" showAll="0"/>
    <pivotField dataField="1" showAll="0"/>
    <pivotField dataField="1" showAll="0"/>
    <pivotField dataField="1" numFmtId="9" showAll="0"/>
    <pivotField dataField="1" numFmtId="9" showAll="0"/>
    <pivotField dataField="1" numFmtId="9" showAll="0"/>
    <pivotField dataField="1" numFmtId="9" showAll="0"/>
    <pivotField dataField="1" numFmtId="9" showAll="0"/>
    <pivotField showAll="0"/>
    <pivotField dataField="1" numFmtId="9" showAll="0"/>
    <pivotField dataField="1" numFmtId="9"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dataField="1" showAll="0"/>
    <pivotField dataField="1" showAll="0"/>
    <pivotField dataField="1" showAll="0"/>
    <pivotField showAll="0"/>
    <pivotField showAll="0"/>
    <pivotField dataField="1" numFmtId="9" showAll="0"/>
    <pivotField dataField="1" numFmtId="9"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1"/>
  </rowFields>
  <rowItems count="13">
    <i>
      <x/>
    </i>
    <i>
      <x v="1"/>
    </i>
    <i>
      <x v="2"/>
    </i>
    <i>
      <x v="3"/>
    </i>
    <i>
      <x v="4"/>
    </i>
    <i>
      <x v="5"/>
    </i>
    <i>
      <x v="6"/>
    </i>
    <i>
      <x v="7"/>
    </i>
    <i>
      <x v="8"/>
    </i>
    <i>
      <x v="9"/>
    </i>
    <i>
      <x v="10"/>
    </i>
    <i>
      <x v="11"/>
    </i>
    <i t="grand">
      <x/>
    </i>
  </rowItems>
  <colFields count="1">
    <field x="-2"/>
  </colFields>
  <colItems count="39">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colItems>
  <pageFields count="1">
    <pageField fld="3" item="1" hier="-1"/>
  </pageFields>
  <dataFields count="39">
    <dataField name="Sum of Sales" fld="4" baseField="0" baseItem="0"/>
    <dataField name="Average of ROI" fld="5" subtotal="average" baseField="1" baseItem="0" numFmtId="9"/>
    <dataField name="Sum of Lower" fld="6" baseField="0" baseItem="0"/>
    <dataField name="Sum of Middle" fld="7" baseField="0" baseItem="0"/>
    <dataField name="Sum of High" fld="8" baseField="0" baseItem="0"/>
    <dataField name="Average of Coverage" fld="13" subtotal="average" baseField="1" baseItem="0" numFmtId="9"/>
    <dataField name="Average of FaceBook" fld="9" subtotal="average" baseField="1" baseItem="0" numFmtId="9"/>
    <dataField name="Average of Instagram" fld="10" subtotal="average" baseField="1" baseItem="0" numFmtId="9"/>
    <dataField name="Average of Online Store" fld="11" subtotal="average" baseField="1" baseItem="0" numFmtId="9"/>
    <dataField name="Average of Shopify" fld="12" subtotal="average" baseField="1" baseItem="0" numFmtId="9"/>
    <dataField name="Average of Sales Plan" fld="14" subtotal="average" baseField="1" baseItem="0" numFmtId="9"/>
    <dataField name="Average of KPI" fld="15" subtotal="average" baseField="1" baseItem="0" numFmtId="9"/>
    <dataField name="Average of Conversion" fld="16" subtotal="average" baseField="1" baseItem="0" numFmtId="9"/>
    <dataField name="Average of Margin" fld="17" subtotal="average" baseField="1" baseItem="0" numFmtId="9"/>
    <dataField name="Average of Warehouse Load" fld="19" subtotal="average" baseField="1" baseItem="0"/>
    <dataField name="Average of Shipped Orders" fld="20" subtotal="average" baseField="1" baseItem="0"/>
    <dataField name="Average of Consumption" fld="34" subtotal="average" baseField="1" baseItem="0"/>
    <dataField name="Average of Coming" fld="35" subtotal="average" baseField="1" baseItem="0"/>
    <dataField name="Average of Returns" fld="36" subtotal="average" baseField="1" baseItem="0" numFmtId="9"/>
    <dataField name="Sum of Product 1" fld="21" baseField="0" baseItem="0"/>
    <dataField name="Sum of Product 2" fld="22" baseField="0" baseItem="0"/>
    <dataField name="Sum of Product 3" fld="23" baseField="0" baseItem="0"/>
    <dataField name="Sum of Product 4" fld="24" baseField="0" baseItem="0"/>
    <dataField name="Sum of Product 5" fld="25" baseField="0" baseItem="0"/>
    <dataField name="Sum of Product 6" fld="26" baseField="0" baseItem="0"/>
    <dataField name="Sum of Product 7" fld="27" baseField="0" baseItem="0"/>
    <dataField name="Sum of Product 8" fld="28" baseField="0" baseItem="0"/>
    <dataField name="Sum of Product 9" fld="29" baseField="0" baseItem="0"/>
    <dataField name="Sum of Product 0" fld="30" baseField="0" baseItem="0"/>
    <dataField name="Average of Logistic Load" fld="39" subtotal="average" baseField="1" baseItem="0" numFmtId="9"/>
    <dataField name="Average of Transport Downtime" fld="40" subtotal="average" baseField="1" baseItem="0" numFmtId="9"/>
    <dataField name="Sum of Northwest" fld="51" baseField="0" baseItem="0"/>
    <dataField name="Sum of West" fld="50" baseField="0" baseItem="0"/>
    <dataField name="Sum of Southwest" fld="49" baseField="0" baseItem="0"/>
    <dataField name="Sum of South" fld="48" baseField="0" baseItem="0"/>
    <dataField name="Sum of Southeast" fld="47" baseField="0" baseItem="0"/>
    <dataField name="Sum of East" fld="46" baseField="0" baseItem="0"/>
    <dataField name="Sum of Northeast" fld="45" baseField="0" baseItem="0"/>
    <dataField name="Sum of North" fld="44" baseField="0" baseItem="0"/>
  </dataFields>
  <formats count="6">
    <format dxfId="5">
      <pivotArea outline="0" collapsedLevelsAreSubtotals="1" fieldPosition="0">
        <references count="1">
          <reference field="4294967294" count="4" selected="0">
            <x v="10"/>
            <x v="11"/>
            <x v="12"/>
            <x v="13"/>
          </reference>
        </references>
      </pivotArea>
    </format>
    <format dxfId="4">
      <pivotArea outline="0" collapsedLevelsAreSubtotals="1" fieldPosition="0">
        <references count="1">
          <reference field="4294967294" count="4" selected="0">
            <x v="6"/>
            <x v="7"/>
            <x v="8"/>
            <x v="9"/>
          </reference>
        </references>
      </pivotArea>
    </format>
    <format dxfId="3">
      <pivotArea outline="0" collapsedLevelsAreSubtotals="1" fieldPosition="0">
        <references count="1">
          <reference field="4294967294" count="1" selected="0">
            <x v="1"/>
          </reference>
        </references>
      </pivotArea>
    </format>
    <format dxfId="2">
      <pivotArea outline="0" collapsedLevelsAreSubtotals="1" fieldPosition="0">
        <references count="1">
          <reference field="4294967294" count="1" selected="0">
            <x v="5"/>
          </reference>
        </references>
      </pivotArea>
    </format>
    <format dxfId="1">
      <pivotArea outline="0" collapsedLevelsAreSubtotals="1" fieldPosition="0">
        <references count="1">
          <reference field="4294967294" count="1" selected="0">
            <x v="18"/>
          </reference>
        </references>
      </pivotArea>
    </format>
    <format dxfId="0">
      <pivotArea outline="0" collapsedLevelsAreSubtotals="1" fieldPosition="0">
        <references count="1">
          <reference field="4294967294" count="2" selected="0">
            <x v="29"/>
            <x v="3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54:AN67" firstHeaderRow="0" firstDataRow="1" firstDataCol="1" rowPageCount="1" colPageCount="1"/>
  <pivotFields count="52">
    <pivotField showAll="0">
      <items count="3">
        <item x="0"/>
        <item h="1" x="1"/>
        <item t="default"/>
      </items>
    </pivotField>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axis="axisPage" showAll="0">
      <items count="3">
        <item x="1"/>
        <item x="0"/>
        <item t="default"/>
      </items>
    </pivotField>
    <pivotField dataField="1" showAll="0"/>
    <pivotField dataField="1" numFmtId="164" showAll="0"/>
    <pivotField dataField="1" showAll="0"/>
    <pivotField dataField="1" showAll="0"/>
    <pivotField dataField="1" showAll="0"/>
    <pivotField dataField="1" showAll="0"/>
    <pivotField dataField="1" showAll="0"/>
    <pivotField dataField="1" showAll="0"/>
    <pivotField dataField="1" showAll="0"/>
    <pivotField dataField="1" numFmtId="9" showAll="0"/>
    <pivotField dataField="1" numFmtId="9" showAll="0"/>
    <pivotField dataField="1" numFmtId="9" showAll="0"/>
    <pivotField dataField="1" numFmtId="9" showAll="0"/>
    <pivotField dataField="1" numFmtId="9" showAll="0"/>
    <pivotField showAll="0"/>
    <pivotField dataField="1" numFmtId="9" showAll="0"/>
    <pivotField dataField="1" numFmtId="9"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dataField="1" showAll="0"/>
    <pivotField dataField="1" showAll="0"/>
    <pivotField dataField="1" showAll="0"/>
    <pivotField showAll="0"/>
    <pivotField showAll="0"/>
    <pivotField dataField="1" numFmtId="9" showAll="0"/>
    <pivotField dataField="1" numFmtId="9"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1"/>
  </rowFields>
  <rowItems count="13">
    <i>
      <x/>
    </i>
    <i>
      <x v="1"/>
    </i>
    <i>
      <x v="2"/>
    </i>
    <i>
      <x v="3"/>
    </i>
    <i>
      <x v="4"/>
    </i>
    <i>
      <x v="5"/>
    </i>
    <i>
      <x v="6"/>
    </i>
    <i>
      <x v="7"/>
    </i>
    <i>
      <x v="8"/>
    </i>
    <i>
      <x v="9"/>
    </i>
    <i>
      <x v="10"/>
    </i>
    <i>
      <x v="11"/>
    </i>
    <i t="grand">
      <x/>
    </i>
  </rowItems>
  <colFields count="1">
    <field x="-2"/>
  </colFields>
  <colItems count="39">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colItems>
  <pageFields count="1">
    <pageField fld="3" item="0" hier="-1"/>
  </pageFields>
  <dataFields count="39">
    <dataField name="Sum of Sales" fld="4" baseField="0" baseItem="0"/>
    <dataField name="Average of ROI" fld="5" subtotal="average" baseField="1" baseItem="0" numFmtId="9"/>
    <dataField name="Sum of Lower" fld="6" baseField="0" baseItem="0"/>
    <dataField name="Sum of Middle" fld="7" baseField="0" baseItem="0"/>
    <dataField name="Sum of High" fld="8" baseField="0" baseItem="0"/>
    <dataField name="Average of Coverage" fld="13" subtotal="average" baseField="1" baseItem="0" numFmtId="9"/>
    <dataField name="Average of FaceBook" fld="9" subtotal="average" baseField="1" baseItem="0" numFmtId="9"/>
    <dataField name="Average of Instagram" fld="10" subtotal="average" baseField="1" baseItem="0" numFmtId="9"/>
    <dataField name="Average of Online Store" fld="11" subtotal="average" baseField="1" baseItem="0" numFmtId="9"/>
    <dataField name="Average of Shopify" fld="12" subtotal="average" baseField="1" baseItem="0" numFmtId="9"/>
    <dataField name="Average of Sales Plan" fld="14" subtotal="average" baseField="1" baseItem="0" numFmtId="9"/>
    <dataField name="Average of KPI" fld="15" subtotal="average" baseField="1" baseItem="0" numFmtId="9"/>
    <dataField name="Average of Conversion" fld="16" subtotal="average" baseField="1" baseItem="0" numFmtId="9"/>
    <dataField name="Average of Margin" fld="17" subtotal="average" baseField="1" baseItem="0" numFmtId="9"/>
    <dataField name="Average of Warehouse Load" fld="19" subtotal="average" baseField="1" baseItem="0"/>
    <dataField name="Average of Shipped Orders" fld="20" subtotal="average" baseField="1" baseItem="0"/>
    <dataField name="Average of Consumption" fld="34" subtotal="average" baseField="1" baseItem="0"/>
    <dataField name="Average of Coming" fld="35" subtotal="average" baseField="1" baseItem="0"/>
    <dataField name="Average of Returns" fld="36" subtotal="average" baseField="1" baseItem="0" numFmtId="9"/>
    <dataField name="Sum of Product 1" fld="21" baseField="0" baseItem="0"/>
    <dataField name="Sum of Product 2" fld="22" baseField="0" baseItem="0"/>
    <dataField name="Sum of Product 3" fld="23" baseField="0" baseItem="0"/>
    <dataField name="Sum of Product 4" fld="24" baseField="0" baseItem="0"/>
    <dataField name="Sum of Product 5" fld="25" baseField="0" baseItem="0"/>
    <dataField name="Sum of Product 6" fld="26" baseField="0" baseItem="0"/>
    <dataField name="Sum of Product 7" fld="27" baseField="0" baseItem="0"/>
    <dataField name="Sum of Product 8" fld="28" baseField="0" baseItem="0"/>
    <dataField name="Sum of Product 9" fld="29" baseField="0" baseItem="0"/>
    <dataField name="Sum of Product 0" fld="30" baseField="0" baseItem="0"/>
    <dataField name="Average of Logistic Load" fld="39" subtotal="average" baseField="1" baseItem="0" numFmtId="9"/>
    <dataField name="Average of Transport Downtime" fld="40" subtotal="average" baseField="1" baseItem="0" numFmtId="9"/>
    <dataField name="Sum of Northwest" fld="51" baseField="0" baseItem="0"/>
    <dataField name="Sum of West" fld="50" baseField="0" baseItem="0"/>
    <dataField name="Sum of Southwest" fld="49" baseField="0" baseItem="0"/>
    <dataField name="Sum of South" fld="48" baseField="0" baseItem="0"/>
    <dataField name="Sum of Southeast" fld="47" baseField="0" baseItem="0"/>
    <dataField name="Sum of East" fld="46" baseField="0" baseItem="0"/>
    <dataField name="Sum of Northeast" fld="45" baseField="0" baseItem="0"/>
    <dataField name="Sum of North" fld="44" baseField="0" baseItem="0"/>
  </dataFields>
  <formats count="6">
    <format dxfId="11">
      <pivotArea outline="0" collapsedLevelsAreSubtotals="1" fieldPosition="0">
        <references count="1">
          <reference field="4294967294" count="4" selected="0">
            <x v="10"/>
            <x v="11"/>
            <x v="12"/>
            <x v="13"/>
          </reference>
        </references>
      </pivotArea>
    </format>
    <format dxfId="10">
      <pivotArea outline="0" collapsedLevelsAreSubtotals="1" fieldPosition="0">
        <references count="1">
          <reference field="4294967294" count="4" selected="0">
            <x v="6"/>
            <x v="7"/>
            <x v="8"/>
            <x v="9"/>
          </reference>
        </references>
      </pivotArea>
    </format>
    <format dxfId="9">
      <pivotArea outline="0" collapsedLevelsAreSubtotals="1" fieldPosition="0">
        <references count="1">
          <reference field="4294967294" count="1" selected="0">
            <x v="1"/>
          </reference>
        </references>
      </pivotArea>
    </format>
    <format dxfId="8">
      <pivotArea outline="0" collapsedLevelsAreSubtotals="1" fieldPosition="0">
        <references count="1">
          <reference field="4294967294" count="1" selected="0">
            <x v="5"/>
          </reference>
        </references>
      </pivotArea>
    </format>
    <format dxfId="7">
      <pivotArea outline="0" collapsedLevelsAreSubtotals="1" fieldPosition="0">
        <references count="1">
          <reference field="4294967294" count="1" selected="0">
            <x v="18"/>
          </reference>
        </references>
      </pivotArea>
    </format>
    <format dxfId="6">
      <pivotArea outline="0" collapsedLevelsAreSubtotals="1" fieldPosition="0">
        <references count="1">
          <reference field="4294967294" count="2" selected="0">
            <x v="29"/>
            <x v="3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20:X33" firstHeaderRow="0" firstDataRow="1" firstDataCol="1" rowPageCount="1" colPageCount="1"/>
  <pivotFields count="52">
    <pivotField showAll="0">
      <items count="3">
        <item x="0"/>
        <item h="1" x="1"/>
        <item t="default"/>
      </items>
    </pivotField>
    <pivotField axis="axisRow" showAll="0">
      <items count="13">
        <item x="0"/>
        <item x="1"/>
        <item x="2"/>
        <item x="3"/>
        <item x="4"/>
        <item x="5"/>
        <item x="6"/>
        <item x="7"/>
        <item x="8"/>
        <item x="9"/>
        <item x="10"/>
        <item x="11"/>
        <item t="default"/>
      </items>
    </pivotField>
    <pivotField showAll="0"/>
    <pivotField axis="axisPage" showAll="0">
      <items count="3">
        <item x="1"/>
        <item x="0"/>
        <item t="default"/>
      </items>
    </pivotField>
    <pivotField dataField="1" showAll="0"/>
    <pivotField dataField="1" numFmtId="164" showAll="0"/>
    <pivotField dataField="1" showAll="0"/>
    <pivotField dataField="1" showAll="0"/>
    <pivotField dataField="1" showAll="0"/>
    <pivotField dataField="1" showAll="0"/>
    <pivotField dataField="1" showAll="0"/>
    <pivotField dataField="1" showAll="0"/>
    <pivotField dataField="1" showAll="0"/>
    <pivotField dataField="1" numFmtId="9" showAll="0"/>
    <pivotField dataField="1" numFmtId="9" showAll="0"/>
    <pivotField dataField="1" numFmtId="9" showAll="0"/>
    <pivotField dataField="1" numFmtId="9" showAll="0"/>
    <pivotField dataField="1" numFmtId="9" showAll="0"/>
    <pivotField dataField="1"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dataField="1" showAll="0"/>
    <pivotField dataField="1" showAll="0"/>
    <pivotField numFmtId="9" showAll="0"/>
    <pivotField numFmtId="9" showAll="0"/>
    <pivotField dataField="1" showAll="0"/>
    <pivotField dataField="1" showAll="0"/>
    <pivotField dataField="1"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1">
    <pageField fld="3" item="0" hier="-1"/>
  </pageFields>
  <dataFields count="23">
    <dataField name="Sum of Sales" fld="4" baseField="0" baseItem="0"/>
    <dataField name="Average of ROI" fld="5" subtotal="average" baseField="1" baseItem="0" numFmtId="9"/>
    <dataField name="Sum of Lower" fld="6" baseField="0" baseItem="0"/>
    <dataField name="Sum of Middle" fld="7" baseField="0" baseItem="0"/>
    <dataField name="Sum of High" fld="8" baseField="0" baseItem="0"/>
    <dataField name="Average of Coverage" fld="13" subtotal="average" baseField="1" baseItem="0" numFmtId="9"/>
    <dataField name="Average of FaceBook" fld="9" subtotal="average" baseField="1" baseItem="0" numFmtId="9"/>
    <dataField name="Average of Instagram" fld="10" subtotal="average" baseField="1" baseItem="0" numFmtId="9"/>
    <dataField name="Average of Online Store" fld="11" subtotal="average" baseField="1" baseItem="0" numFmtId="9"/>
    <dataField name="Average of Shopify" fld="12" subtotal="average" baseField="1" baseItem="0" numFmtId="9"/>
    <dataField name="Average of Sales Plan" fld="14" subtotal="average" baseField="1" baseItem="0" numFmtId="9"/>
    <dataField name="Average of KPI" fld="15" subtotal="average" baseField="1" baseItem="0" numFmtId="9"/>
    <dataField name="Average of Conversion" fld="16" subtotal="average" baseField="1" baseItem="0" numFmtId="9"/>
    <dataField name="Average of Margin" fld="17" subtotal="average" baseField="1" baseItem="0" numFmtId="9"/>
    <dataField name="Sum of Stock Balances" fld="18" baseField="0" baseItem="0"/>
    <dataField name="Sum of Inventory Cost" fld="31" baseField="0" baseItem="0"/>
    <dataField name="Sum of Inventory Turnover" fld="32" baseField="0" baseItem="0"/>
    <dataField name="Sum of Warehouse Payback" fld="33" baseField="0" baseItem="0"/>
    <dataField name="Sum of Shelf Life Exceeded" fld="37" baseField="0" baseItem="0"/>
    <dataField name="Sum of Disposal" fld="38" baseField="0" baseItem="0"/>
    <dataField name="Sum of Supply" fld="41" baseField="0" baseItem="0"/>
    <dataField name="Sum of Shipment" fld="42" baseField="0" baseItem="0"/>
    <dataField name="Sum of Logistics Costs" fld="43" baseField="0" baseItem="0"/>
  </dataFields>
  <formats count="4">
    <format dxfId="15">
      <pivotArea outline="0" collapsedLevelsAreSubtotals="1" fieldPosition="0">
        <references count="1">
          <reference field="4294967294" count="4" selected="0">
            <x v="10"/>
            <x v="11"/>
            <x v="12"/>
            <x v="13"/>
          </reference>
        </references>
      </pivotArea>
    </format>
    <format dxfId="14">
      <pivotArea outline="0" collapsedLevelsAreSubtotals="1" fieldPosition="0">
        <references count="1">
          <reference field="4294967294" count="4" selected="0">
            <x v="6"/>
            <x v="7"/>
            <x v="8"/>
            <x v="9"/>
          </reference>
        </references>
      </pivotArea>
    </format>
    <format dxfId="13">
      <pivotArea outline="0" collapsedLevelsAreSubtotals="1" fieldPosition="0">
        <references count="1">
          <reference field="4294967294" count="1" selected="0">
            <x v="1"/>
          </reference>
        </references>
      </pivotArea>
    </format>
    <format dxfId="12">
      <pivotArea outline="0" collapsedLevelsAreSubtotals="1" fieldPosition="0">
        <references count="1">
          <reference field="4294967294"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3:X16" firstHeaderRow="0" firstDataRow="1" firstDataCol="1" rowPageCount="1" colPageCount="1"/>
  <pivotFields count="52">
    <pivotField showAll="0">
      <items count="3">
        <item x="0"/>
        <item h="1" x="1"/>
        <item t="default"/>
      </items>
    </pivotField>
    <pivotField axis="axisRow" showAll="0">
      <items count="13">
        <item x="0"/>
        <item x="1"/>
        <item x="2"/>
        <item x="3"/>
        <item x="4"/>
        <item x="5"/>
        <item x="6"/>
        <item x="7"/>
        <item x="8"/>
        <item x="9"/>
        <item x="10"/>
        <item x="11"/>
        <item t="default"/>
      </items>
    </pivotField>
    <pivotField showAll="0"/>
    <pivotField axis="axisPage" showAll="0">
      <items count="3">
        <item x="1"/>
        <item x="0"/>
        <item t="default"/>
      </items>
    </pivotField>
    <pivotField dataField="1" showAll="0"/>
    <pivotField dataField="1" numFmtId="164" showAll="0"/>
    <pivotField dataField="1" showAll="0"/>
    <pivotField dataField="1" showAll="0"/>
    <pivotField dataField="1" showAll="0"/>
    <pivotField dataField="1" showAll="0"/>
    <pivotField dataField="1" showAll="0"/>
    <pivotField dataField="1" showAll="0"/>
    <pivotField dataField="1" showAll="0"/>
    <pivotField dataField="1" numFmtId="9" showAll="0"/>
    <pivotField dataField="1" numFmtId="9" showAll="0"/>
    <pivotField dataField="1" numFmtId="9" showAll="0"/>
    <pivotField dataField="1" numFmtId="9" showAll="0"/>
    <pivotField dataField="1" numFmtId="9" showAll="0"/>
    <pivotField dataField="1"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dataField="1" showAll="0"/>
    <pivotField dataField="1" showAll="0"/>
    <pivotField numFmtId="9" showAll="0"/>
    <pivotField numFmtId="9" showAll="0"/>
    <pivotField dataField="1" showAll="0"/>
    <pivotField dataField="1" showAll="0"/>
    <pivotField dataField="1"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1">
    <pageField fld="3" item="1" hier="-1"/>
  </pageFields>
  <dataFields count="23">
    <dataField name="Sum of Sales" fld="4" baseField="0" baseItem="0"/>
    <dataField name="Average of ROI" fld="5" subtotal="average" baseField="1" baseItem="0" numFmtId="9"/>
    <dataField name="Sum of Lower" fld="6" baseField="0" baseItem="0"/>
    <dataField name="Sum of Middle" fld="7" baseField="0" baseItem="0"/>
    <dataField name="Sum of High" fld="8" baseField="0" baseItem="0"/>
    <dataField name="Average of Coverage" fld="13" subtotal="average" baseField="1" baseItem="0" numFmtId="9"/>
    <dataField name="Average of FaceBook" fld="9" subtotal="average" baseField="1" baseItem="0" numFmtId="9"/>
    <dataField name="Average of Instagram" fld="10" subtotal="average" baseField="1" baseItem="0" numFmtId="9"/>
    <dataField name="Average of Online Store" fld="11" subtotal="average" baseField="1" baseItem="0" numFmtId="9"/>
    <dataField name="Average of Shopify" fld="12" subtotal="average" baseField="1" baseItem="0" numFmtId="9"/>
    <dataField name="Average of Sales Plan" fld="14" subtotal="average" baseField="1" baseItem="0" numFmtId="9"/>
    <dataField name="Average of KPI" fld="15" subtotal="average" baseField="1" baseItem="0" numFmtId="9"/>
    <dataField name="Average of Conversion" fld="16" subtotal="average" baseField="1" baseItem="0" numFmtId="9"/>
    <dataField name="Average of Margin" fld="17" subtotal="average" baseField="1" baseItem="0" numFmtId="9"/>
    <dataField name="Sum of Stock Balances" fld="18" baseField="0" baseItem="0"/>
    <dataField name="Sum of Inventory Cost" fld="31" baseField="0" baseItem="0"/>
    <dataField name="Sum of Inventory Turnover" fld="32" baseField="0" baseItem="0"/>
    <dataField name="Sum of Warehouse Payback" fld="33" baseField="0" baseItem="0"/>
    <dataField name="Sum of Shelf Life Exceeded" fld="37" baseField="0" baseItem="0"/>
    <dataField name="Sum of Disposal" fld="38" baseField="0" baseItem="0"/>
    <dataField name="Sum of Supply" fld="41" baseField="0" baseItem="0"/>
    <dataField name="Sum of Shipment" fld="42" baseField="0" baseItem="0"/>
    <dataField name="Sum of Logistics Costs" fld="43" baseField="0" baseItem="0"/>
  </dataFields>
  <formats count="4">
    <format dxfId="19">
      <pivotArea outline="0" collapsedLevelsAreSubtotals="1" fieldPosition="0">
        <references count="1">
          <reference field="4294967294" count="4" selected="0">
            <x v="10"/>
            <x v="11"/>
            <x v="12"/>
            <x v="13"/>
          </reference>
        </references>
      </pivotArea>
    </format>
    <format dxfId="18">
      <pivotArea outline="0" collapsedLevelsAreSubtotals="1" fieldPosition="0">
        <references count="1">
          <reference field="4294967294" count="4" selected="0">
            <x v="6"/>
            <x v="7"/>
            <x v="8"/>
            <x v="9"/>
          </reference>
        </references>
      </pivotArea>
    </format>
    <format dxfId="17">
      <pivotArea outline="0" collapsedLevelsAreSubtotals="1" fieldPosition="0">
        <references count="1">
          <reference field="4294967294" count="1" selected="0">
            <x v="1"/>
          </reference>
        </references>
      </pivotArea>
    </format>
    <format dxfId="16">
      <pivotArea outline="0" collapsedLevelsAreSubtotals="1" fieldPosition="0">
        <references count="1">
          <reference field="4294967294"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7" name="PivotTable1"/>
    <pivotTable tabId="7" name="PivotTable5"/>
    <pivotTable tabId="7" name="PivotTable6"/>
    <pivotTable tabId="7" name="PivotTable7"/>
  </pivotTables>
  <data>
    <tabular pivotCacheId="1772723416">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Name_Month" sourceName="Name Month">
  <pivotTables>
    <pivotTable tabId="7" name="PivotTable6"/>
    <pivotTable tabId="7" name="PivotTable7"/>
  </pivotTables>
  <data>
    <tabular pivotCacheId="1772723416">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columnCount="2" showCaption="0" style="SlicerStyleLight1 2" rowHeight="247650"/>
  <slicer name="Name Month" cache="Slicer_Name_Month" caption="Name Month" columnCount="12" showCaption="0" style="SlicerStyleLight1 3" rowHeight="18288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 caption="Year" columnCount="2" showCaption="0" style="SlicerStyleLight1 2" rowHeight="247650"/>
  <slicer name="Name Month 1" cache="Slicer_Name_Month" caption="Name Month" columnCount="12" showCaption="0" style="SlicerStyleLight1 3" rowHeight="182880"/>
</slicers>
</file>

<file path=xl/slicers/slicer3.xml><?xml version="1.0" encoding="utf-8"?>
<slicers xmlns="http://schemas.microsoft.com/office/spreadsheetml/2009/9/main" xmlns:mc="http://schemas.openxmlformats.org/markup-compatibility/2006" xmlns:x="http://schemas.openxmlformats.org/spreadsheetml/2006/main" mc:Ignorable="x">
  <slicer name="Year 2" cache="Slicer_Year" caption="Year" columnCount="2" showCaption="0" style="SlicerStyleLight1 2" rowHeight="247650"/>
  <slicer name="Name Month 2" cache="Slicer_Name_Month" caption="Name Month" columnCount="12" showCaption="0" style="SlicerStyleLight1 3" rowHeight="18288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1.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2.xml"/><Relationship Id="rId5" Type="http://schemas.microsoft.com/office/2007/relationships/slicer" Target="../slicers/slicer2.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3.vml"/><Relationship Id="rId1" Type="http://schemas.openxmlformats.org/officeDocument/2006/relationships/drawing" Target="../drawings/drawing3.xml"/><Relationship Id="rId5" Type="http://schemas.microsoft.com/office/2007/relationships/slicer" Target="../slicers/slicer3.xml"/><Relationship Id="rId4"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Y1:Y7"/>
  <sheetViews>
    <sheetView showRowColHeaders="0" tabSelected="1" zoomScaleNormal="100" workbookViewId="0"/>
  </sheetViews>
  <sheetFormatPr defaultColWidth="8.875" defaultRowHeight="14.25"/>
  <cols>
    <col min="1" max="16384" width="8.875" style="1"/>
  </cols>
  <sheetData>
    <row r="1" spans="25:25" ht="19.149999999999999" customHeight="1"/>
    <row r="7" spans="25:25" ht="15">
      <c r="Y7" s="5"/>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12</xdr:col>
                    <xdr:colOff>476250</xdr:colOff>
                    <xdr:row>3</xdr:row>
                    <xdr:rowOff>114300</xdr:rowOff>
                  </from>
                  <to>
                    <xdr:col>15</xdr:col>
                    <xdr:colOff>9525</xdr:colOff>
                    <xdr:row>4</xdr:row>
                    <xdr:rowOff>152400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12</xdr:col>
                    <xdr:colOff>476250</xdr:colOff>
                    <xdr:row>6</xdr:row>
                    <xdr:rowOff>104775</xdr:rowOff>
                  </from>
                  <to>
                    <xdr:col>15</xdr:col>
                    <xdr:colOff>9525</xdr:colOff>
                    <xdr:row>7</xdr:row>
                    <xdr:rowOff>133350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Y1:Y7"/>
  <sheetViews>
    <sheetView showRowColHeaders="0" zoomScaleNormal="100" workbookViewId="0"/>
  </sheetViews>
  <sheetFormatPr defaultColWidth="8.875" defaultRowHeight="14.25"/>
  <cols>
    <col min="1" max="16384" width="8.875" style="1"/>
  </cols>
  <sheetData>
    <row r="1" spans="25:25" ht="19.149999999999999" customHeight="1"/>
    <row r="7" spans="25:25" ht="15">
      <c r="Y7" s="5"/>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12</xdr:col>
                    <xdr:colOff>476250</xdr:colOff>
                    <xdr:row>3</xdr:row>
                    <xdr:rowOff>114300</xdr:rowOff>
                  </from>
                  <to>
                    <xdr:col>15</xdr:col>
                    <xdr:colOff>9525</xdr:colOff>
                    <xdr:row>4</xdr:row>
                    <xdr:rowOff>152400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12</xdr:col>
                    <xdr:colOff>476250</xdr:colOff>
                    <xdr:row>6</xdr:row>
                    <xdr:rowOff>104775</xdr:rowOff>
                  </from>
                  <to>
                    <xdr:col>15</xdr:col>
                    <xdr:colOff>9525</xdr:colOff>
                    <xdr:row>7</xdr:row>
                    <xdr:rowOff>133350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Y1:Y7"/>
  <sheetViews>
    <sheetView showRowColHeaders="0" topLeftCell="A4" zoomScaleNormal="100" workbookViewId="0"/>
  </sheetViews>
  <sheetFormatPr defaultColWidth="8.875" defaultRowHeight="14.25"/>
  <cols>
    <col min="1" max="16384" width="8.875" style="1"/>
  </cols>
  <sheetData>
    <row r="1" spans="25:25" ht="19.149999999999999" customHeight="1"/>
    <row r="7" spans="25:25" ht="15">
      <c r="Y7" s="5"/>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12</xdr:col>
                    <xdr:colOff>476250</xdr:colOff>
                    <xdr:row>3</xdr:row>
                    <xdr:rowOff>114300</xdr:rowOff>
                  </from>
                  <to>
                    <xdr:col>15</xdr:col>
                    <xdr:colOff>9525</xdr:colOff>
                    <xdr:row>4</xdr:row>
                    <xdr:rowOff>152400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12</xdr:col>
                    <xdr:colOff>476250</xdr:colOff>
                    <xdr:row>6</xdr:row>
                    <xdr:rowOff>104775</xdr:rowOff>
                  </from>
                  <to>
                    <xdr:col>15</xdr:col>
                    <xdr:colOff>9525</xdr:colOff>
                    <xdr:row>7</xdr:row>
                    <xdr:rowOff>133350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22"/>
  <sheetViews>
    <sheetView topLeftCell="A7" zoomScaleNormal="100" workbookViewId="0">
      <selection activeCell="H20" sqref="H20"/>
    </sheetView>
  </sheetViews>
  <sheetFormatPr defaultRowHeight="14.25"/>
  <cols>
    <col min="1" max="1" width="12.125" customWidth="1"/>
    <col min="2" max="3" width="11.125" bestFit="1" customWidth="1"/>
    <col min="4" max="4" width="10.375" bestFit="1" customWidth="1"/>
    <col min="5" max="5" width="9.5" customWidth="1"/>
    <col min="7" max="7" width="9" customWidth="1"/>
    <col min="8" max="8" width="11.625" bestFit="1" customWidth="1"/>
    <col min="15" max="15" width="10.875" customWidth="1"/>
    <col min="16" max="16" width="10.25" customWidth="1"/>
    <col min="17" max="17" width="10" customWidth="1"/>
    <col min="18" max="18" width="10.875" customWidth="1"/>
    <col min="19" max="19" width="8.625" customWidth="1"/>
    <col min="20" max="21" width="10.875" customWidth="1"/>
    <col min="22" max="22" width="10" customWidth="1"/>
    <col min="23" max="23" width="10.625" customWidth="1"/>
    <col min="29" max="29" width="11.625" bestFit="1" customWidth="1"/>
  </cols>
  <sheetData>
    <row r="1" spans="1:19">
      <c r="A1" s="4" t="s">
        <v>43</v>
      </c>
      <c r="B1" t="b">
        <v>1</v>
      </c>
      <c r="C1" s="4" t="s">
        <v>44</v>
      </c>
      <c r="D1" t="b">
        <v>1</v>
      </c>
      <c r="E1" t="str">
        <f>IF(B1,$H$1,"")</f>
        <v>█</v>
      </c>
      <c r="F1" t="str">
        <f>IF(D1,$H$1,"")</f>
        <v>█</v>
      </c>
      <c r="H1" t="s">
        <v>154</v>
      </c>
      <c r="M1" s="4">
        <f>GETPIVOTDATA(""&amp;P1,Control!$A$37)</f>
        <v>4855</v>
      </c>
      <c r="N1" s="4">
        <f>GETPIVOTDATA(""&amp;P1,Control!$A$54)</f>
        <v>6447</v>
      </c>
      <c r="O1" s="18">
        <v>1</v>
      </c>
      <c r="P1" t="s">
        <v>88</v>
      </c>
      <c r="Q1">
        <f>SUM(M1*$B$1,N1*$D$1)</f>
        <v>11302</v>
      </c>
      <c r="R1" t="str" cm="1">
        <f t="array" ref="R1">INDEX($P$1:$P$10,SMALL(IF($Q$1:$Q$10=S1,ROW($Q$1:$Q$10)),COUNTIF($S$1:S1,S1)))</f>
        <v>Product 3</v>
      </c>
      <c r="S1">
        <f>LARGE($Q$1:$Q$10,O1)</f>
        <v>13415</v>
      </c>
    </row>
    <row r="2" spans="1:19">
      <c r="A2" s="2">
        <f>IFERROR(AB31/AA31*B1,0)</f>
        <v>0.46273404178413935</v>
      </c>
      <c r="B2" s="2">
        <f>1-A2</f>
        <v>0.53726595821586065</v>
      </c>
      <c r="C2" s="2">
        <f>IFERROR(AC31/AA31*D1,0)</f>
        <v>0.53726595821586065</v>
      </c>
      <c r="D2" s="2">
        <f>1-C2</f>
        <v>0.46273404178413935</v>
      </c>
      <c r="E2" t="str">
        <f>IF(B1,"",$H$1)</f>
        <v/>
      </c>
      <c r="F2" t="str">
        <f>IF(D1,"",$H$1)</f>
        <v/>
      </c>
      <c r="M2" s="4">
        <f>GETPIVOTDATA(""&amp;P2,Control!$A$37)</f>
        <v>6123</v>
      </c>
      <c r="N2" s="4">
        <f>GETPIVOTDATA(""&amp;P2,Control!$A$54)</f>
        <v>5029</v>
      </c>
      <c r="O2" s="18">
        <v>2</v>
      </c>
      <c r="P2" t="s">
        <v>89</v>
      </c>
      <c r="Q2">
        <f t="shared" ref="Q2:Q10" si="0">SUM(M2*$B$1,N2*$D$1)</f>
        <v>11152</v>
      </c>
      <c r="R2" t="str" cm="1">
        <f t="array" ref="R2">INDEX($P$1:$P$10,SMALL(IF($Q$1:$Q$10=S2,ROW($Q$1:$Q$10)),COUNTIF($S$1:S2,S2)))</f>
        <v>Product 0</v>
      </c>
      <c r="S2">
        <f t="shared" ref="S2:S10" si="1">LARGE($Q$1:$Q$10,O2)</f>
        <v>12494</v>
      </c>
    </row>
    <row r="3" spans="1:19">
      <c r="A3" s="4" t="s">
        <v>43</v>
      </c>
      <c r="B3" s="4" t="s">
        <v>44</v>
      </c>
      <c r="C3" t="s">
        <v>26</v>
      </c>
      <c r="M3" s="4">
        <f>GETPIVOTDATA(""&amp;P3,Control!$A$37)</f>
        <v>6655</v>
      </c>
      <c r="N3" s="4">
        <f>GETPIVOTDATA(""&amp;P3,Control!$A$54)</f>
        <v>6760</v>
      </c>
      <c r="O3" s="18">
        <v>3</v>
      </c>
      <c r="P3" t="s">
        <v>90</v>
      </c>
      <c r="Q3">
        <f t="shared" si="0"/>
        <v>13415</v>
      </c>
      <c r="R3" t="str" cm="1">
        <f t="array" ref="R3">INDEX($P$1:$P$10,SMALL(IF($Q$1:$Q$10=S3,ROW($Q$1:$Q$10)),COUNTIF($S$1:S3,S3)))</f>
        <v>Product 4</v>
      </c>
      <c r="S3">
        <f t="shared" si="1"/>
        <v>12000</v>
      </c>
    </row>
    <row r="4" spans="1:19">
      <c r="A4" s="3">
        <f>GETPIVOTDATA("Average of Sales Plan",Control!$A$37)</f>
        <v>0.98250000000000004</v>
      </c>
      <c r="B4" s="3">
        <f>GETPIVOTDATA("Average of Sales Plan",Control!$A$54)</f>
        <v>0.97083333333333333</v>
      </c>
      <c r="C4" s="3">
        <f>AVERAGE(A4*$B$1,B4*$D$1)</f>
        <v>0.97666666666666668</v>
      </c>
      <c r="D4" s="2">
        <f>IF($C4&lt;100%,C4,0)</f>
        <v>0.97666666666666668</v>
      </c>
      <c r="E4" s="2">
        <f>IF($C4&lt;100%,0,C4-100%)</f>
        <v>0</v>
      </c>
      <c r="F4" s="2">
        <f>IF($C4&lt;100%,0,100%-E4)</f>
        <v>0</v>
      </c>
      <c r="G4" s="2">
        <f>IF($C4&lt;100%,100%-D4,0)</f>
        <v>2.3333333333333317E-2</v>
      </c>
      <c r="M4" s="4">
        <f>GETPIVOTDATA(""&amp;P4,Control!$A$37)</f>
        <v>5831</v>
      </c>
      <c r="N4" s="4">
        <f>GETPIVOTDATA(""&amp;P4,Control!$A$54)</f>
        <v>6169</v>
      </c>
      <c r="O4" s="18">
        <v>4</v>
      </c>
      <c r="P4" t="s">
        <v>91</v>
      </c>
      <c r="Q4">
        <f t="shared" si="0"/>
        <v>12000</v>
      </c>
      <c r="R4" t="str" cm="1">
        <f t="array" ref="R4">INDEX($P$1:$P$10,SMALL(IF($Q$1:$Q$10=S4,ROW($Q$1:$Q$10)),COUNTIF($S$1:S4,S4)))</f>
        <v>Product 7</v>
      </c>
      <c r="S4">
        <f t="shared" si="1"/>
        <v>11562</v>
      </c>
    </row>
    <row r="5" spans="1:19">
      <c r="A5" s="3"/>
      <c r="B5" s="3"/>
      <c r="C5" t="s">
        <v>29</v>
      </c>
      <c r="D5" s="2"/>
      <c r="E5" s="2"/>
      <c r="F5" s="2"/>
      <c r="G5" s="2"/>
      <c r="M5" s="4">
        <f>GETPIVOTDATA(""&amp;P5,Control!$A$37)</f>
        <v>4939</v>
      </c>
      <c r="N5" s="4">
        <f>GETPIVOTDATA(""&amp;P5,Control!$A$54)</f>
        <v>5490</v>
      </c>
      <c r="O5" s="18">
        <v>5</v>
      </c>
      <c r="P5" t="s">
        <v>92</v>
      </c>
      <c r="Q5">
        <f t="shared" si="0"/>
        <v>10429</v>
      </c>
      <c r="R5" t="str" cm="1">
        <f t="array" ref="R5">INDEX($P$1:$P$10,SMALL(IF($Q$1:$Q$10=S5,ROW($Q$1:$Q$10)),COUNTIF($S$1:S5,S5)))</f>
        <v>Product 6</v>
      </c>
      <c r="S5">
        <f t="shared" si="1"/>
        <v>11472</v>
      </c>
    </row>
    <row r="6" spans="1:19">
      <c r="A6" s="3">
        <f>GETPIVOTDATA("Average of KPI",Control!$A$37)</f>
        <v>0.88916666666666666</v>
      </c>
      <c r="B6" s="3">
        <f>GETPIVOTDATA("Average of KPI",Control!$A$54)</f>
        <v>0.84083333333333321</v>
      </c>
      <c r="C6" s="3">
        <f>AVERAGE(A6*$B$1,B6*$D$1)</f>
        <v>0.86499999999999999</v>
      </c>
      <c r="D6" s="2">
        <f>IF($C6&lt;100%,C6,0)</f>
        <v>0.86499999999999999</v>
      </c>
      <c r="E6" s="2">
        <f>IF($C6&lt;100%,0,C6-100%)</f>
        <v>0</v>
      </c>
      <c r="F6" s="2">
        <f>IF($C6&lt;100%,0,100%-E6)</f>
        <v>0</v>
      </c>
      <c r="G6" s="2">
        <f>IF($C6&lt;100%,100%-D6,0)</f>
        <v>0.13500000000000001</v>
      </c>
      <c r="M6" s="4">
        <f>GETPIVOTDATA(""&amp;P6,Control!$A$37)</f>
        <v>5139</v>
      </c>
      <c r="N6" s="4">
        <f>GETPIVOTDATA(""&amp;P6,Control!$A$54)</f>
        <v>6333</v>
      </c>
      <c r="O6" s="18">
        <v>6</v>
      </c>
      <c r="P6" t="s">
        <v>93</v>
      </c>
      <c r="Q6">
        <f t="shared" si="0"/>
        <v>11472</v>
      </c>
      <c r="R6" t="str" cm="1">
        <f t="array" ref="R6">INDEX($P$1:$P$10,SMALL(IF($Q$1:$Q$10=S6,ROW($Q$1:$Q$10)),COUNTIF($S$1:S6,S6)))</f>
        <v>Product 1</v>
      </c>
      <c r="S6">
        <f t="shared" si="1"/>
        <v>11302</v>
      </c>
    </row>
    <row r="7" spans="1:19">
      <c r="A7" s="3"/>
      <c r="B7" s="3"/>
      <c r="C7" s="3" t="s">
        <v>27</v>
      </c>
      <c r="D7" s="2"/>
      <c r="E7" s="2"/>
      <c r="F7" s="2"/>
      <c r="G7" s="2"/>
      <c r="M7" s="4">
        <f>GETPIVOTDATA(""&amp;P7,Control!$A$37)</f>
        <v>6147</v>
      </c>
      <c r="N7" s="4">
        <f>GETPIVOTDATA(""&amp;P7,Control!$A$54)</f>
        <v>5415</v>
      </c>
      <c r="O7" s="18">
        <v>7</v>
      </c>
      <c r="P7" t="s">
        <v>94</v>
      </c>
      <c r="Q7">
        <f t="shared" si="0"/>
        <v>11562</v>
      </c>
      <c r="R7" t="str" cm="1">
        <f t="array" ref="R7">INDEX($P$1:$P$10,SMALL(IF($Q$1:$Q$10=S7,ROW($Q$1:$Q$10)),COUNTIF($S$1:S7,S7)))</f>
        <v>Product 9</v>
      </c>
      <c r="S7">
        <f t="shared" si="1"/>
        <v>11300</v>
      </c>
    </row>
    <row r="8" spans="1:19">
      <c r="A8" s="3">
        <f>GETPIVOTDATA("Average of Conversion",Control!$A$37)</f>
        <v>0.6875</v>
      </c>
      <c r="B8" s="3">
        <f>GETPIVOTDATA("Average of Conversion",Control!$A$54)</f>
        <v>0.70666666666666667</v>
      </c>
      <c r="C8" s="3">
        <f>AVERAGE(A8*$B$1,B8*$D$1)</f>
        <v>0.69708333333333328</v>
      </c>
      <c r="D8" s="2">
        <f>IF($C8&lt;100%,C8,0)</f>
        <v>0.69708333333333328</v>
      </c>
      <c r="E8" s="2">
        <f>IF($C8&lt;100%,0,C8-100%)</f>
        <v>0</v>
      </c>
      <c r="F8" s="2">
        <f>IF($C8&lt;100%,0,100%-E8)</f>
        <v>0</v>
      </c>
      <c r="G8" s="2">
        <f>IF($C8&lt;100%,100%-D8,0)</f>
        <v>0.30291666666666672</v>
      </c>
      <c r="M8" s="4">
        <f>GETPIVOTDATA(""&amp;P8,Control!$A$37)</f>
        <v>4497</v>
      </c>
      <c r="N8" s="4">
        <f>GETPIVOTDATA(""&amp;P8,Control!$A$54)</f>
        <v>5548</v>
      </c>
      <c r="O8" s="18">
        <v>8</v>
      </c>
      <c r="P8" t="s">
        <v>95</v>
      </c>
      <c r="Q8">
        <f t="shared" si="0"/>
        <v>10045</v>
      </c>
      <c r="R8" t="str" cm="1">
        <f t="array" ref="R8">INDEX($P$1:$P$10,SMALL(IF($Q$1:$Q$10=S8,ROW($Q$1:$Q$10)),COUNTIF($S$1:S8,S8)))</f>
        <v>Product 2</v>
      </c>
      <c r="S8">
        <f t="shared" si="1"/>
        <v>11152</v>
      </c>
    </row>
    <row r="9" spans="1:19">
      <c r="A9" s="3"/>
      <c r="B9" s="3"/>
      <c r="C9" s="3" t="s">
        <v>28</v>
      </c>
      <c r="D9" s="2"/>
      <c r="E9" s="2"/>
      <c r="F9" s="2"/>
      <c r="G9" s="2"/>
      <c r="M9" s="4">
        <f>GETPIVOTDATA(""&amp;P9,Control!$A$37)</f>
        <v>5228</v>
      </c>
      <c r="N9" s="4">
        <f>GETPIVOTDATA(""&amp;P9,Control!$A$54)</f>
        <v>6072</v>
      </c>
      <c r="O9" s="18">
        <v>9</v>
      </c>
      <c r="P9" t="s">
        <v>96</v>
      </c>
      <c r="Q9">
        <f t="shared" si="0"/>
        <v>11300</v>
      </c>
      <c r="R9" t="str" cm="1">
        <f t="array" ref="R9">INDEX($P$1:$P$10,SMALL(IF($Q$1:$Q$10=S9,ROW($Q$1:$Q$10)),COUNTIF($S$1:S9,S9)))</f>
        <v>Product 5</v>
      </c>
      <c r="S9">
        <f t="shared" si="1"/>
        <v>10429</v>
      </c>
    </row>
    <row r="10" spans="1:19">
      <c r="A10" s="3">
        <f>GETPIVOTDATA("Average of Margin",Control!$A$37)</f>
        <v>0.5033333333333333</v>
      </c>
      <c r="B10" s="3">
        <f>GETPIVOTDATA("Average of Margin",Control!$A$54)</f>
        <v>0.16666666666666666</v>
      </c>
      <c r="C10" s="3">
        <f>AVERAGE(A10*$B$1,B10*$D$1)</f>
        <v>0.33499999999999996</v>
      </c>
      <c r="D10" s="2">
        <f>100%-C10</f>
        <v>0.66500000000000004</v>
      </c>
      <c r="M10" s="4">
        <f>GETPIVOTDATA(""&amp;P10,Control!$A$37)</f>
        <v>6062</v>
      </c>
      <c r="N10" s="4">
        <f>GETPIVOTDATA(""&amp;P10,Control!$A$54)</f>
        <v>6432</v>
      </c>
      <c r="O10" s="18">
        <v>10</v>
      </c>
      <c r="P10" t="s">
        <v>128</v>
      </c>
      <c r="Q10">
        <f t="shared" si="0"/>
        <v>12494</v>
      </c>
      <c r="R10" t="str" cm="1">
        <f t="array" ref="R10">INDEX($P$1:$P$10,SMALL(IF($Q$1:$Q$10=S10,ROW($Q$1:$Q$10)),COUNTIF($S$1:S10,S10)))</f>
        <v>Product 8</v>
      </c>
      <c r="S10">
        <f t="shared" si="1"/>
        <v>10045</v>
      </c>
    </row>
    <row r="11" spans="1:19">
      <c r="A11" s="3"/>
      <c r="B11" s="3"/>
      <c r="H11" t="s">
        <v>46</v>
      </c>
      <c r="M11" s="4" t="s">
        <v>84</v>
      </c>
      <c r="N11" s="4" t="s">
        <v>83</v>
      </c>
    </row>
    <row r="12" spans="1:19">
      <c r="A12" s="3" t="s">
        <v>85</v>
      </c>
      <c r="B12" s="3"/>
      <c r="C12" t="s">
        <v>84</v>
      </c>
      <c r="D12" t="s">
        <v>83</v>
      </c>
      <c r="F12" t="s">
        <v>84</v>
      </c>
      <c r="G12" t="s">
        <v>83</v>
      </c>
      <c r="H12" t="s">
        <v>158</v>
      </c>
      <c r="I12" t="s">
        <v>157</v>
      </c>
    </row>
    <row r="13" spans="1:19">
      <c r="A13" t="s">
        <v>39</v>
      </c>
      <c r="B13" s="3">
        <f>AVERAGE(C13*$B$1,D13*$D$1)</f>
        <v>0.24833333333333329</v>
      </c>
      <c r="C13" s="2">
        <f>GETPIVOTDATA(""&amp;A13,Control!$A$37)</f>
        <v>0.29833333333333328</v>
      </c>
      <c r="D13" s="2">
        <f>GETPIVOTDATA(""&amp;A13,Control!$A$54)</f>
        <v>0.19833333333333333</v>
      </c>
      <c r="F13" s="2">
        <f>GETPIVOTDATA(""&amp;H11,Control!$A$37)</f>
        <v>0.62583333333333335</v>
      </c>
      <c r="G13" s="2">
        <f>GETPIVOTDATA(""&amp;H11,Control!$A$54)</f>
        <v>0.66916666666666658</v>
      </c>
      <c r="H13" s="3">
        <f>AVERAGE(F13*$B$1,G13*$D$1)</f>
        <v>0.64749999999999996</v>
      </c>
      <c r="I13" s="3">
        <f>100%-H13</f>
        <v>0.35250000000000004</v>
      </c>
    </row>
    <row r="14" spans="1:19">
      <c r="A14" t="s">
        <v>40</v>
      </c>
      <c r="B14" s="3">
        <f t="shared" ref="B14:B16" si="2">AVERAGE(C14*$B$1,D14*$D$1)</f>
        <v>0.21666666666666673</v>
      </c>
      <c r="C14" s="2">
        <f>GETPIVOTDATA(""&amp;A14,Control!$A$37)</f>
        <v>0.18166666666666673</v>
      </c>
      <c r="D14" s="2">
        <f>GETPIVOTDATA(""&amp;A14,Control!$A$54)</f>
        <v>0.25166666666666671</v>
      </c>
    </row>
    <row r="15" spans="1:19">
      <c r="A15" t="s">
        <v>42</v>
      </c>
      <c r="B15" s="3">
        <f t="shared" si="2"/>
        <v>0.28333333333333333</v>
      </c>
      <c r="C15" s="2">
        <f>GETPIVOTDATA(""&amp;A15,Control!$A$37)</f>
        <v>0.31833333333333336</v>
      </c>
      <c r="D15" s="2">
        <f>GETPIVOTDATA(""&amp;A15,Control!$A$54)</f>
        <v>0.24833333333333329</v>
      </c>
      <c r="I15" s="2" t="e">
        <f ca="1">_xlfn.MAXIFS(C19:C30,C19:C30,"&gt;0")</f>
        <v>#NAME?</v>
      </c>
    </row>
    <row r="16" spans="1:19">
      <c r="A16" t="s">
        <v>41</v>
      </c>
      <c r="B16" s="3">
        <f t="shared" si="2"/>
        <v>0.25166666666666671</v>
      </c>
      <c r="C16" s="2">
        <f>GETPIVOTDATA(""&amp;A16,Control!$A$37)</f>
        <v>0.20166666666666666</v>
      </c>
      <c r="D16" s="2">
        <f>GETPIVOTDATA(""&amp;A16,Control!$A$54)</f>
        <v>0.30166666666666669</v>
      </c>
      <c r="H16" t="s">
        <v>156</v>
      </c>
      <c r="I16" t="s">
        <v>84</v>
      </c>
      <c r="J16" t="s">
        <v>83</v>
      </c>
    </row>
    <row r="17" spans="1:33">
      <c r="I17" s="3" t="e">
        <f ca="1">_xlfn.MAXIFS(C19:C30,C19:C30,"&gt;0")*B1</f>
        <v>#NAME?</v>
      </c>
      <c r="J17" s="3" t="e">
        <f ca="1">_xlfn.MAXIFS(D19:D30,D19:D30,"&gt;0")*D1</f>
        <v>#NAME?</v>
      </c>
      <c r="L17" t="s">
        <v>35</v>
      </c>
      <c r="U17" t="s">
        <v>79</v>
      </c>
      <c r="V17" t="s">
        <v>80</v>
      </c>
      <c r="W17" t="s">
        <v>81</v>
      </c>
      <c r="AA17" t="s">
        <v>12</v>
      </c>
    </row>
    <row r="18" spans="1:33" ht="15">
      <c r="A18" s="4" t="s">
        <v>43</v>
      </c>
      <c r="B18" s="4" t="s">
        <v>44</v>
      </c>
      <c r="C18" s="4" t="s">
        <v>64</v>
      </c>
      <c r="D18" s="4" t="s">
        <v>65</v>
      </c>
      <c r="G18" s="4" t="s">
        <v>63</v>
      </c>
      <c r="H18" s="4">
        <v>1.2</v>
      </c>
      <c r="I18" s="11" t="s">
        <v>36</v>
      </c>
      <c r="J18" s="3"/>
      <c r="L18" t="s">
        <v>73</v>
      </c>
      <c r="M18" t="s">
        <v>74</v>
      </c>
      <c r="N18" t="s">
        <v>75</v>
      </c>
      <c r="O18" t="s">
        <v>76</v>
      </c>
      <c r="P18" t="s">
        <v>77</v>
      </c>
      <c r="Q18" t="s">
        <v>78</v>
      </c>
      <c r="R18" t="s">
        <v>32</v>
      </c>
      <c r="S18" t="s">
        <v>33</v>
      </c>
      <c r="T18" t="s">
        <v>34</v>
      </c>
      <c r="U18" t="s">
        <v>70</v>
      </c>
      <c r="V18" t="s">
        <v>71</v>
      </c>
      <c r="W18" t="s">
        <v>72</v>
      </c>
      <c r="X18" t="s">
        <v>82</v>
      </c>
      <c r="Z18" t="s">
        <v>31</v>
      </c>
      <c r="AA18" t="s">
        <v>30</v>
      </c>
      <c r="AB18" t="s">
        <v>37</v>
      </c>
      <c r="AC18" t="s">
        <v>38</v>
      </c>
      <c r="AE18" t="s">
        <v>68</v>
      </c>
      <c r="AF18" t="s">
        <v>69</v>
      </c>
    </row>
    <row r="19" spans="1:33">
      <c r="A19" s="2">
        <f>GETPIVOTDATA("Average of ROI",Control!$A$3,"Month",$E19)</f>
        <v>0.27400000000000002</v>
      </c>
      <c r="B19" s="2">
        <f>GETPIVOTDATA("Average of ROI",Control!$A$20,"Month",$E19)</f>
        <v>0.30400000000000005</v>
      </c>
      <c r="C19" s="2">
        <f>IFERROR(GETPIVOTDATA("Average of ROI",Control!$A$37,"Month",$E19),NA())*$B$1</f>
        <v>0.27400000000000002</v>
      </c>
      <c r="D19" s="2">
        <f>IFERROR(GETPIVOTDATA("Average of ROI",Control!$A$54,"Month",$E19),NA())*$D$1</f>
        <v>0.30400000000000005</v>
      </c>
      <c r="E19">
        <v>1</v>
      </c>
      <c r="F19" s="4" t="s">
        <v>0</v>
      </c>
      <c r="G19" s="2">
        <f t="shared" ref="G19:G30" si="3">AVERAGE(A19*$B$1,B19*$D$1)</f>
        <v>0.28900000000000003</v>
      </c>
      <c r="H19" s="2">
        <f>MAX($I$19:$J$30)*$H$18</f>
        <v>0.44579999999999997</v>
      </c>
      <c r="I19" s="3">
        <f>AVERAGE(C19*$B$1,D19*$D$1)</f>
        <v>0.28900000000000003</v>
      </c>
      <c r="J19" s="2">
        <f>IF(ISNA(I19),0,(C19&gt;D19)*C19)</f>
        <v>0</v>
      </c>
      <c r="L19">
        <f>GETPIVOTDATA(""&amp;R$18,Control!$A$3,"Month",$E19)</f>
        <v>319.2</v>
      </c>
      <c r="M19">
        <f>GETPIVOTDATA(""&amp;S$18,Control!$A$3,"Month",$E19)</f>
        <v>466.79999999999995</v>
      </c>
      <c r="N19">
        <f>GETPIVOTDATA(""&amp;T$18,Control!$A$3,"Month",$E19)</f>
        <v>598.79999999999995</v>
      </c>
      <c r="O19">
        <f>GETPIVOTDATA(""&amp;R$18,Control!$A$20,"Month",$E19)</f>
        <v>212.8</v>
      </c>
      <c r="P19">
        <f>GETPIVOTDATA(""&amp;S$18,Control!$A$20,"Month",$E19)</f>
        <v>311.20000000000005</v>
      </c>
      <c r="Q19">
        <f>GETPIVOTDATA(""&amp;T$18,Control!$A$20,"Month",$E19)</f>
        <v>399.20000000000005</v>
      </c>
      <c r="R19">
        <f>SUM(L19*$B$1,O19*$D$1)</f>
        <v>532</v>
      </c>
      <c r="S19">
        <f t="shared" ref="S19:T19" si="4">SUM(M19*$B$1,P19*$D$1)</f>
        <v>778</v>
      </c>
      <c r="T19">
        <f t="shared" si="4"/>
        <v>998</v>
      </c>
      <c r="U19">
        <f>IF(ISNA($I19),IF(COUNTIF($I$19:$I$30,"&gt;0")=1,$R19,$I19),R19)</f>
        <v>532</v>
      </c>
      <c r="V19">
        <f>IF(ISNA($I19),IF(COUNTIF($I$19:$I$30,"&gt;0")=1,$S19,$I19),S19)</f>
        <v>778</v>
      </c>
      <c r="W19">
        <f>IF(ISNA($I19),IF(COUNTIF($I$19:$I$30,"&gt;0")=1,$T19,$I19),T19)</f>
        <v>998</v>
      </c>
      <c r="X19" t="e">
        <f>IF(COUNTIF($I$19:$I$30,"&gt;0")=1,INDEX(T19:T30,MATCH($I$31,$I$19:$I$30,0)),NA())</f>
        <v>#N/A</v>
      </c>
      <c r="Y19" t="s">
        <v>67</v>
      </c>
      <c r="Z19">
        <f>GETPIVOTDATA("Sum of Sales",Control!$A$3,"Month",$E19)</f>
        <v>542</v>
      </c>
      <c r="AA19">
        <f>GETPIVOTDATA("Sum of Sales",Control!$A$20,"Month",$E19)</f>
        <v>272</v>
      </c>
      <c r="AB19">
        <f>IF(ISNA($I19),IF(COUNTIF($I$19:$I$30,"&gt;0")=1,$Z19,$I19),Z19)*$B$1</f>
        <v>542</v>
      </c>
      <c r="AC19">
        <f>IF(ISNA($I19),IF(COUNTIF($I$19:$I$30,"&gt;0")=1,$AA19,$I19),AA19)*$D$1</f>
        <v>272</v>
      </c>
      <c r="AD19" t="s">
        <v>67</v>
      </c>
      <c r="AE19" t="e">
        <f>IF(COUNTIF($I$19:$I$30,"&gt;0")=1,INDEX(AB19:AB30,MATCH($I$31,$I$19:$I$30,0)),NA())</f>
        <v>#N/A</v>
      </c>
      <c r="AF19" t="e">
        <f>IF(COUNTIF($I$19:$I$30,"&gt;0")=1,INDEX(AC19:AC30,MATCH($I$31,$I$19:$I$30,0)),NA())</f>
        <v>#N/A</v>
      </c>
    </row>
    <row r="20" spans="1:33">
      <c r="A20" s="2">
        <f>GETPIVOTDATA("Average of ROI",Control!$A$3,"Month",$E20)</f>
        <v>0.33399999999999996</v>
      </c>
      <c r="B20" s="2">
        <f>GETPIVOTDATA("Average of ROI",Control!$A$20,"Month",$E20)</f>
        <v>0.30399999999999999</v>
      </c>
      <c r="C20" s="2">
        <f>IFERROR(GETPIVOTDATA("Average of ROI",Control!$A$37,"Month",$E20),NA())*$B$1</f>
        <v>0.33399999999999996</v>
      </c>
      <c r="D20" s="2">
        <f>IFERROR(GETPIVOTDATA("Average of ROI",Control!$A$54,"Month",$E20),NA())*$D$1</f>
        <v>0.30399999999999999</v>
      </c>
      <c r="E20">
        <v>2</v>
      </c>
      <c r="F20" s="4" t="s">
        <v>1</v>
      </c>
      <c r="G20" s="2">
        <f t="shared" si="3"/>
        <v>0.31899999999999995</v>
      </c>
      <c r="H20" s="2">
        <f t="shared" ref="H20:H30" si="5">MAX($I$19:$J$30)*$H$18</f>
        <v>0.44579999999999997</v>
      </c>
      <c r="I20" s="3">
        <f t="shared" ref="I20:I30" si="6">AVERAGE(C20*$B$1,D20*$D$1)</f>
        <v>0.31899999999999995</v>
      </c>
      <c r="J20" s="2">
        <f t="shared" ref="J20:J30" si="7">IF(ISNA(I20),0,(C20&gt;D20)*C20)</f>
        <v>0.33399999999999996</v>
      </c>
      <c r="L20">
        <f>GETPIVOTDATA(""&amp;R$18,Control!$A$3,"Month",$E20)</f>
        <v>291.2</v>
      </c>
      <c r="M20">
        <f>GETPIVOTDATA(""&amp;S$18,Control!$A$3,"Month",$E20)</f>
        <v>572</v>
      </c>
      <c r="N20">
        <f>GETPIVOTDATA(""&amp;T$18,Control!$A$3,"Month",$E20)</f>
        <v>864</v>
      </c>
      <c r="O20">
        <f>GETPIVOTDATA(""&amp;R$18,Control!$A$20,"Month",$E20)</f>
        <v>72.800000000000011</v>
      </c>
      <c r="P20">
        <f>GETPIVOTDATA(""&amp;S$18,Control!$A$20,"Month",$E20)</f>
        <v>143</v>
      </c>
      <c r="Q20">
        <f>GETPIVOTDATA(""&amp;T$18,Control!$A$20,"Month",$E20)</f>
        <v>216</v>
      </c>
      <c r="R20">
        <f t="shared" ref="R20:R30" si="8">SUM(L20*$B$1,O20*$D$1)</f>
        <v>364</v>
      </c>
      <c r="S20">
        <f t="shared" ref="S20:S30" si="9">SUM(M20*$B$1,P20*$D$1)</f>
        <v>715</v>
      </c>
      <c r="T20">
        <f t="shared" ref="T20:T30" si="10">SUM(N20*$B$1,Q20*$D$1)</f>
        <v>1080</v>
      </c>
      <c r="U20">
        <f t="shared" ref="U20:U30" si="11">IF(ISNA($I20),IF(COUNTIF($I$19:$I$30,"&gt;0")=1,$R20,$I20),R20)</f>
        <v>364</v>
      </c>
      <c r="V20">
        <f t="shared" ref="V20:V30" si="12">IF(ISNA($I20),IF(COUNTIF($I$19:$I$30,"&gt;0")=1,$S20,$I20),S20)</f>
        <v>715</v>
      </c>
      <c r="W20">
        <f t="shared" ref="W20:W30" si="13">IF(ISNA($I20),IF(COUNTIF($I$19:$I$30,"&gt;0")=1,$T20,$I20),T20)</f>
        <v>1080</v>
      </c>
      <c r="X20" t="e">
        <f>$AE$20</f>
        <v>#N/A</v>
      </c>
      <c r="Y20" t="s">
        <v>66</v>
      </c>
      <c r="Z20">
        <f>GETPIVOTDATA("Sum of Sales",Control!$A$3,"Month",$E20)</f>
        <v>314</v>
      </c>
      <c r="AA20">
        <f>GETPIVOTDATA("Sum of Sales",Control!$A$20,"Month",$E20)</f>
        <v>548</v>
      </c>
      <c r="AB20">
        <f t="shared" ref="AB20:AB30" si="14">IF(ISNA($I20),IF(COUNTIF($I$19:$I$30,"&gt;0")=1,$Z20,$I20),Z20)*$B$1</f>
        <v>314</v>
      </c>
      <c r="AC20">
        <f t="shared" ref="AC20:AC30" si="15">IF(ISNA($I20),IF(COUNTIF($I$19:$I$30,"&gt;0")=1,$AA20,$I20),AA20)*$D$1</f>
        <v>548</v>
      </c>
      <c r="AD20" t="s">
        <v>66</v>
      </c>
      <c r="AE20" t="e">
        <f>IF(COUNTIF(I19:I30,"&gt;0")=1,MATCH(I31,I19:I30,0),NA())</f>
        <v>#N/A</v>
      </c>
    </row>
    <row r="21" spans="1:33">
      <c r="A21" s="2">
        <f>GETPIVOTDATA("Average of ROI",Control!$A$3,"Month",$E21)</f>
        <v>0.193</v>
      </c>
      <c r="B21" s="2">
        <f>GETPIVOTDATA("Average of ROI",Control!$A$20,"Month",$E21)</f>
        <v>0.222</v>
      </c>
      <c r="C21" s="2">
        <f>IFERROR(GETPIVOTDATA("Average of ROI",Control!$A$37,"Month",$E21),NA())*$B$1</f>
        <v>0.193</v>
      </c>
      <c r="D21" s="2">
        <f>IFERROR(GETPIVOTDATA("Average of ROI",Control!$A$54,"Month",$E21),NA())*$D$1</f>
        <v>0.222</v>
      </c>
      <c r="E21">
        <v>3</v>
      </c>
      <c r="F21" s="4" t="s">
        <v>2</v>
      </c>
      <c r="G21" s="2">
        <f t="shared" si="3"/>
        <v>0.20750000000000002</v>
      </c>
      <c r="H21" s="2">
        <f t="shared" si="5"/>
        <v>0.44579999999999997</v>
      </c>
      <c r="I21" s="3">
        <f t="shared" si="6"/>
        <v>0.20750000000000002</v>
      </c>
      <c r="J21" s="2">
        <f t="shared" si="7"/>
        <v>0</v>
      </c>
      <c r="L21">
        <f>GETPIVOTDATA(""&amp;R$18,Control!$A$3,"Month",$E21)</f>
        <v>144.5</v>
      </c>
      <c r="M21">
        <f>GETPIVOTDATA(""&amp;S$18,Control!$A$3,"Month",$E21)</f>
        <v>294.5</v>
      </c>
      <c r="N21">
        <f>GETPIVOTDATA(""&amp;T$18,Control!$A$3,"Month",$E21)</f>
        <v>610</v>
      </c>
      <c r="O21">
        <f>GETPIVOTDATA(""&amp;R$18,Control!$A$20,"Month",$E21)</f>
        <v>144.5</v>
      </c>
      <c r="P21">
        <f>GETPIVOTDATA(""&amp;S$18,Control!$A$20,"Month",$E21)</f>
        <v>294.5</v>
      </c>
      <c r="Q21">
        <f>GETPIVOTDATA(""&amp;T$18,Control!$A$20,"Month",$E21)</f>
        <v>610</v>
      </c>
      <c r="R21">
        <f t="shared" si="8"/>
        <v>289</v>
      </c>
      <c r="S21">
        <f t="shared" si="9"/>
        <v>589</v>
      </c>
      <c r="T21">
        <f t="shared" si="10"/>
        <v>1220</v>
      </c>
      <c r="U21">
        <f t="shared" si="11"/>
        <v>289</v>
      </c>
      <c r="V21">
        <f t="shared" si="12"/>
        <v>589</v>
      </c>
      <c r="W21">
        <f t="shared" si="13"/>
        <v>1220</v>
      </c>
      <c r="Z21">
        <f>GETPIVOTDATA("Sum of Sales",Control!$A$3,"Month",$E21)</f>
        <v>452</v>
      </c>
      <c r="AA21">
        <f>GETPIVOTDATA("Sum of Sales",Control!$A$20,"Month",$E21)</f>
        <v>536</v>
      </c>
      <c r="AB21">
        <f t="shared" si="14"/>
        <v>452</v>
      </c>
      <c r="AC21">
        <f t="shared" si="15"/>
        <v>536</v>
      </c>
    </row>
    <row r="22" spans="1:33">
      <c r="A22" s="2">
        <f>GETPIVOTDATA("Average of ROI",Control!$A$3,"Month",$E22)</f>
        <v>0.152</v>
      </c>
      <c r="B22" s="2">
        <f>GETPIVOTDATA("Average of ROI",Control!$A$20,"Month",$E22)</f>
        <v>0.18099999999999999</v>
      </c>
      <c r="C22" s="2">
        <f>IFERROR(GETPIVOTDATA("Average of ROI",Control!$A$37,"Month",$E22),NA())*$B$1</f>
        <v>0.152</v>
      </c>
      <c r="D22" s="2">
        <f>IFERROR(GETPIVOTDATA("Average of ROI",Control!$A$54,"Month",$E22),NA())*$D$1</f>
        <v>0.18099999999999999</v>
      </c>
      <c r="E22">
        <v>4</v>
      </c>
      <c r="F22" s="4" t="s">
        <v>3</v>
      </c>
      <c r="G22" s="2">
        <f t="shared" si="3"/>
        <v>0.16649999999999998</v>
      </c>
      <c r="H22" s="2">
        <f t="shared" si="5"/>
        <v>0.44579999999999997</v>
      </c>
      <c r="I22" s="3">
        <f t="shared" si="6"/>
        <v>0.16649999999999998</v>
      </c>
      <c r="J22" s="2">
        <f t="shared" si="7"/>
        <v>0</v>
      </c>
      <c r="L22">
        <f>GETPIVOTDATA(""&amp;R$18,Control!$A$3,"Month",$E22)</f>
        <v>206.5</v>
      </c>
      <c r="M22">
        <f>GETPIVOTDATA(""&amp;S$18,Control!$A$3,"Month",$E22)</f>
        <v>467.59999999999997</v>
      </c>
      <c r="N22">
        <f>GETPIVOTDATA(""&amp;T$18,Control!$A$3,"Month",$E22)</f>
        <v>850.5</v>
      </c>
      <c r="O22">
        <f>GETPIVOTDATA(""&amp;R$18,Control!$A$20,"Month",$E22)</f>
        <v>88.5</v>
      </c>
      <c r="P22">
        <f>GETPIVOTDATA(""&amp;S$18,Control!$A$20,"Month",$E22)</f>
        <v>200.40000000000003</v>
      </c>
      <c r="Q22">
        <f>GETPIVOTDATA(""&amp;T$18,Control!$A$20,"Month",$E22)</f>
        <v>364.5</v>
      </c>
      <c r="R22">
        <f t="shared" si="8"/>
        <v>295</v>
      </c>
      <c r="S22">
        <f t="shared" si="9"/>
        <v>668</v>
      </c>
      <c r="T22">
        <f t="shared" si="10"/>
        <v>1215</v>
      </c>
      <c r="U22">
        <f t="shared" si="11"/>
        <v>295</v>
      </c>
      <c r="V22">
        <f t="shared" si="12"/>
        <v>668</v>
      </c>
      <c r="W22">
        <f t="shared" si="13"/>
        <v>1215</v>
      </c>
      <c r="Z22">
        <f>GETPIVOTDATA("Sum of Sales",Control!$A$3,"Month",$E22)</f>
        <v>452</v>
      </c>
      <c r="AA22">
        <f>GETPIVOTDATA("Sum of Sales",Control!$A$20,"Month",$E22)</f>
        <v>602</v>
      </c>
      <c r="AB22">
        <f t="shared" si="14"/>
        <v>452</v>
      </c>
      <c r="AC22">
        <f t="shared" si="15"/>
        <v>602</v>
      </c>
    </row>
    <row r="23" spans="1:33">
      <c r="A23" s="2">
        <f>GETPIVOTDATA("Average of ROI",Control!$A$3,"Month",$E23)</f>
        <v>0.26400000000000001</v>
      </c>
      <c r="B23" s="2">
        <f>GETPIVOTDATA("Average of ROI",Control!$A$20,"Month",$E23)</f>
        <v>0.16200000000000001</v>
      </c>
      <c r="C23" s="2">
        <f>IFERROR(GETPIVOTDATA("Average of ROI",Control!$A$37,"Month",$E23),NA())*$B$1</f>
        <v>0.26400000000000001</v>
      </c>
      <c r="D23" s="2">
        <f>IFERROR(GETPIVOTDATA("Average of ROI",Control!$A$54,"Month",$E23),NA())*$D$1</f>
        <v>0.16200000000000001</v>
      </c>
      <c r="E23">
        <v>5</v>
      </c>
      <c r="F23" s="4" t="s">
        <v>4</v>
      </c>
      <c r="G23" s="2">
        <f t="shared" si="3"/>
        <v>0.21300000000000002</v>
      </c>
      <c r="H23" s="2">
        <f t="shared" si="5"/>
        <v>0.44579999999999997</v>
      </c>
      <c r="I23" s="3">
        <f t="shared" si="6"/>
        <v>0.21300000000000002</v>
      </c>
      <c r="J23" s="2">
        <f t="shared" si="7"/>
        <v>0.26400000000000001</v>
      </c>
      <c r="L23">
        <f>GETPIVOTDATA(""&amp;R$18,Control!$A$3,"Month",$E23)</f>
        <v>242.2</v>
      </c>
      <c r="M23">
        <f>GETPIVOTDATA(""&amp;S$18,Control!$A$3,"Month",$E23)</f>
        <v>468.99999999999994</v>
      </c>
      <c r="N23">
        <f>GETPIVOTDATA(""&amp;T$18,Control!$A$3,"Month",$E23)</f>
        <v>700</v>
      </c>
      <c r="O23">
        <f>GETPIVOTDATA(""&amp;R$18,Control!$A$20,"Month",$E23)</f>
        <v>103.80000000000001</v>
      </c>
      <c r="P23">
        <f>GETPIVOTDATA(""&amp;S$18,Control!$A$20,"Month",$E23)</f>
        <v>201.00000000000006</v>
      </c>
      <c r="Q23">
        <f>GETPIVOTDATA(""&amp;T$18,Control!$A$20,"Month",$E23)</f>
        <v>300</v>
      </c>
      <c r="R23">
        <f t="shared" si="8"/>
        <v>346</v>
      </c>
      <c r="S23">
        <f t="shared" si="9"/>
        <v>670</v>
      </c>
      <c r="T23">
        <f t="shared" si="10"/>
        <v>1000</v>
      </c>
      <c r="U23">
        <f t="shared" si="11"/>
        <v>346</v>
      </c>
      <c r="V23">
        <f t="shared" si="12"/>
        <v>670</v>
      </c>
      <c r="W23">
        <f t="shared" si="13"/>
        <v>1000</v>
      </c>
      <c r="Z23">
        <f>GETPIVOTDATA("Sum of Sales",Control!$A$3,"Month",$E23)</f>
        <v>680</v>
      </c>
      <c r="AA23">
        <f>GETPIVOTDATA("Sum of Sales",Control!$A$20,"Month",$E23)</f>
        <v>830</v>
      </c>
      <c r="AB23">
        <f t="shared" si="14"/>
        <v>680</v>
      </c>
      <c r="AC23">
        <f t="shared" si="15"/>
        <v>830</v>
      </c>
    </row>
    <row r="24" spans="1:33">
      <c r="A24" s="2">
        <f>GETPIVOTDATA("Average of ROI",Control!$A$3,"Month",$E24)</f>
        <v>0.25600000000000001</v>
      </c>
      <c r="B24" s="2">
        <f>GETPIVOTDATA("Average of ROI",Control!$A$20,"Month",$E24)</f>
        <v>0.157</v>
      </c>
      <c r="C24" s="2">
        <f>IFERROR(GETPIVOTDATA("Average of ROI",Control!$A$37,"Month",$E24),NA())*$B$1</f>
        <v>0.25600000000000001</v>
      </c>
      <c r="D24" s="2">
        <f>IFERROR(GETPIVOTDATA("Average of ROI",Control!$A$54,"Month",$E24),NA())*$D$1</f>
        <v>0.157</v>
      </c>
      <c r="E24">
        <v>6</v>
      </c>
      <c r="F24" s="4" t="s">
        <v>5</v>
      </c>
      <c r="G24" s="2">
        <f t="shared" si="3"/>
        <v>0.20650000000000002</v>
      </c>
      <c r="H24" s="2">
        <f t="shared" si="5"/>
        <v>0.44579999999999997</v>
      </c>
      <c r="I24" s="3">
        <f t="shared" si="6"/>
        <v>0.20650000000000002</v>
      </c>
      <c r="J24" s="2">
        <f t="shared" si="7"/>
        <v>0.25600000000000001</v>
      </c>
      <c r="L24">
        <f>GETPIVOTDATA(""&amp;R$18,Control!$A$3,"Month",$E24)</f>
        <v>222</v>
      </c>
      <c r="M24">
        <f>GETPIVOTDATA(""&amp;S$18,Control!$A$3,"Month",$E24)</f>
        <v>352.8</v>
      </c>
      <c r="N24">
        <f>GETPIVOTDATA(""&amp;T$18,Control!$A$3,"Month",$E24)</f>
        <v>552</v>
      </c>
      <c r="O24">
        <f>GETPIVOTDATA(""&amp;R$18,Control!$A$20,"Month",$E24)</f>
        <v>148</v>
      </c>
      <c r="P24">
        <f>GETPIVOTDATA(""&amp;S$18,Control!$A$20,"Month",$E24)</f>
        <v>235.2</v>
      </c>
      <c r="Q24">
        <f>GETPIVOTDATA(""&amp;T$18,Control!$A$20,"Month",$E24)</f>
        <v>368</v>
      </c>
      <c r="R24">
        <f t="shared" si="8"/>
        <v>370</v>
      </c>
      <c r="S24">
        <f t="shared" si="9"/>
        <v>588</v>
      </c>
      <c r="T24">
        <f t="shared" si="10"/>
        <v>920</v>
      </c>
      <c r="U24">
        <f t="shared" si="11"/>
        <v>370</v>
      </c>
      <c r="V24">
        <f t="shared" si="12"/>
        <v>588</v>
      </c>
      <c r="W24">
        <f t="shared" si="13"/>
        <v>920</v>
      </c>
      <c r="Z24">
        <f>GETPIVOTDATA("Sum of Sales",Control!$A$3,"Month",$E24)</f>
        <v>652</v>
      </c>
      <c r="AA24">
        <f>GETPIVOTDATA("Sum of Sales",Control!$A$20,"Month",$E24)</f>
        <v>884</v>
      </c>
      <c r="AB24">
        <f t="shared" si="14"/>
        <v>652</v>
      </c>
      <c r="AC24">
        <f t="shared" si="15"/>
        <v>884</v>
      </c>
    </row>
    <row r="25" spans="1:33">
      <c r="A25" s="2">
        <f>GETPIVOTDATA("Average of ROI",Control!$A$3,"Month",$E25)</f>
        <v>0.27500000000000002</v>
      </c>
      <c r="B25" s="2">
        <f>GETPIVOTDATA("Average of ROI",Control!$A$20,"Month",$E25)</f>
        <v>0.30500000000000005</v>
      </c>
      <c r="C25" s="2">
        <f>IFERROR(GETPIVOTDATA("Average of ROI",Control!$A$37,"Month",$E25),NA())*$B$1</f>
        <v>0.27500000000000002</v>
      </c>
      <c r="D25" s="2">
        <f>IFERROR(GETPIVOTDATA("Average of ROI",Control!$A$54,"Month",$E25),NA())*$D$1</f>
        <v>0.30500000000000005</v>
      </c>
      <c r="E25">
        <v>7</v>
      </c>
      <c r="F25" s="4" t="s">
        <v>6</v>
      </c>
      <c r="G25" s="2">
        <f t="shared" si="3"/>
        <v>0.29000000000000004</v>
      </c>
      <c r="H25" s="2">
        <f t="shared" si="5"/>
        <v>0.44579999999999997</v>
      </c>
      <c r="I25" s="3">
        <f t="shared" si="6"/>
        <v>0.29000000000000004</v>
      </c>
      <c r="J25" s="2">
        <f t="shared" si="7"/>
        <v>0</v>
      </c>
      <c r="L25">
        <f>GETPIVOTDATA(""&amp;R$18,Control!$A$3,"Month",$E25)</f>
        <v>226.79999999999998</v>
      </c>
      <c r="M25">
        <f>GETPIVOTDATA(""&amp;S$18,Control!$A$3,"Month",$E25)</f>
        <v>373.79999999999995</v>
      </c>
      <c r="N25">
        <f>GETPIVOTDATA(""&amp;T$18,Control!$A$3,"Month",$E25)</f>
        <v>626.5</v>
      </c>
      <c r="O25">
        <f>GETPIVOTDATA(""&amp;R$18,Control!$A$20,"Month",$E25)</f>
        <v>97.200000000000017</v>
      </c>
      <c r="P25">
        <f>GETPIVOTDATA(""&amp;S$18,Control!$A$20,"Month",$E25)</f>
        <v>160.20000000000005</v>
      </c>
      <c r="Q25">
        <f>GETPIVOTDATA(""&amp;T$18,Control!$A$20,"Month",$E25)</f>
        <v>268.5</v>
      </c>
      <c r="R25">
        <f t="shared" si="8"/>
        <v>324</v>
      </c>
      <c r="S25">
        <f t="shared" si="9"/>
        <v>534</v>
      </c>
      <c r="T25">
        <f t="shared" si="10"/>
        <v>895</v>
      </c>
      <c r="U25">
        <f t="shared" si="11"/>
        <v>324</v>
      </c>
      <c r="V25">
        <f t="shared" si="12"/>
        <v>534</v>
      </c>
      <c r="W25">
        <f t="shared" si="13"/>
        <v>895</v>
      </c>
      <c r="Z25">
        <f>GETPIVOTDATA("Sum of Sales",Control!$A$3,"Month",$E25)</f>
        <v>464</v>
      </c>
      <c r="AA25">
        <f>GETPIVOTDATA("Sum of Sales",Control!$A$20,"Month",$E25)</f>
        <v>626</v>
      </c>
      <c r="AB25">
        <f t="shared" si="14"/>
        <v>464</v>
      </c>
      <c r="AC25">
        <f t="shared" si="15"/>
        <v>626</v>
      </c>
    </row>
    <row r="26" spans="1:33">
      <c r="A26" s="2">
        <f>GETPIVOTDATA("Average of ROI",Control!$A$3,"Month",$E26)</f>
        <v>0.22</v>
      </c>
      <c r="B26" s="2">
        <f>GETPIVOTDATA("Average of ROI",Control!$A$20,"Month",$E26)</f>
        <v>0.191</v>
      </c>
      <c r="C26" s="2">
        <f>IFERROR(GETPIVOTDATA("Average of ROI",Control!$A$37,"Month",$E26),NA())*$B$1</f>
        <v>0.22</v>
      </c>
      <c r="D26" s="2">
        <f>IFERROR(GETPIVOTDATA("Average of ROI",Control!$A$54,"Month",$E26),NA())*$D$1</f>
        <v>0.191</v>
      </c>
      <c r="E26">
        <v>8</v>
      </c>
      <c r="F26" s="4" t="s">
        <v>7</v>
      </c>
      <c r="G26" s="2">
        <f t="shared" si="3"/>
        <v>0.20550000000000002</v>
      </c>
      <c r="H26" s="2">
        <f t="shared" si="5"/>
        <v>0.44579999999999997</v>
      </c>
      <c r="I26" s="3">
        <f t="shared" si="6"/>
        <v>0.20550000000000002</v>
      </c>
      <c r="J26" s="2">
        <f t="shared" si="7"/>
        <v>0.22</v>
      </c>
      <c r="L26">
        <f>GETPIVOTDATA(""&amp;R$18,Control!$A$3,"Month",$E26)</f>
        <v>135.6</v>
      </c>
      <c r="M26">
        <f>GETPIVOTDATA(""&amp;S$18,Control!$A$3,"Month",$E26)</f>
        <v>345.59999999999997</v>
      </c>
      <c r="N26">
        <f>GETPIVOTDATA(""&amp;T$18,Control!$A$3,"Month",$E26)</f>
        <v>573.6</v>
      </c>
      <c r="O26">
        <f>GETPIVOTDATA(""&amp;R$18,Control!$A$20,"Month",$E26)</f>
        <v>90.4</v>
      </c>
      <c r="P26">
        <f>GETPIVOTDATA(""&amp;S$18,Control!$A$20,"Month",$E26)</f>
        <v>230.40000000000003</v>
      </c>
      <c r="Q26">
        <f>GETPIVOTDATA(""&amp;T$18,Control!$A$20,"Month",$E26)</f>
        <v>382.4</v>
      </c>
      <c r="R26">
        <f t="shared" si="8"/>
        <v>226</v>
      </c>
      <c r="S26">
        <f t="shared" si="9"/>
        <v>576</v>
      </c>
      <c r="T26">
        <f t="shared" si="10"/>
        <v>956</v>
      </c>
      <c r="U26">
        <f t="shared" si="11"/>
        <v>226</v>
      </c>
      <c r="V26">
        <f t="shared" si="12"/>
        <v>576</v>
      </c>
      <c r="W26">
        <f t="shared" si="13"/>
        <v>956</v>
      </c>
      <c r="Z26">
        <f>GETPIVOTDATA("Sum of Sales",Control!$A$3,"Month",$E26)</f>
        <v>512</v>
      </c>
      <c r="AA26">
        <f>GETPIVOTDATA("Sum of Sales",Control!$A$20,"Month",$E26)</f>
        <v>632</v>
      </c>
      <c r="AB26">
        <f t="shared" si="14"/>
        <v>512</v>
      </c>
      <c r="AC26">
        <f t="shared" si="15"/>
        <v>632</v>
      </c>
    </row>
    <row r="27" spans="1:33">
      <c r="A27" s="2">
        <f>GETPIVOTDATA("Average of ROI",Control!$A$3,"Month",$E27)</f>
        <v>0.26900000000000002</v>
      </c>
      <c r="B27" s="2">
        <f>GETPIVOTDATA("Average of ROI",Control!$A$20,"Month",$E27)</f>
        <v>0.29900000000000004</v>
      </c>
      <c r="C27" s="2">
        <f>IFERROR(GETPIVOTDATA("Average of ROI",Control!$A$37,"Month",$E27),NA())*$B$1</f>
        <v>0.26900000000000002</v>
      </c>
      <c r="D27" s="2">
        <f>IFERROR(GETPIVOTDATA("Average of ROI",Control!$A$54,"Month",$E27),NA())*$D$1</f>
        <v>0.29900000000000004</v>
      </c>
      <c r="E27">
        <v>9</v>
      </c>
      <c r="F27" s="4" t="s">
        <v>8</v>
      </c>
      <c r="G27" s="2">
        <f t="shared" si="3"/>
        <v>0.28400000000000003</v>
      </c>
      <c r="H27" s="2">
        <f t="shared" si="5"/>
        <v>0.44579999999999997</v>
      </c>
      <c r="I27" s="3">
        <f t="shared" si="6"/>
        <v>0.28400000000000003</v>
      </c>
      <c r="J27" s="2">
        <f t="shared" si="7"/>
        <v>0</v>
      </c>
      <c r="L27">
        <f>GETPIVOTDATA(""&amp;R$18,Control!$A$3,"Month",$E27)</f>
        <v>87</v>
      </c>
      <c r="M27">
        <f>GETPIVOTDATA(""&amp;S$18,Control!$A$3,"Month",$E27)</f>
        <v>342</v>
      </c>
      <c r="N27">
        <f>GETPIVOTDATA(""&amp;T$18,Control!$A$3,"Month",$E27)</f>
        <v>536</v>
      </c>
      <c r="O27">
        <f>GETPIVOTDATA(""&amp;R$18,Control!$A$20,"Month",$E27)</f>
        <v>87</v>
      </c>
      <c r="P27">
        <f>GETPIVOTDATA(""&amp;S$18,Control!$A$20,"Month",$E27)</f>
        <v>342</v>
      </c>
      <c r="Q27">
        <f>GETPIVOTDATA(""&amp;T$18,Control!$A$20,"Month",$E27)</f>
        <v>536</v>
      </c>
      <c r="R27">
        <f t="shared" si="8"/>
        <v>174</v>
      </c>
      <c r="S27">
        <f t="shared" si="9"/>
        <v>684</v>
      </c>
      <c r="T27">
        <f t="shared" si="10"/>
        <v>1072</v>
      </c>
      <c r="U27">
        <f t="shared" si="11"/>
        <v>174</v>
      </c>
      <c r="V27">
        <f t="shared" si="12"/>
        <v>684</v>
      </c>
      <c r="W27">
        <f t="shared" si="13"/>
        <v>1072</v>
      </c>
      <c r="Z27">
        <f>GETPIVOTDATA("Sum of Sales",Control!$A$3,"Month",$E27)</f>
        <v>380</v>
      </c>
      <c r="AA27">
        <f>GETPIVOTDATA("Sum of Sales",Control!$A$20,"Month",$E27)</f>
        <v>518</v>
      </c>
      <c r="AB27">
        <f t="shared" si="14"/>
        <v>380</v>
      </c>
      <c r="AC27">
        <f t="shared" si="15"/>
        <v>518</v>
      </c>
    </row>
    <row r="28" spans="1:33">
      <c r="A28" s="2">
        <f>GETPIVOTDATA("Average of ROI",Control!$A$3,"Month",$E28)</f>
        <v>0.32800000000000001</v>
      </c>
      <c r="B28" s="2">
        <f>GETPIVOTDATA("Average of ROI",Control!$A$20,"Month",$E28)</f>
        <v>0.35699999999999998</v>
      </c>
      <c r="C28" s="2">
        <f>IFERROR(GETPIVOTDATA("Average of ROI",Control!$A$37,"Month",$E28),NA())*$B$1</f>
        <v>0.32800000000000001</v>
      </c>
      <c r="D28" s="2">
        <f>IFERROR(GETPIVOTDATA("Average of ROI",Control!$A$54,"Month",$E28),NA())*$D$1</f>
        <v>0.35699999999999998</v>
      </c>
      <c r="E28">
        <v>10</v>
      </c>
      <c r="F28" s="4" t="s">
        <v>9</v>
      </c>
      <c r="G28" s="2">
        <f t="shared" si="3"/>
        <v>0.34250000000000003</v>
      </c>
      <c r="H28" s="2">
        <f t="shared" si="5"/>
        <v>0.44579999999999997</v>
      </c>
      <c r="I28" s="3">
        <f t="shared" si="6"/>
        <v>0.34250000000000003</v>
      </c>
      <c r="J28" s="2">
        <f t="shared" si="7"/>
        <v>0</v>
      </c>
      <c r="L28">
        <f>GETPIVOTDATA(""&amp;R$18,Control!$A$3,"Month",$E28)</f>
        <v>133</v>
      </c>
      <c r="M28">
        <f>GETPIVOTDATA(""&amp;S$18,Control!$A$3,"Month",$E28)</f>
        <v>515.19999999999993</v>
      </c>
      <c r="N28">
        <f>GETPIVOTDATA(""&amp;T$18,Control!$A$3,"Month",$E28)</f>
        <v>758.8</v>
      </c>
      <c r="O28">
        <f>GETPIVOTDATA(""&amp;R$18,Control!$A$20,"Month",$E28)</f>
        <v>57</v>
      </c>
      <c r="P28">
        <f>GETPIVOTDATA(""&amp;S$18,Control!$A$20,"Month",$E28)</f>
        <v>220.80000000000007</v>
      </c>
      <c r="Q28">
        <f>GETPIVOTDATA(""&amp;T$18,Control!$A$20,"Month",$E28)</f>
        <v>325.20000000000005</v>
      </c>
      <c r="R28">
        <f t="shared" si="8"/>
        <v>190</v>
      </c>
      <c r="S28">
        <f t="shared" si="9"/>
        <v>736</v>
      </c>
      <c r="T28">
        <f t="shared" si="10"/>
        <v>1084</v>
      </c>
      <c r="U28">
        <f t="shared" si="11"/>
        <v>190</v>
      </c>
      <c r="V28">
        <f t="shared" si="12"/>
        <v>736</v>
      </c>
      <c r="W28">
        <f t="shared" si="13"/>
        <v>1084</v>
      </c>
      <c r="Z28">
        <f>GETPIVOTDATA("Sum of Sales",Control!$A$3,"Month",$E28)</f>
        <v>767</v>
      </c>
      <c r="AA28">
        <f>GETPIVOTDATA("Sum of Sales",Control!$A$20,"Month",$E28)</f>
        <v>554</v>
      </c>
      <c r="AB28">
        <f t="shared" si="14"/>
        <v>767</v>
      </c>
      <c r="AC28">
        <f t="shared" si="15"/>
        <v>554</v>
      </c>
    </row>
    <row r="29" spans="1:33">
      <c r="A29" s="2">
        <f>GETPIVOTDATA("Average of ROI",Control!$A$3,"Month",$E29)</f>
        <v>0.36399999999999999</v>
      </c>
      <c r="B29" s="2">
        <f>GETPIVOTDATA("Average of ROI",Control!$A$20,"Month",$E29)</f>
        <v>0.21199999999999999</v>
      </c>
      <c r="C29" s="2">
        <f>IFERROR(GETPIVOTDATA("Average of ROI",Control!$A$37,"Month",$E29),NA())*$B$1</f>
        <v>0.36399999999999999</v>
      </c>
      <c r="D29" s="2">
        <f>IFERROR(GETPIVOTDATA("Average of ROI",Control!$A$54,"Month",$E29),NA())*$D$1</f>
        <v>0.21199999999999999</v>
      </c>
      <c r="E29">
        <v>11</v>
      </c>
      <c r="F29" s="4" t="s">
        <v>10</v>
      </c>
      <c r="G29" s="2">
        <f t="shared" si="3"/>
        <v>0.28799999999999998</v>
      </c>
      <c r="H29" s="2">
        <f t="shared" si="5"/>
        <v>0.44579999999999997</v>
      </c>
      <c r="I29" s="3">
        <f t="shared" si="6"/>
        <v>0.28799999999999998</v>
      </c>
      <c r="J29" s="2">
        <f t="shared" si="7"/>
        <v>0.36399999999999999</v>
      </c>
      <c r="L29">
        <f>GETPIVOTDATA(""&amp;R$18,Control!$A$3,"Month",$E29)</f>
        <v>176.39999999999998</v>
      </c>
      <c r="M29">
        <f>GETPIVOTDATA(""&amp;S$18,Control!$A$3,"Month",$E29)</f>
        <v>496.99999999999994</v>
      </c>
      <c r="N29">
        <f>GETPIVOTDATA(""&amp;T$18,Control!$A$3,"Month",$E29)</f>
        <v>697.9</v>
      </c>
      <c r="O29">
        <f>GETPIVOTDATA(""&amp;R$18,Control!$A$20,"Month",$E29)</f>
        <v>75.600000000000023</v>
      </c>
      <c r="P29">
        <f>GETPIVOTDATA(""&amp;S$18,Control!$A$20,"Month",$E29)</f>
        <v>213.00000000000006</v>
      </c>
      <c r="Q29">
        <f>GETPIVOTDATA(""&amp;T$18,Control!$A$20,"Month",$E29)</f>
        <v>299.10000000000002</v>
      </c>
      <c r="R29">
        <f t="shared" si="8"/>
        <v>252</v>
      </c>
      <c r="S29">
        <f t="shared" si="9"/>
        <v>710</v>
      </c>
      <c r="T29">
        <f t="shared" si="10"/>
        <v>997</v>
      </c>
      <c r="U29">
        <f t="shared" si="11"/>
        <v>252</v>
      </c>
      <c r="V29">
        <f t="shared" si="12"/>
        <v>710</v>
      </c>
      <c r="W29">
        <f t="shared" si="13"/>
        <v>997</v>
      </c>
      <c r="Z29">
        <f>GETPIVOTDATA("Sum of Sales",Control!$A$3,"Month",$E29)</f>
        <v>638</v>
      </c>
      <c r="AA29">
        <f>GETPIVOTDATA("Sum of Sales",Control!$A$20,"Month",$E29)</f>
        <v>794</v>
      </c>
      <c r="AB29">
        <f t="shared" si="14"/>
        <v>638</v>
      </c>
      <c r="AC29">
        <f t="shared" si="15"/>
        <v>794</v>
      </c>
    </row>
    <row r="30" spans="1:33">
      <c r="A30" s="2">
        <f>GETPIVOTDATA("Average of ROI",Control!$A$3,"Month",$E30)</f>
        <v>0.35699999999999998</v>
      </c>
      <c r="B30" s="2">
        <f>GETPIVOTDATA("Average of ROI",Control!$A$20,"Month",$E30)</f>
        <v>0.38600000000000001</v>
      </c>
      <c r="C30" s="2">
        <f>IFERROR(GETPIVOTDATA("Average of ROI",Control!$A$37,"Month",$E30),NA())*$B$1</f>
        <v>0.35699999999999998</v>
      </c>
      <c r="D30" s="2">
        <f>IFERROR(GETPIVOTDATA("Average of ROI",Control!$A$54,"Month",$E30),NA())*$D$1</f>
        <v>0.38600000000000001</v>
      </c>
      <c r="E30">
        <v>12</v>
      </c>
      <c r="F30" s="4" t="s">
        <v>11</v>
      </c>
      <c r="G30" s="2">
        <f t="shared" si="3"/>
        <v>0.3715</v>
      </c>
      <c r="H30" s="2">
        <f t="shared" si="5"/>
        <v>0.44579999999999997</v>
      </c>
      <c r="I30" s="3">
        <f t="shared" si="6"/>
        <v>0.3715</v>
      </c>
      <c r="J30" s="2">
        <f t="shared" si="7"/>
        <v>0</v>
      </c>
      <c r="L30">
        <f>GETPIVOTDATA(""&amp;R$18,Control!$A$3,"Month",$E30)</f>
        <v>183.5</v>
      </c>
      <c r="M30">
        <f>GETPIVOTDATA(""&amp;S$18,Control!$A$3,"Month",$E30)</f>
        <v>314</v>
      </c>
      <c r="N30">
        <f>GETPIVOTDATA(""&amp;T$18,Control!$A$3,"Month",$E30)</f>
        <v>410.5</v>
      </c>
      <c r="O30">
        <f>GETPIVOTDATA(""&amp;R$18,Control!$A$20,"Month",$E30)</f>
        <v>183.5</v>
      </c>
      <c r="P30">
        <f>GETPIVOTDATA(""&amp;S$18,Control!$A$20,"Month",$E30)</f>
        <v>314</v>
      </c>
      <c r="Q30">
        <f>GETPIVOTDATA(""&amp;T$18,Control!$A$20,"Month",$E30)</f>
        <v>410.5</v>
      </c>
      <c r="R30">
        <f t="shared" si="8"/>
        <v>367</v>
      </c>
      <c r="S30">
        <f t="shared" si="9"/>
        <v>628</v>
      </c>
      <c r="T30">
        <f t="shared" si="10"/>
        <v>821</v>
      </c>
      <c r="U30">
        <f t="shared" si="11"/>
        <v>367</v>
      </c>
      <c r="V30">
        <f t="shared" si="12"/>
        <v>628</v>
      </c>
      <c r="W30">
        <f t="shared" si="13"/>
        <v>821</v>
      </c>
      <c r="Z30">
        <f>GETPIVOTDATA("Sum of Sales",Control!$A$3,"Month",$E30)</f>
        <v>548</v>
      </c>
      <c r="AA30">
        <f>GETPIVOTDATA("Sum of Sales",Control!$A$20,"Month",$E30)</f>
        <v>636</v>
      </c>
      <c r="AB30">
        <f t="shared" si="14"/>
        <v>548</v>
      </c>
      <c r="AC30">
        <f t="shared" si="15"/>
        <v>636</v>
      </c>
    </row>
    <row r="31" spans="1:33">
      <c r="I31" s="2">
        <f>SUMIF(I19:I30,"&gt;0")</f>
        <v>3.1830000000000003</v>
      </c>
      <c r="U31" s="23" cm="1">
        <f t="array" ref="U31">IF(ISNA($X$20),AVERAGEIF(U19:U30,"&gt;0"),INDEX(U19:U30,$X$20))</f>
        <v>310.75</v>
      </c>
      <c r="V31" s="23" cm="1">
        <f t="array" ref="V31">IF(ISNA($X$20),AVERAGEIF(V19:V30,"&gt;0"),INDEX(V19:V30,$X$20))</f>
        <v>656.33333333333337</v>
      </c>
      <c r="W31" s="23" cm="1">
        <f t="array" ref="W31">IF(ISNA($X$20),AVERAGEIF(W19:W30,"&gt;0"),INDEX(W19:W30,$X$20))</f>
        <v>1021.5</v>
      </c>
      <c r="Z31" t="s">
        <v>155</v>
      </c>
      <c r="AA31" s="22">
        <f>SUM(AB31:AC31)</f>
        <v>13833</v>
      </c>
      <c r="AB31" s="22">
        <f>IF(ISNA($AE$20),SUMIF(AB19:AB30,"&gt;0"),AE19)</f>
        <v>6401</v>
      </c>
      <c r="AC31" s="22">
        <f>IF(ISNA($AE$20),SUMIF(AC19:AC30,"&gt;0"),AF19)</f>
        <v>7432</v>
      </c>
    </row>
    <row r="32" spans="1:33" ht="34.15" customHeight="1">
      <c r="A32" t="s">
        <v>13</v>
      </c>
      <c r="B32" s="13" t="s">
        <v>86</v>
      </c>
      <c r="E32" t="s">
        <v>84</v>
      </c>
      <c r="F32" t="s">
        <v>83</v>
      </c>
      <c r="G32" s="26" t="s">
        <v>14</v>
      </c>
      <c r="H32" s="26"/>
      <c r="K32" t="s">
        <v>159</v>
      </c>
      <c r="L32">
        <v>0.5</v>
      </c>
      <c r="O32" s="13" t="s">
        <v>97</v>
      </c>
      <c r="P32" s="13" t="s">
        <v>98</v>
      </c>
      <c r="Q32" s="13" t="s">
        <v>99</v>
      </c>
      <c r="R32" s="13" t="s">
        <v>97</v>
      </c>
      <c r="S32" s="13" t="s">
        <v>98</v>
      </c>
      <c r="T32" s="13" t="s">
        <v>99</v>
      </c>
      <c r="U32" s="13" t="s">
        <v>97</v>
      </c>
      <c r="V32" s="13" t="s">
        <v>98</v>
      </c>
      <c r="W32" s="13" t="s">
        <v>99</v>
      </c>
      <c r="X32" s="13" t="s">
        <v>108</v>
      </c>
      <c r="Y32" s="13" t="s">
        <v>108</v>
      </c>
      <c r="Z32" s="13" t="s">
        <v>108</v>
      </c>
      <c r="AA32" t="s">
        <v>82</v>
      </c>
      <c r="AF32" s="4" t="s">
        <v>84</v>
      </c>
      <c r="AG32" s="4" t="s">
        <v>83</v>
      </c>
    </row>
    <row r="33" spans="1:39">
      <c r="A33">
        <v>1</v>
      </c>
      <c r="B33" s="3">
        <f>AVERAGE(B38*$B$1,C38*$D$1)</f>
        <v>0.58916666666666662</v>
      </c>
      <c r="C33" s="3">
        <f>100%-B33</f>
        <v>0.41083333333333338</v>
      </c>
      <c r="E33">
        <f>GETPIVOTDATA("Sum of Stock Balances",Control!$A$3,"Month",E19)</f>
        <v>621</v>
      </c>
      <c r="F33">
        <f>GETPIVOTDATA("Sum of Stock Balances",Control!$A$20,"Month",E19)</f>
        <v>207</v>
      </c>
      <c r="G33">
        <f>AVERAGE(E33*$B$1,F33*$D$1)</f>
        <v>414</v>
      </c>
      <c r="H33">
        <f>IF(ISNA(I19),I19,G33)</f>
        <v>414</v>
      </c>
      <c r="J33">
        <v>1</v>
      </c>
      <c r="K33" t="str">
        <f>R1</f>
        <v>Product 3</v>
      </c>
      <c r="L33">
        <f>$M$33*$L$32</f>
        <v>6707.5</v>
      </c>
      <c r="M33">
        <f>S1</f>
        <v>13415</v>
      </c>
      <c r="O33">
        <f>GETPIVOTDATA(""&amp;O$32,Control!$A$3,"Month",$E19)</f>
        <v>446</v>
      </c>
      <c r="P33">
        <f>GETPIVOTDATA(""&amp;P$32,Control!$A$3,"Month",$E19)</f>
        <v>605</v>
      </c>
      <c r="Q33">
        <f>GETPIVOTDATA(""&amp;Q$32,Control!$A$3,"Month",$E19)</f>
        <v>640</v>
      </c>
      <c r="R33">
        <f>GETPIVOTDATA(""&amp;R$32,Control!$A$20,"Month",$E19)</f>
        <v>45</v>
      </c>
      <c r="S33">
        <f>GETPIVOTDATA(""&amp;S$32,Control!$A$20,"Month",$E19)</f>
        <v>32</v>
      </c>
      <c r="T33">
        <f>GETPIVOTDATA(""&amp;T$32,Control!$A$20,"Month",$E19)</f>
        <v>262</v>
      </c>
      <c r="U33">
        <f>SUM(O33*$B$1,R33*$D$1)</f>
        <v>491</v>
      </c>
      <c r="V33">
        <f t="shared" ref="V33:W33" si="16">SUM(P33*$B$1,S33*$D$1)</f>
        <v>637</v>
      </c>
      <c r="W33">
        <f t="shared" si="16"/>
        <v>902</v>
      </c>
      <c r="X33">
        <f>IF(ISNA($I19),IF(COUNTIF($I$19:$I$30,"&gt;0")=1,U33,$I19),U33)</f>
        <v>491</v>
      </c>
      <c r="Y33">
        <f t="shared" ref="Y33:Z44" si="17">IF(ISNA($I19),IF(COUNTIF($I$19:$I$30,"&gt;0")=1,V33,$I19),V33)</f>
        <v>637</v>
      </c>
      <c r="Z33">
        <f t="shared" si="17"/>
        <v>902</v>
      </c>
      <c r="AA33" t="e">
        <f>IF(COUNTIF($I$19:$I$30,"&gt;0")=1,MAX(U33:W44),NA())</f>
        <v>#N/A</v>
      </c>
      <c r="AB33" t="s">
        <v>67</v>
      </c>
      <c r="AC33" t="s">
        <v>100</v>
      </c>
      <c r="AD33" s="3">
        <f>AVERAGE(AF33*$B$1,AG33*$D$1)</f>
        <v>0.53041666666666654</v>
      </c>
      <c r="AE33" s="6">
        <f>100%-AD33</f>
        <v>0.46958333333333346</v>
      </c>
      <c r="AF33" s="2">
        <f>GETPIVOTDATA("Average of Consumption",Control!$A$37)</f>
        <v>0.56416666666666659</v>
      </c>
      <c r="AG33" s="2">
        <f>GETPIVOTDATA("Average of Consumption",Control!$A$54)</f>
        <v>0.49666666666666659</v>
      </c>
    </row>
    <row r="34" spans="1:39">
      <c r="A34">
        <v>1</v>
      </c>
      <c r="B34" s="19" t="s">
        <v>87</v>
      </c>
      <c r="E34">
        <f>GETPIVOTDATA("Sum of Stock Balances",Control!$A$3,"Month",E20)</f>
        <v>811</v>
      </c>
      <c r="F34">
        <f>GETPIVOTDATA("Sum of Stock Balances",Control!$A$20,"Month",E20)</f>
        <v>271</v>
      </c>
      <c r="G34">
        <f t="shared" ref="G34:G44" si="18">AVERAGE(E34*$B$1,F34*$D$1)</f>
        <v>541</v>
      </c>
      <c r="H34">
        <f t="shared" ref="H34:H44" si="19">IF(ISNA(I20),I20,G34)</f>
        <v>541</v>
      </c>
      <c r="J34">
        <v>2</v>
      </c>
      <c r="K34" t="str">
        <f t="shared" ref="K34:K37" si="20">R2</f>
        <v>Product 0</v>
      </c>
      <c r="L34">
        <f>$M$33*$L$32</f>
        <v>6707.5</v>
      </c>
      <c r="M34">
        <f t="shared" ref="M34:M37" si="21">S2</f>
        <v>12494</v>
      </c>
      <c r="O34">
        <f>GETPIVOTDATA(""&amp;O$32,Control!$A$3,"Month",$E20)</f>
        <v>160</v>
      </c>
      <c r="P34">
        <f>GETPIVOTDATA(""&amp;P$32,Control!$A$3,"Month",$E20)</f>
        <v>663</v>
      </c>
      <c r="Q34">
        <f>GETPIVOTDATA(""&amp;Q$32,Control!$A$3,"Month",$E20)</f>
        <v>944</v>
      </c>
      <c r="R34">
        <f>GETPIVOTDATA(""&amp;R$32,Control!$A$20,"Month",$E20)</f>
        <v>43</v>
      </c>
      <c r="S34">
        <f>GETPIVOTDATA(""&amp;S$32,Control!$A$20,"Month",$E20)</f>
        <v>127</v>
      </c>
      <c r="T34">
        <f>GETPIVOTDATA(""&amp;T$32,Control!$A$20,"Month",$E20)</f>
        <v>61</v>
      </c>
      <c r="U34">
        <f t="shared" ref="U34:U44" si="22">SUM(O34*$B$1,R34*$D$1)</f>
        <v>203</v>
      </c>
      <c r="V34">
        <f t="shared" ref="V34:V44" si="23">SUM(P34*$B$1,S34*$D$1)</f>
        <v>790</v>
      </c>
      <c r="W34">
        <f t="shared" ref="W34:W44" si="24">SUM(Q34*$B$1,T34*$D$1)</f>
        <v>1005</v>
      </c>
      <c r="X34">
        <f t="shared" ref="X34:X44" si="25">IF(ISNA($I20),IF(COUNTIF($I$19:$I$30,"&gt;0")=1,U34,$I20),U34)</f>
        <v>203</v>
      </c>
      <c r="Y34">
        <f t="shared" si="17"/>
        <v>790</v>
      </c>
      <c r="Z34">
        <f t="shared" si="17"/>
        <v>1005</v>
      </c>
      <c r="AA34" t="e">
        <f>$AE$20</f>
        <v>#N/A</v>
      </c>
      <c r="AB34" t="s">
        <v>66</v>
      </c>
      <c r="AD34" s="3">
        <v>1</v>
      </c>
      <c r="AE34" s="3">
        <v>0</v>
      </c>
      <c r="AF34" s="2"/>
      <c r="AG34" s="2"/>
    </row>
    <row r="35" spans="1:39">
      <c r="A35">
        <v>1</v>
      </c>
      <c r="B35" s="2">
        <f>AVERAGE(B40*$B$1,C40*$D$1)</f>
        <v>0.8208333333333333</v>
      </c>
      <c r="C35" s="2">
        <f>100%-B35</f>
        <v>0.1791666666666667</v>
      </c>
      <c r="E35">
        <f>GETPIVOTDATA("Sum of Stock Balances",Control!$A$3,"Month",E21)</f>
        <v>843</v>
      </c>
      <c r="F35">
        <f>GETPIVOTDATA("Sum of Stock Balances",Control!$A$20,"Month",E21)</f>
        <v>281</v>
      </c>
      <c r="G35">
        <f t="shared" si="18"/>
        <v>562</v>
      </c>
      <c r="H35">
        <f t="shared" si="19"/>
        <v>562</v>
      </c>
      <c r="J35">
        <v>3</v>
      </c>
      <c r="K35" t="str">
        <f t="shared" si="20"/>
        <v>Product 4</v>
      </c>
      <c r="L35">
        <f>$M$33*$L$32</f>
        <v>6707.5</v>
      </c>
      <c r="M35">
        <f t="shared" si="21"/>
        <v>12000</v>
      </c>
      <c r="O35">
        <f>GETPIVOTDATA(""&amp;O$32,Control!$A$3,"Month",$E21)</f>
        <v>154</v>
      </c>
      <c r="P35">
        <f>GETPIVOTDATA(""&amp;P$32,Control!$A$3,"Month",$E21)</f>
        <v>659</v>
      </c>
      <c r="Q35">
        <f>GETPIVOTDATA(""&amp;Q$32,Control!$A$3,"Month",$E21)</f>
        <v>734</v>
      </c>
      <c r="R35">
        <f>GETPIVOTDATA(""&amp;R$32,Control!$A$20,"Month",$E21)</f>
        <v>49</v>
      </c>
      <c r="S35">
        <f>GETPIVOTDATA(""&amp;S$32,Control!$A$20,"Month",$E21)</f>
        <v>90</v>
      </c>
      <c r="T35">
        <f>GETPIVOTDATA(""&amp;T$32,Control!$A$20,"Month",$E21)</f>
        <v>232</v>
      </c>
      <c r="U35">
        <f t="shared" si="22"/>
        <v>203</v>
      </c>
      <c r="V35">
        <f t="shared" si="23"/>
        <v>749</v>
      </c>
      <c r="W35">
        <f t="shared" si="24"/>
        <v>966</v>
      </c>
      <c r="X35">
        <f t="shared" si="25"/>
        <v>203</v>
      </c>
      <c r="Y35">
        <f t="shared" si="17"/>
        <v>749</v>
      </c>
      <c r="Z35">
        <f t="shared" si="17"/>
        <v>966</v>
      </c>
      <c r="AC35" t="s">
        <v>101</v>
      </c>
      <c r="AD35" s="3">
        <f>AVERAGE(AF35*$B$1,AG35*$D$1)</f>
        <v>0.62041666666666673</v>
      </c>
      <c r="AE35" s="6">
        <f>100%-AD35</f>
        <v>0.37958333333333327</v>
      </c>
      <c r="AF35" s="2">
        <f>GETPIVOTDATA("Average of Coming",Control!$A$37)</f>
        <v>0.63916666666666677</v>
      </c>
      <c r="AG35" s="2">
        <f>GETPIVOTDATA("Average of Coming",Control!$A$54)</f>
        <v>0.60166666666666668</v>
      </c>
    </row>
    <row r="36" spans="1:39">
      <c r="A36">
        <v>1</v>
      </c>
      <c r="E36">
        <f>GETPIVOTDATA("Sum of Stock Balances",Control!$A$3,"Month",E22)</f>
        <v>732</v>
      </c>
      <c r="F36">
        <f>GETPIVOTDATA("Sum of Stock Balances",Control!$A$20,"Month",E22)</f>
        <v>244</v>
      </c>
      <c r="G36">
        <f t="shared" si="18"/>
        <v>488</v>
      </c>
      <c r="H36">
        <f t="shared" si="19"/>
        <v>488</v>
      </c>
      <c r="J36">
        <v>4</v>
      </c>
      <c r="K36" t="str">
        <f t="shared" si="20"/>
        <v>Product 7</v>
      </c>
      <c r="L36">
        <f>$M$33*$L$32</f>
        <v>6707.5</v>
      </c>
      <c r="M36">
        <f t="shared" si="21"/>
        <v>11562</v>
      </c>
      <c r="O36">
        <f>GETPIVOTDATA(""&amp;O$32,Control!$A$3,"Month",$E22)</f>
        <v>408</v>
      </c>
      <c r="P36">
        <f>GETPIVOTDATA(""&amp;P$32,Control!$A$3,"Month",$E22)</f>
        <v>423</v>
      </c>
      <c r="Q36">
        <f>GETPIVOTDATA(""&amp;Q$32,Control!$A$3,"Month",$E22)</f>
        <v>728</v>
      </c>
      <c r="R36">
        <f>GETPIVOTDATA(""&amp;R$32,Control!$A$20,"Month",$E22)</f>
        <v>90</v>
      </c>
      <c r="S36">
        <f>GETPIVOTDATA(""&amp;S$32,Control!$A$20,"Month",$E22)</f>
        <v>81</v>
      </c>
      <c r="T36">
        <f>GETPIVOTDATA(""&amp;T$32,Control!$A$20,"Month",$E22)</f>
        <v>64</v>
      </c>
      <c r="U36">
        <f t="shared" si="22"/>
        <v>498</v>
      </c>
      <c r="V36">
        <f t="shared" si="23"/>
        <v>504</v>
      </c>
      <c r="W36">
        <f t="shared" si="24"/>
        <v>792</v>
      </c>
      <c r="X36">
        <f t="shared" si="25"/>
        <v>498</v>
      </c>
      <c r="Y36">
        <f t="shared" si="17"/>
        <v>504</v>
      </c>
      <c r="Z36">
        <f t="shared" si="17"/>
        <v>792</v>
      </c>
      <c r="AD36" s="3">
        <v>1</v>
      </c>
      <c r="AE36" s="3">
        <v>0</v>
      </c>
      <c r="AF36" s="2"/>
      <c r="AG36" s="2"/>
    </row>
    <row r="37" spans="1:39">
      <c r="A37">
        <v>1</v>
      </c>
      <c r="B37" t="s">
        <v>84</v>
      </c>
      <c r="C37" t="s">
        <v>83</v>
      </c>
      <c r="E37">
        <f>GETPIVOTDATA("Sum of Stock Balances",Control!$A$3,"Month",E23)</f>
        <v>471</v>
      </c>
      <c r="F37">
        <f>GETPIVOTDATA("Sum of Stock Balances",Control!$A$20,"Month",E23)</f>
        <v>157</v>
      </c>
      <c r="G37">
        <f t="shared" si="18"/>
        <v>314</v>
      </c>
      <c r="H37">
        <f t="shared" si="19"/>
        <v>314</v>
      </c>
      <c r="J37">
        <v>5</v>
      </c>
      <c r="K37" t="str">
        <f t="shared" si="20"/>
        <v>Product 6</v>
      </c>
      <c r="L37">
        <f>$M$33*$L$32</f>
        <v>6707.5</v>
      </c>
      <c r="M37">
        <f t="shared" si="21"/>
        <v>11472</v>
      </c>
      <c r="O37">
        <f>GETPIVOTDATA(""&amp;O$32,Control!$A$3,"Month",$E23)</f>
        <v>515</v>
      </c>
      <c r="P37">
        <f>GETPIVOTDATA(""&amp;P$32,Control!$A$3,"Month",$E23)</f>
        <v>324</v>
      </c>
      <c r="Q37">
        <f>GETPIVOTDATA(""&amp;Q$32,Control!$A$3,"Month",$E23)</f>
        <v>704</v>
      </c>
      <c r="R37">
        <f>GETPIVOTDATA(""&amp;R$32,Control!$A$20,"Month",$E23)</f>
        <v>154</v>
      </c>
      <c r="S37">
        <f>GETPIVOTDATA(""&amp;S$32,Control!$A$20,"Month",$E23)</f>
        <v>49</v>
      </c>
      <c r="T37">
        <f>GETPIVOTDATA(""&amp;T$32,Control!$A$20,"Month",$E23)</f>
        <v>38</v>
      </c>
      <c r="U37">
        <f t="shared" si="22"/>
        <v>669</v>
      </c>
      <c r="V37">
        <f t="shared" si="23"/>
        <v>373</v>
      </c>
      <c r="W37">
        <f t="shared" si="24"/>
        <v>742</v>
      </c>
      <c r="X37">
        <f t="shared" si="25"/>
        <v>669</v>
      </c>
      <c r="Y37">
        <f t="shared" si="17"/>
        <v>373</v>
      </c>
      <c r="Z37">
        <f t="shared" si="17"/>
        <v>742</v>
      </c>
      <c r="AC37" t="s">
        <v>102</v>
      </c>
      <c r="AD37" s="3">
        <f>AVERAGE(AF37*$B$1,AG37*$D$1)</f>
        <v>0.76666666666666672</v>
      </c>
      <c r="AE37" s="6">
        <f>100%-AD37</f>
        <v>0.23333333333333328</v>
      </c>
      <c r="AF37" s="2">
        <f>GETPIVOTDATA("Average of Returns",Control!$A$37)</f>
        <v>0.82083333333333341</v>
      </c>
      <c r="AG37" s="2">
        <f>GETPIVOTDATA("Average of Returns",Control!$A$54)</f>
        <v>0.71250000000000002</v>
      </c>
    </row>
    <row r="38" spans="1:39">
      <c r="A38">
        <v>1</v>
      </c>
      <c r="B38" s="2">
        <f>GETPIVOTDATA("Average of Warehouse Load",Control!$A$37)</f>
        <v>0.61333333333333329</v>
      </c>
      <c r="C38" s="2">
        <f>GETPIVOTDATA("Average of Warehouse Load",Control!$A$54)</f>
        <v>0.56500000000000006</v>
      </c>
      <c r="E38">
        <f>GETPIVOTDATA("Sum of Stock Balances",Control!$A$3,"Month",E24)</f>
        <v>348</v>
      </c>
      <c r="F38">
        <f>GETPIVOTDATA("Sum of Stock Balances",Control!$A$20,"Month",E24)</f>
        <v>116</v>
      </c>
      <c r="G38">
        <f t="shared" si="18"/>
        <v>232</v>
      </c>
      <c r="H38">
        <f t="shared" si="19"/>
        <v>232</v>
      </c>
      <c r="M38" s="23">
        <f>SUMIF(M33:M37,"&gt;0")</f>
        <v>60943</v>
      </c>
      <c r="O38">
        <f>GETPIVOTDATA(""&amp;O$32,Control!$A$3,"Month",$E24)</f>
        <v>494</v>
      </c>
      <c r="P38">
        <f>GETPIVOTDATA(""&amp;P$32,Control!$A$3,"Month",$E24)</f>
        <v>342</v>
      </c>
      <c r="Q38">
        <f>GETPIVOTDATA(""&amp;Q$32,Control!$A$3,"Month",$E24)</f>
        <v>662</v>
      </c>
      <c r="R38">
        <f>GETPIVOTDATA(""&amp;R$32,Control!$A$20,"Month",$E24)</f>
        <v>165</v>
      </c>
      <c r="S38">
        <f>GETPIVOTDATA(""&amp;S$32,Control!$A$20,"Month",$E24)</f>
        <v>52</v>
      </c>
      <c r="T38">
        <f>GETPIVOTDATA(""&amp;T$32,Control!$A$20,"Month",$E24)</f>
        <v>176</v>
      </c>
      <c r="U38">
        <f t="shared" si="22"/>
        <v>659</v>
      </c>
      <c r="V38">
        <f t="shared" si="23"/>
        <v>394</v>
      </c>
      <c r="W38">
        <f t="shared" si="24"/>
        <v>838</v>
      </c>
      <c r="X38">
        <f t="shared" si="25"/>
        <v>659</v>
      </c>
      <c r="Y38">
        <f t="shared" si="17"/>
        <v>394</v>
      </c>
      <c r="Z38">
        <f t="shared" si="17"/>
        <v>838</v>
      </c>
    </row>
    <row r="39" spans="1:39">
      <c r="A39">
        <v>1</v>
      </c>
      <c r="B39" t="s">
        <v>84</v>
      </c>
      <c r="C39" t="s">
        <v>83</v>
      </c>
      <c r="E39">
        <f>GETPIVOTDATA("Sum of Stock Balances",Control!$A$3,"Month",E25)</f>
        <v>522</v>
      </c>
      <c r="F39">
        <f>GETPIVOTDATA("Sum of Stock Balances",Control!$A$20,"Month",E25)</f>
        <v>174</v>
      </c>
      <c r="G39">
        <f t="shared" si="18"/>
        <v>348</v>
      </c>
      <c r="H39">
        <f t="shared" si="19"/>
        <v>348</v>
      </c>
      <c r="O39">
        <f>GETPIVOTDATA(""&amp;O$32,Control!$A$3,"Month",$E25)</f>
        <v>441</v>
      </c>
      <c r="P39">
        <f>GETPIVOTDATA(""&amp;P$32,Control!$A$3,"Month",$E25)</f>
        <v>506</v>
      </c>
      <c r="Q39">
        <f>GETPIVOTDATA(""&amp;Q$32,Control!$A$3,"Month",$E25)</f>
        <v>900</v>
      </c>
      <c r="R39">
        <f>GETPIVOTDATA(""&amp;R$32,Control!$A$20,"Month",$E25)</f>
        <v>97</v>
      </c>
      <c r="S39">
        <f>GETPIVOTDATA(""&amp;S$32,Control!$A$20,"Month",$E25)</f>
        <v>112</v>
      </c>
      <c r="T39">
        <f>GETPIVOTDATA(""&amp;T$32,Control!$A$20,"Month",$E25)</f>
        <v>79</v>
      </c>
      <c r="U39">
        <f t="shared" si="22"/>
        <v>538</v>
      </c>
      <c r="V39">
        <f t="shared" si="23"/>
        <v>618</v>
      </c>
      <c r="W39">
        <f t="shared" si="24"/>
        <v>979</v>
      </c>
      <c r="X39">
        <f t="shared" si="25"/>
        <v>538</v>
      </c>
      <c r="Y39">
        <f t="shared" si="17"/>
        <v>618</v>
      </c>
      <c r="Z39">
        <f t="shared" si="17"/>
        <v>979</v>
      </c>
    </row>
    <row r="40" spans="1:39">
      <c r="A40">
        <v>1</v>
      </c>
      <c r="B40" s="2">
        <f>GETPIVOTDATA("Average of Shipped Orders",Control!$A$37)</f>
        <v>0.80166666666666675</v>
      </c>
      <c r="C40" s="2">
        <f>GETPIVOTDATA("Average of Shipped Orders",Control!$A$54)</f>
        <v>0.84</v>
      </c>
      <c r="E40">
        <f>GETPIVOTDATA("Sum of Stock Balances",Control!$A$3,"Month",E26)</f>
        <v>1012</v>
      </c>
      <c r="F40">
        <f>GETPIVOTDATA("Sum of Stock Balances",Control!$A$20,"Month",E26)</f>
        <v>338</v>
      </c>
      <c r="G40">
        <f t="shared" si="18"/>
        <v>675</v>
      </c>
      <c r="H40">
        <f t="shared" si="19"/>
        <v>675</v>
      </c>
      <c r="O40">
        <f>GETPIVOTDATA(""&amp;O$32,Control!$A$3,"Month",$E26)</f>
        <v>203</v>
      </c>
      <c r="P40">
        <f>GETPIVOTDATA(""&amp;P$32,Control!$A$3,"Month",$E26)</f>
        <v>716</v>
      </c>
      <c r="Q40">
        <f>GETPIVOTDATA(""&amp;Q$32,Control!$A$3,"Month",$E26)</f>
        <v>929</v>
      </c>
      <c r="R40">
        <f>GETPIVOTDATA(""&amp;R$32,Control!$A$20,"Month",$E26)</f>
        <v>11</v>
      </c>
      <c r="S40">
        <f>GETPIVOTDATA(""&amp;S$32,Control!$A$20,"Month",$E26)</f>
        <v>158</v>
      </c>
      <c r="T40">
        <f>GETPIVOTDATA(""&amp;T$32,Control!$A$20,"Month",$E26)</f>
        <v>164</v>
      </c>
      <c r="U40">
        <f t="shared" si="22"/>
        <v>214</v>
      </c>
      <c r="V40">
        <f t="shared" si="23"/>
        <v>874</v>
      </c>
      <c r="W40">
        <f t="shared" si="24"/>
        <v>1093</v>
      </c>
      <c r="X40">
        <f t="shared" si="25"/>
        <v>214</v>
      </c>
      <c r="Y40">
        <f t="shared" si="17"/>
        <v>874</v>
      </c>
      <c r="Z40">
        <f t="shared" si="17"/>
        <v>1093</v>
      </c>
    </row>
    <row r="41" spans="1:39">
      <c r="A41">
        <v>1</v>
      </c>
      <c r="E41">
        <f>GETPIVOTDATA("Sum of Stock Balances",Control!$A$3,"Month",E27)</f>
        <v>1230</v>
      </c>
      <c r="F41">
        <f>GETPIVOTDATA("Sum of Stock Balances",Control!$A$20,"Month",E27)</f>
        <v>410</v>
      </c>
      <c r="G41">
        <f t="shared" si="18"/>
        <v>820</v>
      </c>
      <c r="H41">
        <f t="shared" si="19"/>
        <v>820</v>
      </c>
      <c r="O41">
        <f>GETPIVOTDATA(""&amp;O$32,Control!$A$3,"Month",$E27)</f>
        <v>216</v>
      </c>
      <c r="P41">
        <f>GETPIVOTDATA(""&amp;P$32,Control!$A$3,"Month",$E27)</f>
        <v>722</v>
      </c>
      <c r="Q41">
        <f>GETPIVOTDATA(""&amp;Q$32,Control!$A$3,"Month",$E27)</f>
        <v>829</v>
      </c>
      <c r="R41">
        <f>GETPIVOTDATA(""&amp;R$32,Control!$A$20,"Month",$E27)</f>
        <v>14</v>
      </c>
      <c r="S41">
        <f>GETPIVOTDATA(""&amp;S$32,Control!$A$20,"Month",$E27)</f>
        <v>138</v>
      </c>
      <c r="T41">
        <f>GETPIVOTDATA(""&amp;T$32,Control!$A$20,"Month",$E27)</f>
        <v>158</v>
      </c>
      <c r="U41">
        <f t="shared" si="22"/>
        <v>230</v>
      </c>
      <c r="V41">
        <f t="shared" si="23"/>
        <v>860</v>
      </c>
      <c r="W41">
        <f t="shared" si="24"/>
        <v>987</v>
      </c>
      <c r="X41">
        <f t="shared" si="25"/>
        <v>230</v>
      </c>
      <c r="Y41">
        <f t="shared" si="17"/>
        <v>860</v>
      </c>
      <c r="Z41">
        <f t="shared" si="17"/>
        <v>987</v>
      </c>
    </row>
    <row r="42" spans="1:39">
      <c r="A42">
        <v>1</v>
      </c>
      <c r="E42">
        <f>GETPIVOTDATA("Sum of Stock Balances",Control!$A$3,"Month",E28)</f>
        <v>1056</v>
      </c>
      <c r="F42">
        <f>GETPIVOTDATA("Sum of Stock Balances",Control!$A$20,"Month",E28)</f>
        <v>352</v>
      </c>
      <c r="G42">
        <f t="shared" si="18"/>
        <v>704</v>
      </c>
      <c r="H42">
        <f t="shared" si="19"/>
        <v>704</v>
      </c>
      <c r="O42">
        <f>GETPIVOTDATA(""&amp;O$32,Control!$A$3,"Month",$E28)</f>
        <v>400</v>
      </c>
      <c r="P42">
        <f>GETPIVOTDATA(""&amp;P$32,Control!$A$3,"Month",$E28)</f>
        <v>500</v>
      </c>
      <c r="Q42">
        <f>GETPIVOTDATA(""&amp;Q$32,Control!$A$3,"Month",$E28)</f>
        <v>736</v>
      </c>
      <c r="R42">
        <f>GETPIVOTDATA(""&amp;R$32,Control!$A$20,"Month",$E28)</f>
        <v>45</v>
      </c>
      <c r="S42">
        <f>GETPIVOTDATA(""&amp;S$32,Control!$A$20,"Month",$E28)</f>
        <v>118</v>
      </c>
      <c r="T42">
        <f>GETPIVOTDATA(""&amp;T$32,Control!$A$20,"Month",$E28)</f>
        <v>120</v>
      </c>
      <c r="U42">
        <f t="shared" si="22"/>
        <v>445</v>
      </c>
      <c r="V42">
        <f t="shared" si="23"/>
        <v>618</v>
      </c>
      <c r="W42">
        <f t="shared" si="24"/>
        <v>856</v>
      </c>
      <c r="X42">
        <f t="shared" si="25"/>
        <v>445</v>
      </c>
      <c r="Y42">
        <f t="shared" si="17"/>
        <v>618</v>
      </c>
      <c r="Z42">
        <f t="shared" si="17"/>
        <v>856</v>
      </c>
    </row>
    <row r="43" spans="1:39">
      <c r="A43">
        <v>1</v>
      </c>
      <c r="E43">
        <f>GETPIVOTDATA("Sum of Stock Balances",Control!$A$3,"Month",E29)</f>
        <v>820</v>
      </c>
      <c r="F43">
        <f>GETPIVOTDATA("Sum of Stock Balances",Control!$A$20,"Month",E29)</f>
        <v>274</v>
      </c>
      <c r="G43">
        <f t="shared" si="18"/>
        <v>547</v>
      </c>
      <c r="H43">
        <f t="shared" si="19"/>
        <v>547</v>
      </c>
      <c r="O43">
        <f>GETPIVOTDATA(""&amp;O$32,Control!$A$3,"Month",$E29)</f>
        <v>395</v>
      </c>
      <c r="P43">
        <f>GETPIVOTDATA(""&amp;P$32,Control!$A$3,"Month",$E29)</f>
        <v>508</v>
      </c>
      <c r="Q43">
        <f>GETPIVOTDATA(""&amp;Q$32,Control!$A$3,"Month",$E29)</f>
        <v>619</v>
      </c>
      <c r="R43">
        <f>GETPIVOTDATA(""&amp;R$32,Control!$A$20,"Month",$E29)</f>
        <v>112</v>
      </c>
      <c r="S43">
        <f>GETPIVOTDATA(""&amp;S$32,Control!$A$20,"Month",$E29)</f>
        <v>127</v>
      </c>
      <c r="T43">
        <f>GETPIVOTDATA(""&amp;T$32,Control!$A$20,"Month",$E29)</f>
        <v>165</v>
      </c>
      <c r="U43">
        <f t="shared" si="22"/>
        <v>507</v>
      </c>
      <c r="V43">
        <f t="shared" si="23"/>
        <v>635</v>
      </c>
      <c r="W43">
        <f t="shared" si="24"/>
        <v>784</v>
      </c>
      <c r="X43">
        <f t="shared" si="25"/>
        <v>507</v>
      </c>
      <c r="Y43">
        <f t="shared" si="17"/>
        <v>635</v>
      </c>
      <c r="Z43">
        <f t="shared" si="17"/>
        <v>784</v>
      </c>
    </row>
    <row r="44" spans="1:39">
      <c r="A44">
        <v>1</v>
      </c>
      <c r="E44">
        <f>GETPIVOTDATA("Sum of Stock Balances",Control!$A$3,"Month",E30)</f>
        <v>907</v>
      </c>
      <c r="F44">
        <f>GETPIVOTDATA("Sum of Stock Balances",Control!$A$20,"Month",E30)</f>
        <v>303</v>
      </c>
      <c r="G44">
        <f t="shared" si="18"/>
        <v>605</v>
      </c>
      <c r="H44">
        <f t="shared" si="19"/>
        <v>605</v>
      </c>
      <c r="O44">
        <f>GETPIVOTDATA(""&amp;O$32,Control!$A$3,"Month",$E30)</f>
        <v>347</v>
      </c>
      <c r="P44">
        <f>GETPIVOTDATA(""&amp;P$32,Control!$A$3,"Month",$E30)</f>
        <v>543</v>
      </c>
      <c r="Q44">
        <f>GETPIVOTDATA(""&amp;Q$32,Control!$A$3,"Month",$E30)</f>
        <v>656</v>
      </c>
      <c r="R44">
        <f>GETPIVOTDATA(""&amp;R$32,Control!$A$20,"Month",$E30)</f>
        <v>143</v>
      </c>
      <c r="S44">
        <f>GETPIVOTDATA(""&amp;S$32,Control!$A$20,"Month",$E30)</f>
        <v>201</v>
      </c>
      <c r="T44">
        <f>GETPIVOTDATA(""&amp;T$32,Control!$A$20,"Month",$E30)</f>
        <v>164</v>
      </c>
      <c r="U44">
        <f t="shared" si="22"/>
        <v>490</v>
      </c>
      <c r="V44">
        <f t="shared" si="23"/>
        <v>744</v>
      </c>
      <c r="W44">
        <f t="shared" si="24"/>
        <v>820</v>
      </c>
      <c r="X44">
        <f t="shared" si="25"/>
        <v>490</v>
      </c>
      <c r="Y44">
        <f t="shared" si="17"/>
        <v>744</v>
      </c>
      <c r="Z44">
        <f t="shared" si="17"/>
        <v>820</v>
      </c>
    </row>
    <row r="45" spans="1:39">
      <c r="A45">
        <v>1</v>
      </c>
      <c r="G45" s="23">
        <f>SUMIF(G33:G44,"&gt;0")</f>
        <v>6250</v>
      </c>
      <c r="H45" s="23">
        <f>SUMIF(H33:H44,"&gt;0")</f>
        <v>6250</v>
      </c>
      <c r="O45" s="4" t="s">
        <v>84</v>
      </c>
      <c r="P45" s="4" t="s">
        <v>84</v>
      </c>
      <c r="Q45" s="4" t="s">
        <v>84</v>
      </c>
      <c r="R45" s="4" t="s">
        <v>83</v>
      </c>
      <c r="S45" s="4" t="s">
        <v>83</v>
      </c>
      <c r="T45" s="4" t="s">
        <v>83</v>
      </c>
      <c r="U45" s="23" cm="1">
        <f t="array" ref="U45">IF(ISNA($X$20),SUMIF(U33:U44,"&gt;0"),INDEX(U33:U44,$X$20))</f>
        <v>5147</v>
      </c>
      <c r="V45" s="23" cm="1">
        <f t="array" ref="V45">IF(ISNA($X$20),SUMIF(V33:V44,"&gt;0"),INDEX(V33:V44,$X$20))</f>
        <v>7796</v>
      </c>
      <c r="W45" s="23" cm="1">
        <f t="array" ref="W45">IF(ISNA($X$20),SUMIF(W33:W44,"&gt;0"),INDEX(W33:W44,$X$20))</f>
        <v>10764</v>
      </c>
    </row>
    <row r="46" spans="1:39">
      <c r="A46">
        <v>1</v>
      </c>
      <c r="AL46" t="s">
        <v>160</v>
      </c>
    </row>
    <row r="47" spans="1:39" ht="30.6" customHeight="1">
      <c r="A47">
        <v>1</v>
      </c>
      <c r="C47" s="13" t="s">
        <v>103</v>
      </c>
      <c r="D47" s="13" t="s">
        <v>103</v>
      </c>
      <c r="E47" s="9" t="s">
        <v>104</v>
      </c>
      <c r="F47" s="9" t="s">
        <v>104</v>
      </c>
      <c r="G47" s="13" t="s">
        <v>103</v>
      </c>
      <c r="H47" s="9" t="s">
        <v>104</v>
      </c>
      <c r="I47" s="9" t="s">
        <v>115</v>
      </c>
      <c r="J47" s="9" t="s">
        <v>116</v>
      </c>
      <c r="K47" s="9" t="s">
        <v>82</v>
      </c>
      <c r="M47" s="21" t="s">
        <v>84</v>
      </c>
      <c r="N47" s="21" t="s">
        <v>83</v>
      </c>
      <c r="O47" s="21" t="s">
        <v>84</v>
      </c>
      <c r="P47" s="21" t="s">
        <v>83</v>
      </c>
      <c r="Q47" s="9" t="s">
        <v>132</v>
      </c>
      <c r="R47" s="9" t="s">
        <v>133</v>
      </c>
      <c r="S47" t="s">
        <v>138</v>
      </c>
      <c r="T47" t="s">
        <v>139</v>
      </c>
      <c r="U47" t="s">
        <v>82</v>
      </c>
      <c r="W47" s="20" t="s">
        <v>130</v>
      </c>
      <c r="Y47" s="9" t="s">
        <v>135</v>
      </c>
      <c r="Z47" s="13" t="s">
        <v>141</v>
      </c>
      <c r="AA47" s="13" t="s">
        <v>134</v>
      </c>
      <c r="AB47" s="21" t="s">
        <v>84</v>
      </c>
      <c r="AC47" s="21" t="s">
        <v>83</v>
      </c>
      <c r="AD47" t="s">
        <v>82</v>
      </c>
      <c r="AL47" s="24" t="s">
        <v>44</v>
      </c>
      <c r="AM47" s="16" t="s">
        <v>43</v>
      </c>
    </row>
    <row r="48" spans="1:39">
      <c r="A48">
        <v>1</v>
      </c>
      <c r="C48">
        <f>GETPIVOTDATA(""&amp;C$47,Control!$A$3,"Month",$E19)</f>
        <v>137</v>
      </c>
      <c r="D48">
        <f>GETPIVOTDATA(""&amp;D$47,Control!$A$20,"Month",$E19)</f>
        <v>836</v>
      </c>
      <c r="E48">
        <f>GETPIVOTDATA(""&amp;E$47,Control!$A$3,"Month",$E19)</f>
        <v>73</v>
      </c>
      <c r="F48">
        <f>GETPIVOTDATA(""&amp;F$47,Control!$A$20,"Month",$E19)</f>
        <v>649</v>
      </c>
      <c r="G48">
        <f>SUM(C48*$B$1,D48*$D$1)</f>
        <v>973</v>
      </c>
      <c r="H48">
        <f>SUM(E48*$B$1,F48*$D$1)</f>
        <v>722</v>
      </c>
      <c r="I48">
        <f>IF(ISNA($I19),IF(COUNTIF($I$19:$I$30,"&gt;0")=1,G48,$I19),G48)</f>
        <v>973</v>
      </c>
      <c r="J48">
        <f>IF(ISNA($I19),IF(COUNTIF($I$19:$I$30,"&gt;0")=1,H48,$I19),H48)</f>
        <v>722</v>
      </c>
      <c r="K48" t="e">
        <f>IF(COUNTIF($I$19:$I$30,"&gt;0")=1,MAX(G48:H59),NA())</f>
        <v>#N/A</v>
      </c>
      <c r="M48">
        <f>GETPIVOTDATA(""&amp;$Q$47,Control!$A$3,"Month",$E19)</f>
        <v>54</v>
      </c>
      <c r="N48">
        <f>GETPIVOTDATA(""&amp;$Q$47,Control!$A$20,"Month",$E19)</f>
        <v>46</v>
      </c>
      <c r="O48">
        <f>GETPIVOTDATA(""&amp;$R$47,Control!$A$3,"Month",$E19)</f>
        <v>95</v>
      </c>
      <c r="P48">
        <f>GETPIVOTDATA(""&amp;$R$47,Control!$A$20,"Month",$E19)</f>
        <v>63</v>
      </c>
      <c r="Q48">
        <f>SUM(M48*$B$1,N48*$D$1)</f>
        <v>100</v>
      </c>
      <c r="R48">
        <f>SUM(O48*$B$1,P48*$D$1)</f>
        <v>158</v>
      </c>
      <c r="S48">
        <f>IF(ISNA($I19),IF(COUNTIF($I$19:$I$30,"&gt;0")=1,Q48,$I19),Q48)</f>
        <v>100</v>
      </c>
      <c r="T48">
        <f>IF(ISNA($I19),IF(COUNTIF($I$19:$I$30,"&gt;0")=1,R48,$I19),R48)</f>
        <v>158</v>
      </c>
      <c r="U48" t="e">
        <f>IF(COUNTIF($I$19:$I$30,"&gt;0")=1,MAX(Q48:R59),NA())</f>
        <v>#N/A</v>
      </c>
      <c r="V48" t="s">
        <v>67</v>
      </c>
      <c r="W48" s="3">
        <f>AVERAGE(W50*$B$1,X50*$D$1)</f>
        <v>0.38541666666666669</v>
      </c>
      <c r="X48" s="3">
        <f>100%-W48</f>
        <v>0.61458333333333326</v>
      </c>
      <c r="Y48">
        <f>MAX($AA$48:$AA$59)*$Y$60</f>
        <v>664.8</v>
      </c>
      <c r="Z48">
        <f>IF(ISNA($I19),IF(COUNTIF($I$19:$I$30,"&gt;0")=1,AA48,$I19),AA48)</f>
        <v>219</v>
      </c>
      <c r="AA48">
        <f>SUM(AB48*$B$1,AC48*$D$1)</f>
        <v>219</v>
      </c>
      <c r="AB48">
        <f>GETPIVOTDATA("Sum of Logistics Costs",Control!$A$3,"Month",$E19)</f>
        <v>69</v>
      </c>
      <c r="AC48">
        <f>GETPIVOTDATA("Sum of Logistics Costs",Control!$A$20,"Month",$E19)</f>
        <v>150</v>
      </c>
      <c r="AD48" t="e">
        <f>IF(COUNTIF($I$19:$I$30,"&gt;0")=1,INDEX(AA48:AA59,MATCH($I$31,$I$19:$I$30,0)),NA())</f>
        <v>#N/A</v>
      </c>
      <c r="AE48" t="s">
        <v>67</v>
      </c>
      <c r="AK48" t="s">
        <v>15</v>
      </c>
      <c r="AL48">
        <f>GETPIVOTDATA(""&amp;$AK48,Control!$A$54)*$D$1</f>
        <v>507</v>
      </c>
      <c r="AM48">
        <f>GETPIVOTDATA(""&amp;$AK48,Control!$A$37)*$B$1</f>
        <v>834</v>
      </c>
    </row>
    <row r="49" spans="1:39">
      <c r="A49">
        <v>1</v>
      </c>
      <c r="C49">
        <f>GETPIVOTDATA(""&amp;C$47,Control!$A$3,"Month",$E20)</f>
        <v>115</v>
      </c>
      <c r="D49">
        <f>GETPIVOTDATA(""&amp;D$47,Control!$A$20,"Month",$E20)</f>
        <v>599</v>
      </c>
      <c r="E49">
        <f>GETPIVOTDATA(""&amp;E$47,Control!$A$3,"Month",$E20)</f>
        <v>102</v>
      </c>
      <c r="F49">
        <f>GETPIVOTDATA(""&amp;F$47,Control!$A$20,"Month",$E20)</f>
        <v>623</v>
      </c>
      <c r="G49">
        <f t="shared" ref="G49:G59" si="26">SUM(C49*$B$1,D49*$D$1)</f>
        <v>714</v>
      </c>
      <c r="H49">
        <f t="shared" ref="H49:H59" si="27">SUM(E49*$B$1,F49*$D$1)</f>
        <v>725</v>
      </c>
      <c r="I49">
        <f t="shared" ref="I49:I59" si="28">IF(ISNA($I20),IF(COUNTIF($I$19:$I$30,"&gt;0")=1,G49,$I20),G49)</f>
        <v>714</v>
      </c>
      <c r="J49">
        <f t="shared" ref="J49:J59" si="29">IF(ISNA($I20),IF(COUNTIF($I$19:$I$30,"&gt;0")=1,H49,$I20),H49)</f>
        <v>725</v>
      </c>
      <c r="K49" t="e">
        <f>$AE$20</f>
        <v>#N/A</v>
      </c>
      <c r="M49">
        <f>GETPIVOTDATA(""&amp;$Q$47,Control!$A$3,"Month",$E20)</f>
        <v>36</v>
      </c>
      <c r="N49">
        <f>GETPIVOTDATA(""&amp;$Q$47,Control!$A$20,"Month",$E20)</f>
        <v>51</v>
      </c>
      <c r="O49">
        <f>GETPIVOTDATA(""&amp;$R$47,Control!$A$3,"Month",$E20)</f>
        <v>65</v>
      </c>
      <c r="P49">
        <f>GETPIVOTDATA(""&amp;$R$47,Control!$A$20,"Month",$E20)</f>
        <v>65</v>
      </c>
      <c r="Q49">
        <f t="shared" ref="Q49:Q59" si="30">SUM(M49*$B$1,N49*$D$1)</f>
        <v>87</v>
      </c>
      <c r="R49">
        <f t="shared" ref="R49:R59" si="31">SUM(O49*$B$1,P49*$D$1)</f>
        <v>130</v>
      </c>
      <c r="S49">
        <f t="shared" ref="S49:S59" si="32">IF(ISNA($I20),IF(COUNTIF($I$19:$I$30,"&gt;0")=1,Q49,$I20),Q49)</f>
        <v>87</v>
      </c>
      <c r="T49">
        <f t="shared" ref="T49:T59" si="33">IF(ISNA($I20),IF(COUNTIF($I$19:$I$30,"&gt;0")=1,R49,$I20),R49)</f>
        <v>130</v>
      </c>
      <c r="U49" t="e">
        <f>$AE$20</f>
        <v>#N/A</v>
      </c>
      <c r="V49" t="s">
        <v>66</v>
      </c>
      <c r="W49" t="s">
        <v>84</v>
      </c>
      <c r="X49" t="s">
        <v>83</v>
      </c>
      <c r="Y49">
        <f t="shared" ref="Y49:Y59" si="34">MAX($AA$48:$AA$59)*$Y$60</f>
        <v>664.8</v>
      </c>
      <c r="Z49">
        <f t="shared" ref="Z49:Z59" si="35">IF(ISNA($I20),IF(COUNTIF($I$19:$I$30,"&gt;0")=1,AA49,$I20),AA49)</f>
        <v>238</v>
      </c>
      <c r="AA49">
        <f t="shared" ref="AA49:AA59" si="36">SUM(AB49*$B$1,AC49*$D$1)</f>
        <v>238</v>
      </c>
      <c r="AB49">
        <f>GETPIVOTDATA("Sum of Logistics Costs",Control!$A$3,"Month",$E20)</f>
        <v>106</v>
      </c>
      <c r="AC49">
        <f>GETPIVOTDATA("Sum of Logistics Costs",Control!$A$20,"Month",$E20)</f>
        <v>132</v>
      </c>
      <c r="AD49" t="e">
        <f>$AE$20</f>
        <v>#N/A</v>
      </c>
      <c r="AE49" t="s">
        <v>66</v>
      </c>
      <c r="AK49" t="s">
        <v>16</v>
      </c>
      <c r="AL49">
        <f>GETPIVOTDATA(""&amp;$AK49,Control!$A$54)*$D$1</f>
        <v>411</v>
      </c>
      <c r="AM49">
        <f>GETPIVOTDATA(""&amp;$AK49,Control!$A$37)*$B$1</f>
        <v>639</v>
      </c>
    </row>
    <row r="50" spans="1:39">
      <c r="A50">
        <v>1</v>
      </c>
      <c r="C50">
        <f>GETPIVOTDATA(""&amp;C$47,Control!$A$3,"Month",$E21)</f>
        <v>54</v>
      </c>
      <c r="D50">
        <f>GETPIVOTDATA(""&amp;D$47,Control!$A$20,"Month",$E21)</f>
        <v>484</v>
      </c>
      <c r="E50">
        <f>GETPIVOTDATA(""&amp;E$47,Control!$A$3,"Month",$E21)</f>
        <v>221</v>
      </c>
      <c r="F50">
        <f>GETPIVOTDATA(""&amp;F$47,Control!$A$20,"Month",$E21)</f>
        <v>595</v>
      </c>
      <c r="G50">
        <f t="shared" si="26"/>
        <v>538</v>
      </c>
      <c r="H50">
        <f t="shared" si="27"/>
        <v>816</v>
      </c>
      <c r="I50">
        <f t="shared" si="28"/>
        <v>538</v>
      </c>
      <c r="J50">
        <f t="shared" si="29"/>
        <v>816</v>
      </c>
      <c r="M50">
        <f>GETPIVOTDATA(""&amp;$Q$47,Control!$A$3,"Month",$E21)</f>
        <v>46</v>
      </c>
      <c r="N50">
        <f>GETPIVOTDATA(""&amp;$Q$47,Control!$A$20,"Month",$E21)</f>
        <v>33</v>
      </c>
      <c r="O50">
        <f>GETPIVOTDATA(""&amp;$R$47,Control!$A$3,"Month",$E21)</f>
        <v>85</v>
      </c>
      <c r="P50">
        <f>GETPIVOTDATA(""&amp;$R$47,Control!$A$20,"Month",$E21)</f>
        <v>101</v>
      </c>
      <c r="Q50">
        <f t="shared" si="30"/>
        <v>79</v>
      </c>
      <c r="R50">
        <f t="shared" si="31"/>
        <v>186</v>
      </c>
      <c r="S50">
        <f t="shared" si="32"/>
        <v>79</v>
      </c>
      <c r="T50">
        <f t="shared" si="33"/>
        <v>186</v>
      </c>
      <c r="W50" s="2">
        <f>GETPIVOTDATA("Average of Logistic Load",Control!$A$37)</f>
        <v>0.58333333333333337</v>
      </c>
      <c r="X50" s="2">
        <f>GETPIVOTDATA("Average of Transport Downtime",Control!$A$37)</f>
        <v>0.1875</v>
      </c>
      <c r="Y50">
        <f t="shared" si="34"/>
        <v>664.8</v>
      </c>
      <c r="Z50">
        <f t="shared" si="35"/>
        <v>253</v>
      </c>
      <c r="AA50">
        <f t="shared" si="36"/>
        <v>253</v>
      </c>
      <c r="AB50">
        <f>GETPIVOTDATA("Sum of Logistics Costs",Control!$A$3,"Month",$E21)</f>
        <v>145</v>
      </c>
      <c r="AC50">
        <f>GETPIVOTDATA("Sum of Logistics Costs",Control!$A$20,"Month",$E21)</f>
        <v>108</v>
      </c>
      <c r="AK50" t="s">
        <v>17</v>
      </c>
      <c r="AL50">
        <f>GETPIVOTDATA(""&amp;$AK50,Control!$A$54)*$D$1</f>
        <v>675</v>
      </c>
      <c r="AM50">
        <f>GETPIVOTDATA(""&amp;$AK50,Control!$A$37)*$B$1</f>
        <v>117</v>
      </c>
    </row>
    <row r="51" spans="1:39" ht="15">
      <c r="A51">
        <v>1</v>
      </c>
      <c r="C51">
        <f>GETPIVOTDATA(""&amp;C$47,Control!$A$3,"Month",$E22)</f>
        <v>82</v>
      </c>
      <c r="D51">
        <f>GETPIVOTDATA(""&amp;D$47,Control!$A$20,"Month",$E22)</f>
        <v>427</v>
      </c>
      <c r="E51">
        <f>GETPIVOTDATA(""&amp;E$47,Control!$A$3,"Month",$E22)</f>
        <v>205</v>
      </c>
      <c r="F51">
        <f>GETPIVOTDATA(""&amp;F$47,Control!$A$20,"Month",$E22)</f>
        <v>725</v>
      </c>
      <c r="G51">
        <f t="shared" si="26"/>
        <v>509</v>
      </c>
      <c r="H51">
        <f t="shared" si="27"/>
        <v>930</v>
      </c>
      <c r="I51">
        <f t="shared" si="28"/>
        <v>509</v>
      </c>
      <c r="J51">
        <f t="shared" si="29"/>
        <v>930</v>
      </c>
      <c r="M51">
        <f>GETPIVOTDATA(""&amp;$Q$47,Control!$A$3,"Month",$E22)</f>
        <v>103</v>
      </c>
      <c r="N51">
        <f>GETPIVOTDATA(""&amp;$Q$47,Control!$A$20,"Month",$E22)</f>
        <v>46</v>
      </c>
      <c r="O51">
        <f>GETPIVOTDATA(""&amp;$R$47,Control!$A$3,"Month",$E22)</f>
        <v>59</v>
      </c>
      <c r="P51">
        <f>GETPIVOTDATA(""&amp;$R$47,Control!$A$20,"Month",$E22)</f>
        <v>112</v>
      </c>
      <c r="Q51">
        <f t="shared" si="30"/>
        <v>149</v>
      </c>
      <c r="R51">
        <f t="shared" si="31"/>
        <v>171</v>
      </c>
      <c r="S51">
        <f t="shared" si="32"/>
        <v>149</v>
      </c>
      <c r="T51">
        <f t="shared" si="33"/>
        <v>171</v>
      </c>
      <c r="W51" s="20" t="s">
        <v>131</v>
      </c>
      <c r="Y51">
        <f t="shared" si="34"/>
        <v>664.8</v>
      </c>
      <c r="Z51">
        <f t="shared" si="35"/>
        <v>462</v>
      </c>
      <c r="AA51">
        <f t="shared" si="36"/>
        <v>462</v>
      </c>
      <c r="AB51">
        <f>GETPIVOTDATA("Sum of Logistics Costs",Control!$A$3,"Month",$E22)</f>
        <v>216</v>
      </c>
      <c r="AC51">
        <f>GETPIVOTDATA("Sum of Logistics Costs",Control!$A$20,"Month",$E22)</f>
        <v>246</v>
      </c>
      <c r="AK51" t="s">
        <v>18</v>
      </c>
      <c r="AL51">
        <f>GETPIVOTDATA(""&amp;$AK51,Control!$A$54)*$D$1</f>
        <v>601</v>
      </c>
      <c r="AM51">
        <f>GETPIVOTDATA(""&amp;$AK51,Control!$A$37)*$B$1</f>
        <v>102</v>
      </c>
    </row>
    <row r="52" spans="1:39">
      <c r="A52">
        <v>1</v>
      </c>
      <c r="C52">
        <f>GETPIVOTDATA(""&amp;C$47,Control!$A$3,"Month",$E23)</f>
        <v>98</v>
      </c>
      <c r="D52">
        <f>GETPIVOTDATA(""&amp;D$47,Control!$A$20,"Month",$E23)</f>
        <v>476</v>
      </c>
      <c r="E52">
        <f>GETPIVOTDATA(""&amp;E$47,Control!$A$3,"Month",$E23)</f>
        <v>225</v>
      </c>
      <c r="F52">
        <f>GETPIVOTDATA(""&amp;F$47,Control!$A$20,"Month",$E23)</f>
        <v>673</v>
      </c>
      <c r="G52">
        <f t="shared" si="26"/>
        <v>574</v>
      </c>
      <c r="H52">
        <f t="shared" si="27"/>
        <v>898</v>
      </c>
      <c r="I52">
        <f t="shared" si="28"/>
        <v>574</v>
      </c>
      <c r="J52">
        <f t="shared" si="29"/>
        <v>898</v>
      </c>
      <c r="M52">
        <f>GETPIVOTDATA(""&amp;$Q$47,Control!$A$3,"Month",$E23)</f>
        <v>80</v>
      </c>
      <c r="N52">
        <f>GETPIVOTDATA(""&amp;$Q$47,Control!$A$20,"Month",$E23)</f>
        <v>55</v>
      </c>
      <c r="O52">
        <f>GETPIVOTDATA(""&amp;$R$47,Control!$A$3,"Month",$E23)</f>
        <v>28</v>
      </c>
      <c r="P52">
        <f>GETPIVOTDATA(""&amp;$R$47,Control!$A$20,"Month",$E23)</f>
        <v>83</v>
      </c>
      <c r="Q52">
        <f t="shared" si="30"/>
        <v>135</v>
      </c>
      <c r="R52">
        <f t="shared" si="31"/>
        <v>111</v>
      </c>
      <c r="S52">
        <f t="shared" si="32"/>
        <v>135</v>
      </c>
      <c r="T52">
        <f t="shared" si="33"/>
        <v>111</v>
      </c>
      <c r="W52" s="3">
        <f>AVERAGE(W54*$B$1,X54*$D$1)</f>
        <v>0.43625000000000003</v>
      </c>
      <c r="X52" s="3">
        <f>100%-W52</f>
        <v>0.56374999999999997</v>
      </c>
      <c r="Y52">
        <f t="shared" si="34"/>
        <v>664.8</v>
      </c>
      <c r="Z52">
        <f t="shared" si="35"/>
        <v>332</v>
      </c>
      <c r="AA52">
        <f t="shared" si="36"/>
        <v>332</v>
      </c>
      <c r="AB52">
        <f>GETPIVOTDATA("Sum of Logistics Costs",Control!$A$3,"Month",$E23)</f>
        <v>128</v>
      </c>
      <c r="AC52">
        <f>GETPIVOTDATA("Sum of Logistics Costs",Control!$A$20,"Month",$E23)</f>
        <v>204</v>
      </c>
      <c r="AK52" t="s">
        <v>19</v>
      </c>
      <c r="AL52">
        <f>GETPIVOTDATA(""&amp;$AK52,Control!$A$54)*$D$1</f>
        <v>1010</v>
      </c>
      <c r="AM52">
        <f>GETPIVOTDATA(""&amp;$AK52,Control!$A$37)*$B$1</f>
        <v>503</v>
      </c>
    </row>
    <row r="53" spans="1:39">
      <c r="A53">
        <v>1</v>
      </c>
      <c r="C53">
        <f>GETPIVOTDATA(""&amp;C$47,Control!$A$3,"Month",$E24)</f>
        <v>105</v>
      </c>
      <c r="D53">
        <f>GETPIVOTDATA(""&amp;D$47,Control!$A$20,"Month",$E24)</f>
        <v>546</v>
      </c>
      <c r="E53">
        <f>GETPIVOTDATA(""&amp;E$47,Control!$A$3,"Month",$E24)</f>
        <v>150</v>
      </c>
      <c r="F53">
        <f>GETPIVOTDATA(""&amp;F$47,Control!$A$20,"Month",$E24)</f>
        <v>500</v>
      </c>
      <c r="G53">
        <f t="shared" si="26"/>
        <v>651</v>
      </c>
      <c r="H53">
        <f t="shared" si="27"/>
        <v>650</v>
      </c>
      <c r="I53">
        <f t="shared" si="28"/>
        <v>651</v>
      </c>
      <c r="J53">
        <f t="shared" si="29"/>
        <v>650</v>
      </c>
      <c r="M53">
        <f>GETPIVOTDATA(""&amp;$Q$47,Control!$A$3,"Month",$E24)</f>
        <v>22</v>
      </c>
      <c r="N53">
        <f>GETPIVOTDATA(""&amp;$Q$47,Control!$A$20,"Month",$E24)</f>
        <v>52</v>
      </c>
      <c r="O53">
        <f>GETPIVOTDATA(""&amp;$R$47,Control!$A$3,"Month",$E24)</f>
        <v>18</v>
      </c>
      <c r="P53">
        <f>GETPIVOTDATA(""&amp;$R$47,Control!$A$20,"Month",$E24)</f>
        <v>32</v>
      </c>
      <c r="Q53">
        <f t="shared" si="30"/>
        <v>74</v>
      </c>
      <c r="R53">
        <f t="shared" si="31"/>
        <v>50</v>
      </c>
      <c r="S53">
        <f t="shared" si="32"/>
        <v>74</v>
      </c>
      <c r="T53">
        <f t="shared" si="33"/>
        <v>50</v>
      </c>
      <c r="W53" t="s">
        <v>84</v>
      </c>
      <c r="X53" t="s">
        <v>83</v>
      </c>
      <c r="Y53">
        <f t="shared" si="34"/>
        <v>664.8</v>
      </c>
      <c r="Z53">
        <f t="shared" si="35"/>
        <v>292</v>
      </c>
      <c r="AA53">
        <f t="shared" si="36"/>
        <v>292</v>
      </c>
      <c r="AB53">
        <f>GETPIVOTDATA("Sum of Logistics Costs",Control!$A$3,"Month",$E24)</f>
        <v>184</v>
      </c>
      <c r="AC53">
        <f>GETPIVOTDATA("Sum of Logistics Costs",Control!$A$20,"Month",$E24)</f>
        <v>108</v>
      </c>
      <c r="AK53" t="s">
        <v>20</v>
      </c>
      <c r="AL53">
        <f>GETPIVOTDATA(""&amp;$AK53,Control!$A$54)*$D$1</f>
        <v>632</v>
      </c>
      <c r="AM53">
        <f>GETPIVOTDATA(""&amp;$AK53,Control!$A$37)*$B$1</f>
        <v>996</v>
      </c>
    </row>
    <row r="54" spans="1:39">
      <c r="A54">
        <v>1</v>
      </c>
      <c r="C54">
        <f>GETPIVOTDATA(""&amp;C$47,Control!$A$3,"Month",$E25)</f>
        <v>210</v>
      </c>
      <c r="D54">
        <f>GETPIVOTDATA(""&amp;D$47,Control!$A$20,"Month",$E25)</f>
        <v>489</v>
      </c>
      <c r="E54">
        <f>GETPIVOTDATA(""&amp;E$47,Control!$A$3,"Month",$E25)</f>
        <v>53</v>
      </c>
      <c r="F54">
        <f>GETPIVOTDATA(""&amp;F$47,Control!$A$20,"Month",$E25)</f>
        <v>382</v>
      </c>
      <c r="G54">
        <f t="shared" si="26"/>
        <v>699</v>
      </c>
      <c r="H54">
        <f t="shared" si="27"/>
        <v>435</v>
      </c>
      <c r="I54">
        <f t="shared" si="28"/>
        <v>699</v>
      </c>
      <c r="J54">
        <f t="shared" si="29"/>
        <v>435</v>
      </c>
      <c r="M54">
        <f>GETPIVOTDATA(""&amp;$Q$47,Control!$A$3,"Month",$E25)</f>
        <v>38</v>
      </c>
      <c r="N54">
        <f>GETPIVOTDATA(""&amp;$Q$47,Control!$A$20,"Month",$E25)</f>
        <v>40</v>
      </c>
      <c r="O54">
        <f>GETPIVOTDATA(""&amp;$R$47,Control!$A$3,"Month",$E25)</f>
        <v>77</v>
      </c>
      <c r="P54">
        <f>GETPIVOTDATA(""&amp;$R$47,Control!$A$20,"Month",$E25)</f>
        <v>24</v>
      </c>
      <c r="Q54">
        <f t="shared" si="30"/>
        <v>78</v>
      </c>
      <c r="R54">
        <f t="shared" si="31"/>
        <v>101</v>
      </c>
      <c r="S54">
        <f t="shared" si="32"/>
        <v>78</v>
      </c>
      <c r="T54">
        <f t="shared" si="33"/>
        <v>101</v>
      </c>
      <c r="W54" s="2">
        <f>GETPIVOTDATA("Average of Logistic Load",Control!$A$54)</f>
        <v>0.64833333333333332</v>
      </c>
      <c r="X54" s="2">
        <f>GETPIVOTDATA("Average of Transport Downtime",Control!$A$54)</f>
        <v>0.22416666666666671</v>
      </c>
      <c r="Y54">
        <f t="shared" si="34"/>
        <v>664.8</v>
      </c>
      <c r="Z54">
        <f t="shared" si="35"/>
        <v>453</v>
      </c>
      <c r="AA54">
        <f t="shared" si="36"/>
        <v>453</v>
      </c>
      <c r="AB54">
        <f>GETPIVOTDATA("Sum of Logistics Costs",Control!$A$3,"Month",$E25)</f>
        <v>177</v>
      </c>
      <c r="AC54">
        <f>GETPIVOTDATA("Sum of Logistics Costs",Control!$A$20,"Month",$E25)</f>
        <v>276</v>
      </c>
      <c r="AK54" t="s">
        <v>21</v>
      </c>
      <c r="AL54">
        <f>GETPIVOTDATA(""&amp;$AK54,Control!$A$54)*$D$1</f>
        <v>332</v>
      </c>
      <c r="AM54">
        <f>GETPIVOTDATA(""&amp;$AK54,Control!$A$37)*$B$1</f>
        <v>908</v>
      </c>
    </row>
    <row r="55" spans="1:39">
      <c r="A55">
        <v>1</v>
      </c>
      <c r="C55">
        <f>GETPIVOTDATA(""&amp;C$47,Control!$A$3,"Month",$E26)</f>
        <v>79</v>
      </c>
      <c r="D55">
        <f>GETPIVOTDATA(""&amp;D$47,Control!$A$20,"Month",$E26)</f>
        <v>579</v>
      </c>
      <c r="E55">
        <f>GETPIVOTDATA(""&amp;E$47,Control!$A$3,"Month",$E26)</f>
        <v>108</v>
      </c>
      <c r="F55">
        <f>GETPIVOTDATA(""&amp;F$47,Control!$A$20,"Month",$E26)</f>
        <v>305</v>
      </c>
      <c r="G55">
        <f t="shared" si="26"/>
        <v>658</v>
      </c>
      <c r="H55">
        <f t="shared" si="27"/>
        <v>413</v>
      </c>
      <c r="I55">
        <f t="shared" si="28"/>
        <v>658</v>
      </c>
      <c r="J55">
        <f t="shared" si="29"/>
        <v>413</v>
      </c>
      <c r="M55">
        <f>GETPIVOTDATA(""&amp;$Q$47,Control!$A$3,"Month",$E26)</f>
        <v>0</v>
      </c>
      <c r="N55">
        <f>GETPIVOTDATA(""&amp;$Q$47,Control!$A$20,"Month",$E26)</f>
        <v>45</v>
      </c>
      <c r="O55">
        <f>GETPIVOTDATA(""&amp;$R$47,Control!$A$3,"Month",$E26)</f>
        <v>47</v>
      </c>
      <c r="P55">
        <f>GETPIVOTDATA(""&amp;$R$47,Control!$A$20,"Month",$E26)</f>
        <v>28</v>
      </c>
      <c r="Q55">
        <f t="shared" si="30"/>
        <v>45</v>
      </c>
      <c r="R55">
        <f t="shared" si="31"/>
        <v>75</v>
      </c>
      <c r="S55">
        <f t="shared" si="32"/>
        <v>45</v>
      </c>
      <c r="T55">
        <f t="shared" si="33"/>
        <v>75</v>
      </c>
      <c r="Y55">
        <f t="shared" si="34"/>
        <v>664.8</v>
      </c>
      <c r="Z55">
        <f t="shared" si="35"/>
        <v>554</v>
      </c>
      <c r="AA55">
        <f t="shared" si="36"/>
        <v>554</v>
      </c>
      <c r="AB55">
        <f>GETPIVOTDATA("Sum of Logistics Costs",Control!$A$3,"Month",$E26)</f>
        <v>302</v>
      </c>
      <c r="AC55">
        <f>GETPIVOTDATA("Sum of Logistics Costs",Control!$A$20,"Month",$E26)</f>
        <v>252</v>
      </c>
      <c r="AK55" t="s">
        <v>22</v>
      </c>
      <c r="AL55">
        <f>GETPIVOTDATA(""&amp;$AK55,Control!$A$54)*$D$1</f>
        <v>603</v>
      </c>
      <c r="AM55">
        <f>GETPIVOTDATA(""&amp;$AK55,Control!$A$37)*$B$1</f>
        <v>798</v>
      </c>
    </row>
    <row r="56" spans="1:39">
      <c r="A56">
        <v>1</v>
      </c>
      <c r="C56">
        <f>GETPIVOTDATA(""&amp;C$47,Control!$A$3,"Month",$E27)</f>
        <v>42</v>
      </c>
      <c r="D56">
        <f>GETPIVOTDATA(""&amp;D$47,Control!$A$20,"Month",$E27)</f>
        <v>374</v>
      </c>
      <c r="E56">
        <f>GETPIVOTDATA(""&amp;E$47,Control!$A$3,"Month",$E27)</f>
        <v>116</v>
      </c>
      <c r="F56">
        <f>GETPIVOTDATA(""&amp;F$47,Control!$A$20,"Month",$E27)</f>
        <v>409</v>
      </c>
      <c r="G56">
        <f t="shared" si="26"/>
        <v>416</v>
      </c>
      <c r="H56">
        <f t="shared" si="27"/>
        <v>525</v>
      </c>
      <c r="I56">
        <f t="shared" si="28"/>
        <v>416</v>
      </c>
      <c r="J56">
        <f t="shared" si="29"/>
        <v>525</v>
      </c>
      <c r="M56">
        <f>GETPIVOTDATA(""&amp;$Q$47,Control!$A$3,"Month",$E27)</f>
        <v>60</v>
      </c>
      <c r="N56">
        <f>GETPIVOTDATA(""&amp;$Q$47,Control!$A$20,"Month",$E27)</f>
        <v>97</v>
      </c>
      <c r="O56">
        <f>GETPIVOTDATA(""&amp;$R$47,Control!$A$3,"Month",$E27)</f>
        <v>79</v>
      </c>
      <c r="P56">
        <f>GETPIVOTDATA(""&amp;$R$47,Control!$A$20,"Month",$E27)</f>
        <v>103</v>
      </c>
      <c r="Q56">
        <f t="shared" si="30"/>
        <v>157</v>
      </c>
      <c r="R56">
        <f t="shared" si="31"/>
        <v>182</v>
      </c>
      <c r="S56">
        <f t="shared" si="32"/>
        <v>157</v>
      </c>
      <c r="T56">
        <f t="shared" si="33"/>
        <v>182</v>
      </c>
      <c r="Y56">
        <f t="shared" si="34"/>
        <v>664.8</v>
      </c>
      <c r="Z56">
        <f t="shared" si="35"/>
        <v>505</v>
      </c>
      <c r="AA56">
        <f t="shared" si="36"/>
        <v>505</v>
      </c>
      <c r="AB56">
        <f>GETPIVOTDATA("Sum of Logistics Costs",Control!$A$3,"Month",$E27)</f>
        <v>313</v>
      </c>
      <c r="AC56">
        <f>GETPIVOTDATA("Sum of Logistics Costs",Control!$A$20,"Month",$E27)</f>
        <v>192</v>
      </c>
      <c r="AL56" s="23">
        <f>SUMIF(AL48:AL55,"&gt;0")</f>
        <v>4771</v>
      </c>
      <c r="AM56" s="23">
        <f>SUMIF(AM48:AM55,"&gt;0")</f>
        <v>4897</v>
      </c>
    </row>
    <row r="57" spans="1:39">
      <c r="A57">
        <v>1</v>
      </c>
      <c r="C57">
        <f>GETPIVOTDATA(""&amp;C$47,Control!$A$3,"Month",$E28)</f>
        <v>74</v>
      </c>
      <c r="D57">
        <f>GETPIVOTDATA(""&amp;D$47,Control!$A$20,"Month",$E28)</f>
        <v>200</v>
      </c>
      <c r="E57">
        <f>GETPIVOTDATA(""&amp;E$47,Control!$A$3,"Month",$E28)</f>
        <v>150</v>
      </c>
      <c r="F57">
        <f>GETPIVOTDATA(""&amp;F$47,Control!$A$20,"Month",$E28)</f>
        <v>500</v>
      </c>
      <c r="G57">
        <f t="shared" si="26"/>
        <v>274</v>
      </c>
      <c r="H57">
        <f t="shared" si="27"/>
        <v>650</v>
      </c>
      <c r="I57">
        <f t="shared" si="28"/>
        <v>274</v>
      </c>
      <c r="J57">
        <f t="shared" si="29"/>
        <v>650</v>
      </c>
      <c r="M57">
        <f>GETPIVOTDATA(""&amp;$Q$47,Control!$A$3,"Month",$E28)</f>
        <v>43</v>
      </c>
      <c r="N57">
        <f>GETPIVOTDATA(""&amp;$Q$47,Control!$A$20,"Month",$E28)</f>
        <v>110</v>
      </c>
      <c r="O57">
        <f>GETPIVOTDATA(""&amp;$R$47,Control!$A$3,"Month",$E28)</f>
        <v>121</v>
      </c>
      <c r="P57">
        <f>GETPIVOTDATA(""&amp;$R$47,Control!$A$20,"Month",$E28)</f>
        <v>144</v>
      </c>
      <c r="Q57">
        <f t="shared" si="30"/>
        <v>153</v>
      </c>
      <c r="R57">
        <f t="shared" si="31"/>
        <v>265</v>
      </c>
      <c r="S57">
        <f t="shared" si="32"/>
        <v>153</v>
      </c>
      <c r="T57">
        <f t="shared" si="33"/>
        <v>265</v>
      </c>
      <c r="Y57">
        <f t="shared" si="34"/>
        <v>664.8</v>
      </c>
      <c r="Z57">
        <f t="shared" si="35"/>
        <v>368</v>
      </c>
      <c r="AA57">
        <f t="shared" si="36"/>
        <v>368</v>
      </c>
      <c r="AB57">
        <f>GETPIVOTDATA("Sum of Logistics Costs",Control!$A$3,"Month",$E28)</f>
        <v>140</v>
      </c>
      <c r="AC57">
        <f>GETPIVOTDATA("Sum of Logistics Costs",Control!$A$20,"Month",$E28)</f>
        <v>228</v>
      </c>
    </row>
    <row r="58" spans="1:39">
      <c r="A58">
        <v>1</v>
      </c>
      <c r="C58">
        <f>GETPIVOTDATA(""&amp;C$47,Control!$A$3,"Month",$E29)</f>
        <v>68</v>
      </c>
      <c r="D58">
        <f>GETPIVOTDATA(""&amp;D$47,Control!$A$20,"Month",$E29)</f>
        <v>215</v>
      </c>
      <c r="E58">
        <f>GETPIVOTDATA(""&amp;E$47,Control!$A$3,"Month",$E29)</f>
        <v>149</v>
      </c>
      <c r="F58">
        <f>GETPIVOTDATA(""&amp;F$47,Control!$A$20,"Month",$E29)</f>
        <v>401</v>
      </c>
      <c r="G58">
        <f t="shared" si="26"/>
        <v>283</v>
      </c>
      <c r="H58">
        <f t="shared" si="27"/>
        <v>550</v>
      </c>
      <c r="I58">
        <f t="shared" si="28"/>
        <v>283</v>
      </c>
      <c r="J58">
        <f t="shared" si="29"/>
        <v>550</v>
      </c>
      <c r="M58">
        <f>GETPIVOTDATA(""&amp;$Q$47,Control!$A$3,"Month",$E29)</f>
        <v>41</v>
      </c>
      <c r="N58">
        <f>GETPIVOTDATA(""&amp;$Q$47,Control!$A$20,"Month",$E29)</f>
        <v>90</v>
      </c>
      <c r="O58">
        <f>GETPIVOTDATA(""&amp;$R$47,Control!$A$3,"Month",$E29)</f>
        <v>83</v>
      </c>
      <c r="P58">
        <f>GETPIVOTDATA(""&amp;$R$47,Control!$A$20,"Month",$E29)</f>
        <v>100</v>
      </c>
      <c r="Q58">
        <f t="shared" si="30"/>
        <v>131</v>
      </c>
      <c r="R58">
        <f t="shared" si="31"/>
        <v>183</v>
      </c>
      <c r="S58">
        <f t="shared" si="32"/>
        <v>131</v>
      </c>
      <c r="T58">
        <f t="shared" si="33"/>
        <v>183</v>
      </c>
      <c r="Y58">
        <f t="shared" si="34"/>
        <v>664.8</v>
      </c>
      <c r="Z58">
        <f t="shared" si="35"/>
        <v>503</v>
      </c>
      <c r="AA58">
        <f t="shared" si="36"/>
        <v>503</v>
      </c>
      <c r="AB58">
        <f>GETPIVOTDATA("Sum of Logistics Costs",Control!$A$3,"Month",$E29)</f>
        <v>209</v>
      </c>
      <c r="AC58">
        <f>GETPIVOTDATA("Sum of Logistics Costs",Control!$A$20,"Month",$E29)</f>
        <v>294</v>
      </c>
    </row>
    <row r="59" spans="1:39">
      <c r="A59">
        <v>1</v>
      </c>
      <c r="C59">
        <f>GETPIVOTDATA(""&amp;C$47,Control!$A$3,"Month",$E30)</f>
        <v>68</v>
      </c>
      <c r="D59">
        <f>GETPIVOTDATA(""&amp;D$47,Control!$A$20,"Month",$E30)</f>
        <v>351</v>
      </c>
      <c r="E59">
        <f>GETPIVOTDATA(""&amp;E$47,Control!$A$3,"Month",$E30)</f>
        <v>80</v>
      </c>
      <c r="F59">
        <f>GETPIVOTDATA(""&amp;F$47,Control!$A$20,"Month",$E30)</f>
        <v>195</v>
      </c>
      <c r="G59">
        <f t="shared" si="26"/>
        <v>419</v>
      </c>
      <c r="H59">
        <f t="shared" si="27"/>
        <v>275</v>
      </c>
      <c r="I59">
        <f t="shared" si="28"/>
        <v>419</v>
      </c>
      <c r="J59">
        <f t="shared" si="29"/>
        <v>275</v>
      </c>
      <c r="M59">
        <f>GETPIVOTDATA(""&amp;$Q$47,Control!$A$3,"Month",$E30)</f>
        <v>30</v>
      </c>
      <c r="N59">
        <f>GETPIVOTDATA(""&amp;$Q$47,Control!$A$20,"Month",$E30)</f>
        <v>58</v>
      </c>
      <c r="O59">
        <f>GETPIVOTDATA(""&amp;$R$47,Control!$A$3,"Month",$E30)</f>
        <v>147</v>
      </c>
      <c r="P59">
        <f>GETPIVOTDATA(""&amp;$R$47,Control!$A$20,"Month",$E30)</f>
        <v>95</v>
      </c>
      <c r="Q59">
        <f t="shared" si="30"/>
        <v>88</v>
      </c>
      <c r="R59">
        <f t="shared" si="31"/>
        <v>242</v>
      </c>
      <c r="S59">
        <f t="shared" si="32"/>
        <v>88</v>
      </c>
      <c r="T59">
        <f t="shared" si="33"/>
        <v>242</v>
      </c>
      <c r="Y59">
        <f t="shared" si="34"/>
        <v>664.8</v>
      </c>
      <c r="Z59">
        <f t="shared" si="35"/>
        <v>351</v>
      </c>
      <c r="AA59">
        <f t="shared" si="36"/>
        <v>351</v>
      </c>
      <c r="AB59">
        <f>GETPIVOTDATA("Sum of Logistics Costs",Control!$A$3,"Month",$E30)</f>
        <v>81</v>
      </c>
      <c r="AC59">
        <f>GETPIVOTDATA("Sum of Logistics Costs",Control!$A$20,"Month",$E30)</f>
        <v>270</v>
      </c>
    </row>
    <row r="60" spans="1:39" ht="15">
      <c r="A60">
        <v>1</v>
      </c>
      <c r="C60" t="s">
        <v>84</v>
      </c>
      <c r="D60" t="s">
        <v>83</v>
      </c>
      <c r="E60" t="s">
        <v>84</v>
      </c>
      <c r="F60" t="s">
        <v>83</v>
      </c>
      <c r="I60" s="23" cm="1">
        <f t="array" ref="I60">IF(ISNA($X$20),SUMIF(I48:I59,"&gt;0"),INDEX(I48:I59,$X$20))</f>
        <v>6708</v>
      </c>
      <c r="J60" s="23" cm="1">
        <f t="array" ref="J60">IF(ISNA($X$20),SUMIF(J48:J59,"&gt;0"),INDEX(J48:J59,$X$20))</f>
        <v>7589</v>
      </c>
      <c r="M60" s="27" t="s">
        <v>132</v>
      </c>
      <c r="N60" s="27"/>
      <c r="O60" s="27" t="s">
        <v>133</v>
      </c>
      <c r="P60" s="27"/>
      <c r="S60" s="23" cm="1">
        <f t="array" ref="S60">IF(ISNA($X$20),SUMIF(S48:S59,"&gt;0"),INDEX(S48:S59,$X$20))</f>
        <v>1276</v>
      </c>
      <c r="T60" s="23" cm="1">
        <f t="array" ref="T60">IF(ISNA($X$20),SUMIF(T48:T59,"&gt;0"),INDEX(T48:T59,$X$20))</f>
        <v>1854</v>
      </c>
      <c r="Y60" s="11">
        <v>1.2</v>
      </c>
      <c r="Z60" s="23" cm="1">
        <f t="array" ref="Z60">IF(ISNA($X$20),SUMIF(Z48:Z59,"&gt;0"),INDEX(Z48:Z59,$X$20))</f>
        <v>4530</v>
      </c>
      <c r="AA60" s="23">
        <f>SUM(AA48:AA59)</f>
        <v>4530</v>
      </c>
    </row>
    <row r="61" spans="1:39">
      <c r="A61">
        <v>1</v>
      </c>
    </row>
    <row r="62" spans="1:39">
      <c r="A62">
        <v>1</v>
      </c>
    </row>
    <row r="63" spans="1:39">
      <c r="A63">
        <v>1</v>
      </c>
    </row>
    <row r="64" spans="1:39">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sheetData>
  <mergeCells count="3">
    <mergeCell ref="G32:H32"/>
    <mergeCell ref="M60:N60"/>
    <mergeCell ref="O60:P60"/>
  </mergeCells>
  <phoneticPr fontId="3" type="noConversion"/>
  <pageMargins left="0.7" right="0.7" top="0.75" bottom="0.75" header="0.3" footer="0.3"/>
  <ignoredErrors>
    <ignoredError sqref="D48:D59" formula="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4"/>
  <sheetViews>
    <sheetView zoomScaleNormal="100" workbookViewId="0">
      <selection activeCell="I17" sqref="I17"/>
    </sheetView>
  </sheetViews>
  <sheetFormatPr defaultRowHeight="14.25"/>
  <cols>
    <col min="4" max="4" width="11.625" bestFit="1" customWidth="1"/>
    <col min="10" max="10" width="9.25" customWidth="1"/>
    <col min="11" max="11" width="9.375" bestFit="1" customWidth="1"/>
    <col min="15" max="15" width="9.5" bestFit="1" customWidth="1"/>
    <col min="16" max="16" width="5.625" customWidth="1"/>
    <col min="17" max="17" width="10.25" bestFit="1" customWidth="1"/>
    <col min="18" max="18" width="6.5" bestFit="1" customWidth="1"/>
    <col min="19" max="19" width="9.375" customWidth="1"/>
    <col min="20" max="20" width="10.5" customWidth="1"/>
    <col min="21" max="21" width="9.5" customWidth="1"/>
    <col min="22" max="31" width="10" customWidth="1"/>
    <col min="32" max="34" width="12.125" customWidth="1"/>
    <col min="35" max="35" width="12.5" customWidth="1"/>
    <col min="36" max="36" width="9.625" customWidth="1"/>
    <col min="38" max="38" width="9.75" customWidth="1"/>
    <col min="41" max="41" width="9.875" customWidth="1"/>
    <col min="46" max="46" width="9.25" bestFit="1" customWidth="1"/>
    <col min="48" max="48" width="9.375" bestFit="1" customWidth="1"/>
    <col min="50" max="50" width="9.625" bestFit="1" customWidth="1"/>
    <col min="52" max="52" width="9.5" bestFit="1" customWidth="1"/>
  </cols>
  <sheetData>
    <row r="1" spans="1:52" ht="30">
      <c r="A1" s="7" t="s">
        <v>23</v>
      </c>
      <c r="B1" s="7" t="s">
        <v>24</v>
      </c>
      <c r="C1" s="8" t="s">
        <v>25</v>
      </c>
      <c r="D1" s="8" t="s">
        <v>45</v>
      </c>
      <c r="E1" s="9" t="s">
        <v>12</v>
      </c>
      <c r="F1" s="9" t="s">
        <v>36</v>
      </c>
      <c r="G1" s="9" t="s">
        <v>32</v>
      </c>
      <c r="H1" s="9" t="s">
        <v>33</v>
      </c>
      <c r="I1" s="9" t="s">
        <v>34</v>
      </c>
      <c r="J1" s="9" t="s">
        <v>39</v>
      </c>
      <c r="K1" s="12" t="s">
        <v>40</v>
      </c>
      <c r="L1" s="13" t="s">
        <v>42</v>
      </c>
      <c r="M1" s="12" t="s">
        <v>41</v>
      </c>
      <c r="N1" s="9" t="s">
        <v>46</v>
      </c>
      <c r="O1" s="9" t="s">
        <v>26</v>
      </c>
      <c r="P1" s="9" t="s">
        <v>29</v>
      </c>
      <c r="Q1" s="14" t="s">
        <v>27</v>
      </c>
      <c r="R1" s="14" t="s">
        <v>28</v>
      </c>
      <c r="S1" s="13" t="s">
        <v>14</v>
      </c>
      <c r="T1" s="13" t="s">
        <v>86</v>
      </c>
      <c r="U1" s="13" t="s">
        <v>87</v>
      </c>
      <c r="V1" s="13" t="s">
        <v>88</v>
      </c>
      <c r="W1" s="13" t="s">
        <v>89</v>
      </c>
      <c r="X1" s="13" t="s">
        <v>90</v>
      </c>
      <c r="Y1" s="13" t="s">
        <v>91</v>
      </c>
      <c r="Z1" s="13" t="s">
        <v>92</v>
      </c>
      <c r="AA1" s="13" t="s">
        <v>93</v>
      </c>
      <c r="AB1" s="13" t="s">
        <v>94</v>
      </c>
      <c r="AC1" s="13" t="s">
        <v>95</v>
      </c>
      <c r="AD1" s="13" t="s">
        <v>96</v>
      </c>
      <c r="AE1" s="13" t="s">
        <v>128</v>
      </c>
      <c r="AF1" s="13" t="s">
        <v>97</v>
      </c>
      <c r="AG1" s="13" t="s">
        <v>98</v>
      </c>
      <c r="AH1" s="13" t="s">
        <v>99</v>
      </c>
      <c r="AI1" s="9" t="s">
        <v>100</v>
      </c>
      <c r="AJ1" s="9" t="s">
        <v>101</v>
      </c>
      <c r="AK1" s="9" t="s">
        <v>102</v>
      </c>
      <c r="AL1" s="13" t="s">
        <v>103</v>
      </c>
      <c r="AM1" s="9" t="s">
        <v>104</v>
      </c>
      <c r="AN1" s="13" t="s">
        <v>130</v>
      </c>
      <c r="AO1" s="13" t="s">
        <v>131</v>
      </c>
      <c r="AP1" s="9" t="s">
        <v>132</v>
      </c>
      <c r="AQ1" s="9" t="s">
        <v>133</v>
      </c>
      <c r="AR1" s="13" t="s">
        <v>134</v>
      </c>
      <c r="AS1" s="9" t="s">
        <v>15</v>
      </c>
      <c r="AT1" s="9" t="s">
        <v>16</v>
      </c>
      <c r="AU1" s="9" t="s">
        <v>17</v>
      </c>
      <c r="AV1" s="9" t="s">
        <v>18</v>
      </c>
      <c r="AW1" s="9" t="s">
        <v>19</v>
      </c>
      <c r="AX1" s="9" t="s">
        <v>20</v>
      </c>
      <c r="AY1" s="9" t="s">
        <v>21</v>
      </c>
      <c r="AZ1" s="9" t="s">
        <v>22</v>
      </c>
    </row>
    <row r="2" spans="1:52">
      <c r="A2">
        <v>2024</v>
      </c>
      <c r="B2" s="4">
        <v>1</v>
      </c>
      <c r="C2" s="4" t="s">
        <v>0</v>
      </c>
      <c r="D2" s="4" t="s">
        <v>43</v>
      </c>
      <c r="E2">
        <v>542</v>
      </c>
      <c r="F2" s="10">
        <v>0.27400000000000002</v>
      </c>
      <c r="G2">
        <v>319.2</v>
      </c>
      <c r="H2">
        <v>466.79999999999995</v>
      </c>
      <c r="I2">
        <v>598.79999999999995</v>
      </c>
      <c r="J2" s="2">
        <v>0.19</v>
      </c>
      <c r="K2" s="2">
        <v>0.31</v>
      </c>
      <c r="L2" s="2">
        <v>0.19</v>
      </c>
      <c r="M2" s="2">
        <v>0.31</v>
      </c>
      <c r="N2" s="2">
        <v>0.67</v>
      </c>
      <c r="O2" s="2">
        <v>0.74</v>
      </c>
      <c r="P2" s="2">
        <v>0.81</v>
      </c>
      <c r="Q2" s="2">
        <v>0.64</v>
      </c>
      <c r="R2" s="2">
        <v>0.44</v>
      </c>
      <c r="S2">
        <v>621</v>
      </c>
      <c r="T2" s="2">
        <v>0.8</v>
      </c>
      <c r="U2" s="2">
        <v>0.74</v>
      </c>
      <c r="V2">
        <v>131</v>
      </c>
      <c r="W2">
        <v>839</v>
      </c>
      <c r="X2">
        <v>427</v>
      </c>
      <c r="Y2">
        <v>513</v>
      </c>
      <c r="Z2">
        <v>484</v>
      </c>
      <c r="AA2">
        <v>447</v>
      </c>
      <c r="AB2">
        <v>750</v>
      </c>
      <c r="AC2">
        <v>542</v>
      </c>
      <c r="AD2">
        <v>404</v>
      </c>
      <c r="AE2">
        <v>602</v>
      </c>
      <c r="AF2">
        <v>446</v>
      </c>
      <c r="AG2">
        <v>605</v>
      </c>
      <c r="AH2">
        <v>640</v>
      </c>
      <c r="AI2" s="2">
        <v>0.46</v>
      </c>
      <c r="AJ2" s="2">
        <v>0.41</v>
      </c>
      <c r="AK2" s="2">
        <v>0.98</v>
      </c>
      <c r="AL2">
        <v>137</v>
      </c>
      <c r="AM2">
        <v>73</v>
      </c>
      <c r="AN2" s="2">
        <v>0.31</v>
      </c>
      <c r="AO2" s="2">
        <v>0.09</v>
      </c>
      <c r="AP2">
        <v>54</v>
      </c>
      <c r="AQ2">
        <v>95</v>
      </c>
      <c r="AR2">
        <v>69</v>
      </c>
      <c r="AS2">
        <v>83</v>
      </c>
      <c r="AT2">
        <v>51</v>
      </c>
      <c r="AU2">
        <v>10</v>
      </c>
      <c r="AV2">
        <v>13</v>
      </c>
      <c r="AW2" s="22">
        <v>26</v>
      </c>
      <c r="AX2">
        <v>91</v>
      </c>
      <c r="AY2">
        <v>119</v>
      </c>
      <c r="AZ2">
        <v>101</v>
      </c>
    </row>
    <row r="3" spans="1:52">
      <c r="A3">
        <v>2024</v>
      </c>
      <c r="B3" s="4">
        <v>2</v>
      </c>
      <c r="C3" s="4" t="s">
        <v>1</v>
      </c>
      <c r="D3" s="4" t="s">
        <v>43</v>
      </c>
      <c r="E3">
        <v>314</v>
      </c>
      <c r="F3" s="10">
        <v>0.33399999999999996</v>
      </c>
      <c r="G3">
        <v>291.2</v>
      </c>
      <c r="H3">
        <v>572</v>
      </c>
      <c r="I3">
        <v>864</v>
      </c>
      <c r="J3" s="2">
        <v>0.42</v>
      </c>
      <c r="K3" s="2">
        <v>0.21</v>
      </c>
      <c r="L3" s="2">
        <v>0.28999999999999998</v>
      </c>
      <c r="M3" s="2">
        <v>0.08</v>
      </c>
      <c r="N3" s="2">
        <v>0.59</v>
      </c>
      <c r="O3" s="2">
        <v>1.19</v>
      </c>
      <c r="P3" s="2">
        <v>1.07</v>
      </c>
      <c r="Q3" s="2">
        <v>0.54</v>
      </c>
      <c r="R3" s="2">
        <v>0.66</v>
      </c>
      <c r="S3">
        <v>811</v>
      </c>
      <c r="T3" s="2">
        <v>0.85</v>
      </c>
      <c r="U3" s="2">
        <v>0.76</v>
      </c>
      <c r="V3">
        <v>628</v>
      </c>
      <c r="W3">
        <v>258</v>
      </c>
      <c r="X3">
        <v>164</v>
      </c>
      <c r="Y3">
        <v>402</v>
      </c>
      <c r="Z3">
        <v>506</v>
      </c>
      <c r="AA3">
        <v>331</v>
      </c>
      <c r="AB3">
        <v>692</v>
      </c>
      <c r="AC3">
        <v>831</v>
      </c>
      <c r="AD3">
        <v>207</v>
      </c>
      <c r="AE3">
        <v>415</v>
      </c>
      <c r="AF3">
        <v>160</v>
      </c>
      <c r="AG3">
        <v>663</v>
      </c>
      <c r="AH3">
        <v>944</v>
      </c>
      <c r="AI3" s="2">
        <v>0.72</v>
      </c>
      <c r="AJ3" s="2">
        <v>0.89</v>
      </c>
      <c r="AK3" s="2">
        <v>0.91</v>
      </c>
      <c r="AL3">
        <v>115</v>
      </c>
      <c r="AM3">
        <v>102</v>
      </c>
      <c r="AN3" s="2">
        <v>0.34</v>
      </c>
      <c r="AO3" s="2">
        <v>0.2</v>
      </c>
      <c r="AP3">
        <v>36</v>
      </c>
      <c r="AQ3">
        <v>65</v>
      </c>
      <c r="AR3">
        <v>106</v>
      </c>
      <c r="AS3">
        <v>77</v>
      </c>
      <c r="AT3">
        <v>51</v>
      </c>
      <c r="AU3">
        <v>7</v>
      </c>
      <c r="AV3">
        <v>11</v>
      </c>
      <c r="AW3" s="22">
        <v>33</v>
      </c>
      <c r="AX3">
        <v>6</v>
      </c>
      <c r="AY3">
        <v>17</v>
      </c>
      <c r="AZ3">
        <v>111</v>
      </c>
    </row>
    <row r="4" spans="1:52">
      <c r="A4">
        <v>2024</v>
      </c>
      <c r="B4" s="4">
        <v>3</v>
      </c>
      <c r="C4" s="4" t="s">
        <v>2</v>
      </c>
      <c r="D4" s="4" t="s">
        <v>43</v>
      </c>
      <c r="E4">
        <v>452</v>
      </c>
      <c r="F4" s="10">
        <v>0.193</v>
      </c>
      <c r="G4">
        <v>144.5</v>
      </c>
      <c r="H4">
        <v>294.5</v>
      </c>
      <c r="I4">
        <v>610</v>
      </c>
      <c r="J4" s="2">
        <v>0.14000000000000001</v>
      </c>
      <c r="K4" s="2">
        <v>0.26</v>
      </c>
      <c r="L4" s="2">
        <v>0.24</v>
      </c>
      <c r="M4" s="2">
        <v>0.36</v>
      </c>
      <c r="N4" s="2">
        <v>0.55000000000000004</v>
      </c>
      <c r="O4" s="2">
        <v>0.87</v>
      </c>
      <c r="P4" s="2">
        <v>0.75</v>
      </c>
      <c r="Q4" s="2">
        <v>0.88</v>
      </c>
      <c r="R4" s="2">
        <v>0.42</v>
      </c>
      <c r="S4">
        <v>843</v>
      </c>
      <c r="T4" s="2">
        <v>0.99</v>
      </c>
      <c r="U4" s="2">
        <v>0.85</v>
      </c>
      <c r="V4">
        <v>239</v>
      </c>
      <c r="W4">
        <v>747</v>
      </c>
      <c r="X4">
        <v>280</v>
      </c>
      <c r="Y4">
        <v>581</v>
      </c>
      <c r="Z4">
        <v>696</v>
      </c>
      <c r="AA4">
        <v>441</v>
      </c>
      <c r="AB4">
        <v>207</v>
      </c>
      <c r="AC4">
        <v>211</v>
      </c>
      <c r="AD4">
        <v>661</v>
      </c>
      <c r="AE4">
        <v>503</v>
      </c>
      <c r="AF4">
        <v>154</v>
      </c>
      <c r="AG4">
        <v>659</v>
      </c>
      <c r="AH4">
        <v>734</v>
      </c>
      <c r="AI4" s="2">
        <v>0.34</v>
      </c>
      <c r="AJ4" s="2">
        <v>0.77</v>
      </c>
      <c r="AK4" s="2">
        <v>0.98</v>
      </c>
      <c r="AL4">
        <v>54</v>
      </c>
      <c r="AM4">
        <v>221</v>
      </c>
      <c r="AN4" s="2">
        <v>0.64</v>
      </c>
      <c r="AO4" s="2">
        <v>0.08</v>
      </c>
      <c r="AP4">
        <v>46</v>
      </c>
      <c r="AQ4">
        <v>85</v>
      </c>
      <c r="AR4">
        <v>145</v>
      </c>
      <c r="AS4">
        <v>86</v>
      </c>
      <c r="AT4">
        <v>46</v>
      </c>
      <c r="AU4">
        <v>15</v>
      </c>
      <c r="AV4">
        <v>9</v>
      </c>
      <c r="AW4" s="22">
        <v>61</v>
      </c>
      <c r="AX4">
        <v>46</v>
      </c>
      <c r="AY4">
        <v>95</v>
      </c>
      <c r="AZ4">
        <v>81</v>
      </c>
    </row>
    <row r="5" spans="1:52">
      <c r="A5">
        <v>2024</v>
      </c>
      <c r="B5" s="4">
        <v>4</v>
      </c>
      <c r="C5" s="4" t="s">
        <v>3</v>
      </c>
      <c r="D5" s="4" t="s">
        <v>43</v>
      </c>
      <c r="E5">
        <v>452</v>
      </c>
      <c r="F5" s="10">
        <v>0.152</v>
      </c>
      <c r="G5">
        <v>206.5</v>
      </c>
      <c r="H5">
        <v>467.59999999999997</v>
      </c>
      <c r="I5">
        <v>850.5</v>
      </c>
      <c r="J5" s="2">
        <v>0.3</v>
      </c>
      <c r="K5" s="2">
        <v>0.21</v>
      </c>
      <c r="L5" s="2">
        <v>0.28999999999999998</v>
      </c>
      <c r="M5" s="2">
        <v>0.2</v>
      </c>
      <c r="N5" s="2">
        <v>0.67</v>
      </c>
      <c r="O5" s="2">
        <v>0.85</v>
      </c>
      <c r="P5" s="2">
        <v>0.99</v>
      </c>
      <c r="Q5" s="2">
        <v>0.73</v>
      </c>
      <c r="R5" s="2">
        <v>0.3</v>
      </c>
      <c r="S5">
        <v>732</v>
      </c>
      <c r="T5" s="2">
        <v>0.5</v>
      </c>
      <c r="U5" s="2">
        <v>0.78</v>
      </c>
      <c r="V5">
        <v>773</v>
      </c>
      <c r="W5">
        <v>799</v>
      </c>
      <c r="X5">
        <v>436</v>
      </c>
      <c r="Y5">
        <v>654</v>
      </c>
      <c r="Z5">
        <v>420</v>
      </c>
      <c r="AA5">
        <v>703</v>
      </c>
      <c r="AB5">
        <v>133</v>
      </c>
      <c r="AC5">
        <v>384</v>
      </c>
      <c r="AD5">
        <v>865</v>
      </c>
      <c r="AE5">
        <v>624</v>
      </c>
      <c r="AF5">
        <v>408</v>
      </c>
      <c r="AG5">
        <v>423</v>
      </c>
      <c r="AH5">
        <v>728</v>
      </c>
      <c r="AI5" s="2">
        <v>0.8</v>
      </c>
      <c r="AJ5" s="2">
        <v>0.62</v>
      </c>
      <c r="AK5" s="2">
        <v>0.73</v>
      </c>
      <c r="AL5">
        <v>82</v>
      </c>
      <c r="AM5">
        <v>205</v>
      </c>
      <c r="AN5" s="2">
        <v>0.51</v>
      </c>
      <c r="AO5" s="2">
        <v>0.21</v>
      </c>
      <c r="AP5">
        <v>103</v>
      </c>
      <c r="AQ5">
        <v>59</v>
      </c>
      <c r="AR5">
        <v>216</v>
      </c>
      <c r="AS5">
        <v>72</v>
      </c>
      <c r="AT5">
        <v>91</v>
      </c>
      <c r="AU5">
        <v>10</v>
      </c>
      <c r="AV5">
        <v>10</v>
      </c>
      <c r="AW5" s="22">
        <v>28</v>
      </c>
      <c r="AX5">
        <v>19</v>
      </c>
      <c r="AY5">
        <v>105</v>
      </c>
      <c r="AZ5">
        <v>38</v>
      </c>
    </row>
    <row r="6" spans="1:52">
      <c r="A6">
        <v>2024</v>
      </c>
      <c r="B6" s="4">
        <v>5</v>
      </c>
      <c r="C6" s="4" t="s">
        <v>4</v>
      </c>
      <c r="D6" s="4" t="s">
        <v>43</v>
      </c>
      <c r="E6">
        <v>680</v>
      </c>
      <c r="F6" s="10">
        <v>0.26400000000000001</v>
      </c>
      <c r="G6">
        <v>242.2</v>
      </c>
      <c r="H6">
        <v>468.99999999999994</v>
      </c>
      <c r="I6">
        <v>700</v>
      </c>
      <c r="J6" s="2">
        <v>0.26</v>
      </c>
      <c r="K6" s="2">
        <v>0.13</v>
      </c>
      <c r="L6" s="2">
        <v>0.37</v>
      </c>
      <c r="M6" s="2">
        <v>0.24</v>
      </c>
      <c r="N6" s="2">
        <v>0.79</v>
      </c>
      <c r="O6" s="2">
        <v>0.96000000000000008</v>
      </c>
      <c r="P6" s="2">
        <v>0.85</v>
      </c>
      <c r="Q6" s="2">
        <v>0.6</v>
      </c>
      <c r="R6" s="2">
        <v>0.4</v>
      </c>
      <c r="S6">
        <v>471</v>
      </c>
      <c r="T6" s="2">
        <v>0.35</v>
      </c>
      <c r="U6" s="2">
        <v>0.82</v>
      </c>
      <c r="V6">
        <v>790</v>
      </c>
      <c r="W6">
        <v>846</v>
      </c>
      <c r="X6">
        <v>658</v>
      </c>
      <c r="Y6">
        <v>533</v>
      </c>
      <c r="Z6">
        <v>475</v>
      </c>
      <c r="AA6">
        <v>226</v>
      </c>
      <c r="AB6">
        <v>585</v>
      </c>
      <c r="AC6">
        <v>147</v>
      </c>
      <c r="AD6">
        <v>129</v>
      </c>
      <c r="AE6">
        <v>294</v>
      </c>
      <c r="AF6">
        <v>515</v>
      </c>
      <c r="AG6">
        <v>324</v>
      </c>
      <c r="AH6">
        <v>704</v>
      </c>
      <c r="AI6" s="2">
        <v>0.42</v>
      </c>
      <c r="AJ6" s="2">
        <v>0.59</v>
      </c>
      <c r="AK6" s="2">
        <v>0.63</v>
      </c>
      <c r="AL6">
        <v>98</v>
      </c>
      <c r="AM6">
        <v>225</v>
      </c>
      <c r="AN6" s="2">
        <v>0.96</v>
      </c>
      <c r="AO6" s="2">
        <v>0.26</v>
      </c>
      <c r="AP6">
        <v>80</v>
      </c>
      <c r="AQ6">
        <v>28</v>
      </c>
      <c r="AR6">
        <v>128</v>
      </c>
      <c r="AS6">
        <v>64</v>
      </c>
      <c r="AT6">
        <v>62</v>
      </c>
      <c r="AU6">
        <v>9</v>
      </c>
      <c r="AV6">
        <v>11</v>
      </c>
      <c r="AW6" s="22">
        <v>75</v>
      </c>
      <c r="AX6">
        <v>64</v>
      </c>
      <c r="AY6">
        <v>15</v>
      </c>
      <c r="AZ6">
        <v>22</v>
      </c>
    </row>
    <row r="7" spans="1:52">
      <c r="A7">
        <v>2024</v>
      </c>
      <c r="B7" s="4">
        <v>6</v>
      </c>
      <c r="C7" s="4" t="s">
        <v>5</v>
      </c>
      <c r="D7" s="4" t="s">
        <v>43</v>
      </c>
      <c r="E7">
        <v>652</v>
      </c>
      <c r="F7" s="10">
        <v>0.25600000000000001</v>
      </c>
      <c r="G7">
        <v>222</v>
      </c>
      <c r="H7">
        <v>352.8</v>
      </c>
      <c r="I7">
        <v>552</v>
      </c>
      <c r="J7" s="2">
        <v>0.24</v>
      </c>
      <c r="K7" s="2">
        <v>0.1</v>
      </c>
      <c r="L7" s="2">
        <v>0.4</v>
      </c>
      <c r="M7" s="2">
        <v>0.26</v>
      </c>
      <c r="N7" s="2">
        <v>0.67</v>
      </c>
      <c r="O7" s="2">
        <v>1.1499999999999999</v>
      </c>
      <c r="P7" s="2">
        <v>1.01</v>
      </c>
      <c r="Q7" s="2">
        <v>0.8</v>
      </c>
      <c r="R7" s="2">
        <v>0.53</v>
      </c>
      <c r="S7">
        <v>348</v>
      </c>
      <c r="T7" s="2">
        <v>0.25</v>
      </c>
      <c r="U7" s="2">
        <v>0.76</v>
      </c>
      <c r="V7">
        <v>364</v>
      </c>
      <c r="W7">
        <v>252</v>
      </c>
      <c r="X7">
        <v>602</v>
      </c>
      <c r="Y7">
        <v>277</v>
      </c>
      <c r="Z7">
        <v>214</v>
      </c>
      <c r="AA7">
        <v>102</v>
      </c>
      <c r="AB7">
        <v>218</v>
      </c>
      <c r="AC7">
        <v>426</v>
      </c>
      <c r="AD7">
        <v>191</v>
      </c>
      <c r="AE7">
        <v>223</v>
      </c>
      <c r="AF7">
        <v>494</v>
      </c>
      <c r="AG7">
        <v>342</v>
      </c>
      <c r="AH7">
        <v>662</v>
      </c>
      <c r="AI7" s="2">
        <v>0.68</v>
      </c>
      <c r="AJ7" s="2">
        <v>0.48</v>
      </c>
      <c r="AK7" s="2">
        <v>0.83</v>
      </c>
      <c r="AL7">
        <v>105</v>
      </c>
      <c r="AM7">
        <v>150</v>
      </c>
      <c r="AN7" s="2">
        <v>0.7</v>
      </c>
      <c r="AO7" s="2">
        <v>0.33</v>
      </c>
      <c r="AP7">
        <v>22</v>
      </c>
      <c r="AQ7">
        <v>18</v>
      </c>
      <c r="AR7">
        <v>184</v>
      </c>
      <c r="AS7">
        <v>72</v>
      </c>
      <c r="AT7">
        <v>85</v>
      </c>
      <c r="AU7">
        <v>10</v>
      </c>
      <c r="AV7">
        <v>13</v>
      </c>
      <c r="AW7" s="22">
        <v>28</v>
      </c>
      <c r="AX7">
        <v>79</v>
      </c>
      <c r="AY7">
        <v>87</v>
      </c>
      <c r="AZ7">
        <v>10</v>
      </c>
    </row>
    <row r="8" spans="1:52">
      <c r="A8">
        <v>2024</v>
      </c>
      <c r="B8" s="4">
        <v>7</v>
      </c>
      <c r="C8" s="4" t="s">
        <v>6</v>
      </c>
      <c r="D8" s="4" t="s">
        <v>43</v>
      </c>
      <c r="E8">
        <v>464</v>
      </c>
      <c r="F8" s="10">
        <v>0.27500000000000002</v>
      </c>
      <c r="G8">
        <v>226.79999999999998</v>
      </c>
      <c r="H8">
        <v>373.79999999999995</v>
      </c>
      <c r="I8">
        <v>626.5</v>
      </c>
      <c r="J8" s="2">
        <v>0.43</v>
      </c>
      <c r="K8" s="2">
        <v>0.05</v>
      </c>
      <c r="L8" s="2">
        <v>0.45</v>
      </c>
      <c r="M8" s="2">
        <v>7.0000000000000007E-2</v>
      </c>
      <c r="N8" s="2">
        <v>0.62</v>
      </c>
      <c r="O8" s="2">
        <v>0.84</v>
      </c>
      <c r="P8" s="2">
        <v>0.71</v>
      </c>
      <c r="Q8" s="2">
        <v>0.81</v>
      </c>
      <c r="R8" s="2">
        <v>0.5</v>
      </c>
      <c r="S8">
        <v>522</v>
      </c>
      <c r="T8" s="2">
        <v>0.57999999999999996</v>
      </c>
      <c r="U8" s="2">
        <v>0.82</v>
      </c>
      <c r="V8">
        <v>247</v>
      </c>
      <c r="W8">
        <v>526</v>
      </c>
      <c r="X8">
        <v>876</v>
      </c>
      <c r="Y8">
        <v>478</v>
      </c>
      <c r="Z8">
        <v>322</v>
      </c>
      <c r="AA8">
        <v>190</v>
      </c>
      <c r="AB8">
        <v>544</v>
      </c>
      <c r="AC8">
        <v>341</v>
      </c>
      <c r="AD8">
        <v>743</v>
      </c>
      <c r="AE8">
        <v>869</v>
      </c>
      <c r="AF8">
        <v>441</v>
      </c>
      <c r="AG8">
        <v>506</v>
      </c>
      <c r="AH8">
        <v>900</v>
      </c>
      <c r="AI8" s="2">
        <v>0.55000000000000004</v>
      </c>
      <c r="AJ8" s="2">
        <v>0.71</v>
      </c>
      <c r="AK8" s="2">
        <v>0.91</v>
      </c>
      <c r="AL8">
        <v>210</v>
      </c>
      <c r="AM8">
        <v>53</v>
      </c>
      <c r="AN8" s="2">
        <v>0.95</v>
      </c>
      <c r="AO8" s="2">
        <v>0.28000000000000003</v>
      </c>
      <c r="AP8">
        <v>38</v>
      </c>
      <c r="AQ8">
        <v>77</v>
      </c>
      <c r="AR8">
        <v>177</v>
      </c>
      <c r="AS8">
        <v>67</v>
      </c>
      <c r="AT8">
        <v>21</v>
      </c>
      <c r="AU8">
        <v>9</v>
      </c>
      <c r="AV8">
        <v>4</v>
      </c>
      <c r="AW8" s="22">
        <v>55</v>
      </c>
      <c r="AX8">
        <v>87</v>
      </c>
      <c r="AY8">
        <v>65</v>
      </c>
      <c r="AZ8">
        <v>123</v>
      </c>
    </row>
    <row r="9" spans="1:52">
      <c r="A9">
        <v>2024</v>
      </c>
      <c r="B9" s="4">
        <v>8</v>
      </c>
      <c r="C9" s="4" t="s">
        <v>7</v>
      </c>
      <c r="D9" s="4" t="s">
        <v>43</v>
      </c>
      <c r="E9">
        <v>512</v>
      </c>
      <c r="F9" s="10">
        <v>0.22</v>
      </c>
      <c r="G9">
        <v>135.6</v>
      </c>
      <c r="H9">
        <v>345.59999999999997</v>
      </c>
      <c r="I9">
        <v>573.6</v>
      </c>
      <c r="J9" s="2">
        <v>0.28000000000000003</v>
      </c>
      <c r="K9" s="2">
        <v>0.34</v>
      </c>
      <c r="L9" s="2">
        <v>0.16</v>
      </c>
      <c r="M9" s="2">
        <v>0.22</v>
      </c>
      <c r="N9" s="2">
        <v>0.61</v>
      </c>
      <c r="O9" s="2">
        <v>1.0899999999999999</v>
      </c>
      <c r="P9" s="2">
        <v>1.02</v>
      </c>
      <c r="Q9" s="2">
        <v>0.65</v>
      </c>
      <c r="R9" s="2">
        <v>0.51</v>
      </c>
      <c r="S9">
        <v>1012</v>
      </c>
      <c r="T9" s="2">
        <v>0.87</v>
      </c>
      <c r="U9" s="2">
        <v>0.8</v>
      </c>
      <c r="V9">
        <v>155</v>
      </c>
      <c r="W9">
        <v>518</v>
      </c>
      <c r="X9">
        <v>387</v>
      </c>
      <c r="Y9">
        <v>714</v>
      </c>
      <c r="Z9">
        <v>372</v>
      </c>
      <c r="AA9">
        <v>230</v>
      </c>
      <c r="AB9">
        <v>496</v>
      </c>
      <c r="AC9">
        <v>137</v>
      </c>
      <c r="AD9">
        <v>102</v>
      </c>
      <c r="AE9">
        <v>320</v>
      </c>
      <c r="AF9">
        <v>203</v>
      </c>
      <c r="AG9">
        <v>716</v>
      </c>
      <c r="AH9">
        <v>929</v>
      </c>
      <c r="AI9" s="2">
        <v>0.72</v>
      </c>
      <c r="AJ9" s="2">
        <v>0.54</v>
      </c>
      <c r="AK9" s="2">
        <v>0.96</v>
      </c>
      <c r="AL9">
        <v>79</v>
      </c>
      <c r="AM9">
        <v>108</v>
      </c>
      <c r="AN9" s="2">
        <v>0.46</v>
      </c>
      <c r="AO9" s="2">
        <v>0.24</v>
      </c>
      <c r="AP9" t="s">
        <v>140</v>
      </c>
      <c r="AQ9">
        <v>47</v>
      </c>
      <c r="AR9">
        <v>302</v>
      </c>
      <c r="AS9">
        <v>75</v>
      </c>
      <c r="AT9">
        <v>45</v>
      </c>
      <c r="AU9">
        <v>11</v>
      </c>
      <c r="AV9">
        <v>6</v>
      </c>
      <c r="AW9" s="22">
        <v>9</v>
      </c>
      <c r="AX9">
        <v>102</v>
      </c>
      <c r="AY9">
        <v>136</v>
      </c>
      <c r="AZ9">
        <v>111</v>
      </c>
    </row>
    <row r="10" spans="1:52">
      <c r="A10">
        <v>2024</v>
      </c>
      <c r="B10" s="4">
        <v>9</v>
      </c>
      <c r="C10" s="4" t="s">
        <v>8</v>
      </c>
      <c r="D10" s="4" t="s">
        <v>43</v>
      </c>
      <c r="E10">
        <v>380</v>
      </c>
      <c r="F10" s="10">
        <v>0.26900000000000002</v>
      </c>
      <c r="G10">
        <v>87</v>
      </c>
      <c r="H10">
        <v>342</v>
      </c>
      <c r="I10">
        <v>536</v>
      </c>
      <c r="J10" s="2">
        <v>0.44</v>
      </c>
      <c r="K10" s="2">
        <v>0.09</v>
      </c>
      <c r="L10" s="2">
        <v>0.41</v>
      </c>
      <c r="M10" s="2">
        <v>0.06</v>
      </c>
      <c r="N10" s="2">
        <v>0.51</v>
      </c>
      <c r="O10" s="2">
        <v>0.96000000000000008</v>
      </c>
      <c r="P10" s="2">
        <v>0.87</v>
      </c>
      <c r="Q10" s="2">
        <v>0.59</v>
      </c>
      <c r="R10" s="2">
        <v>0.52</v>
      </c>
      <c r="S10">
        <v>1230</v>
      </c>
      <c r="T10" s="2">
        <v>0.67</v>
      </c>
      <c r="U10" s="2">
        <v>0.83</v>
      </c>
      <c r="V10">
        <v>204</v>
      </c>
      <c r="W10">
        <v>434</v>
      </c>
      <c r="X10">
        <v>534</v>
      </c>
      <c r="Y10">
        <v>513</v>
      </c>
      <c r="Z10">
        <v>392</v>
      </c>
      <c r="AA10">
        <v>360</v>
      </c>
      <c r="AB10">
        <v>496</v>
      </c>
      <c r="AC10">
        <v>178</v>
      </c>
      <c r="AD10">
        <v>148</v>
      </c>
      <c r="AE10">
        <v>321</v>
      </c>
      <c r="AF10">
        <v>216</v>
      </c>
      <c r="AG10">
        <v>722</v>
      </c>
      <c r="AH10">
        <v>829</v>
      </c>
      <c r="AI10" s="2">
        <v>0.56000000000000005</v>
      </c>
      <c r="AJ10" s="2">
        <v>0.53</v>
      </c>
      <c r="AK10" s="2">
        <v>0.7</v>
      </c>
      <c r="AL10">
        <v>42</v>
      </c>
      <c r="AM10">
        <v>116</v>
      </c>
      <c r="AN10" s="2">
        <v>0.82</v>
      </c>
      <c r="AO10" s="2">
        <v>0.2</v>
      </c>
      <c r="AP10">
        <v>60</v>
      </c>
      <c r="AQ10">
        <v>79</v>
      </c>
      <c r="AR10">
        <v>313</v>
      </c>
      <c r="AS10">
        <v>67</v>
      </c>
      <c r="AT10">
        <v>15</v>
      </c>
      <c r="AU10">
        <v>9</v>
      </c>
      <c r="AV10">
        <v>7</v>
      </c>
      <c r="AW10" s="22">
        <v>56</v>
      </c>
      <c r="AX10">
        <v>147</v>
      </c>
      <c r="AY10">
        <v>47</v>
      </c>
      <c r="AZ10">
        <v>95</v>
      </c>
    </row>
    <row r="11" spans="1:52">
      <c r="A11">
        <v>2024</v>
      </c>
      <c r="B11" s="4">
        <v>10</v>
      </c>
      <c r="C11" s="4" t="s">
        <v>9</v>
      </c>
      <c r="D11" s="4" t="s">
        <v>43</v>
      </c>
      <c r="E11">
        <v>767</v>
      </c>
      <c r="F11" s="10">
        <v>0.32800000000000001</v>
      </c>
      <c r="G11">
        <v>133</v>
      </c>
      <c r="H11">
        <v>515.19999999999993</v>
      </c>
      <c r="I11">
        <v>758.8</v>
      </c>
      <c r="J11" s="2">
        <v>0.28000000000000003</v>
      </c>
      <c r="K11" s="2">
        <v>0.15</v>
      </c>
      <c r="L11" s="2">
        <v>0.35</v>
      </c>
      <c r="M11" s="2">
        <v>0.22</v>
      </c>
      <c r="N11" s="2">
        <v>0.5</v>
      </c>
      <c r="O11" s="2">
        <v>0.88</v>
      </c>
      <c r="P11" s="2">
        <v>0.71</v>
      </c>
      <c r="Q11" s="2">
        <v>0.93</v>
      </c>
      <c r="R11" s="2">
        <v>0.7</v>
      </c>
      <c r="S11">
        <v>1056</v>
      </c>
      <c r="T11" s="2">
        <v>0.43</v>
      </c>
      <c r="U11" s="2">
        <v>0.83</v>
      </c>
      <c r="V11">
        <v>871</v>
      </c>
      <c r="W11">
        <v>112</v>
      </c>
      <c r="X11">
        <v>786</v>
      </c>
      <c r="Y11">
        <v>365</v>
      </c>
      <c r="Z11">
        <v>157</v>
      </c>
      <c r="AA11">
        <v>562</v>
      </c>
      <c r="AB11">
        <v>819</v>
      </c>
      <c r="AC11">
        <v>388</v>
      </c>
      <c r="AD11">
        <v>548</v>
      </c>
      <c r="AE11">
        <v>215</v>
      </c>
      <c r="AF11">
        <v>400</v>
      </c>
      <c r="AG11">
        <v>500</v>
      </c>
      <c r="AH11">
        <v>736</v>
      </c>
      <c r="AI11" s="2">
        <v>0.6</v>
      </c>
      <c r="AJ11" s="2">
        <v>0.47</v>
      </c>
      <c r="AK11" s="2">
        <v>0.74</v>
      </c>
      <c r="AL11">
        <v>74</v>
      </c>
      <c r="AM11">
        <v>150</v>
      </c>
      <c r="AN11" s="2">
        <v>0.67</v>
      </c>
      <c r="AO11" s="2">
        <v>7.0000000000000007E-2</v>
      </c>
      <c r="AP11">
        <v>43</v>
      </c>
      <c r="AQ11">
        <v>121</v>
      </c>
      <c r="AR11">
        <v>140</v>
      </c>
      <c r="AS11">
        <v>53</v>
      </c>
      <c r="AT11">
        <v>61</v>
      </c>
      <c r="AU11">
        <v>5</v>
      </c>
      <c r="AV11">
        <v>8</v>
      </c>
      <c r="AW11" s="22">
        <v>23</v>
      </c>
      <c r="AX11">
        <v>120</v>
      </c>
      <c r="AY11">
        <v>56</v>
      </c>
      <c r="AZ11">
        <v>52</v>
      </c>
    </row>
    <row r="12" spans="1:52">
      <c r="A12">
        <v>2024</v>
      </c>
      <c r="B12" s="4">
        <v>11</v>
      </c>
      <c r="C12" s="4" t="s">
        <v>10</v>
      </c>
      <c r="D12" s="4" t="s">
        <v>43</v>
      </c>
      <c r="E12">
        <v>638</v>
      </c>
      <c r="F12" s="10">
        <v>0.36399999999999999</v>
      </c>
      <c r="G12">
        <v>176.39999999999998</v>
      </c>
      <c r="H12">
        <v>496.99999999999994</v>
      </c>
      <c r="I12">
        <v>697.9</v>
      </c>
      <c r="J12" s="2">
        <v>0.18</v>
      </c>
      <c r="K12" s="2">
        <v>0.17</v>
      </c>
      <c r="L12" s="2">
        <v>0.33</v>
      </c>
      <c r="M12" s="2">
        <v>0.32</v>
      </c>
      <c r="N12" s="2">
        <v>0.53</v>
      </c>
      <c r="O12" s="2">
        <v>1.0999999999999999</v>
      </c>
      <c r="P12" s="2">
        <v>0.98</v>
      </c>
      <c r="Q12" s="2">
        <v>0.54</v>
      </c>
      <c r="R12" s="2">
        <v>0.63</v>
      </c>
      <c r="S12">
        <v>820</v>
      </c>
      <c r="T12" s="2">
        <v>0.16</v>
      </c>
      <c r="U12" s="2">
        <v>0.84</v>
      </c>
      <c r="V12">
        <v>128</v>
      </c>
      <c r="W12">
        <v>483</v>
      </c>
      <c r="X12">
        <v>887</v>
      </c>
      <c r="Y12">
        <v>440</v>
      </c>
      <c r="Z12">
        <v>509</v>
      </c>
      <c r="AA12">
        <v>651</v>
      </c>
      <c r="AB12">
        <v>348</v>
      </c>
      <c r="AC12">
        <v>100</v>
      </c>
      <c r="AD12">
        <v>421</v>
      </c>
      <c r="AE12">
        <v>838</v>
      </c>
      <c r="AF12">
        <v>395</v>
      </c>
      <c r="AG12">
        <v>508</v>
      </c>
      <c r="AH12">
        <v>619</v>
      </c>
      <c r="AI12" s="2">
        <v>0.41</v>
      </c>
      <c r="AJ12" s="2">
        <v>0.79</v>
      </c>
      <c r="AK12" s="2">
        <v>0.93</v>
      </c>
      <c r="AL12">
        <v>68</v>
      </c>
      <c r="AM12">
        <v>149</v>
      </c>
      <c r="AN12" s="2">
        <v>0.37</v>
      </c>
      <c r="AO12" s="2">
        <v>0.22</v>
      </c>
      <c r="AP12">
        <v>41</v>
      </c>
      <c r="AQ12">
        <v>83</v>
      </c>
      <c r="AR12">
        <v>209</v>
      </c>
      <c r="AS12">
        <v>62</v>
      </c>
      <c r="AT12">
        <v>55</v>
      </c>
      <c r="AU12">
        <v>13</v>
      </c>
      <c r="AV12">
        <v>6</v>
      </c>
      <c r="AW12" s="22">
        <v>51</v>
      </c>
      <c r="AX12">
        <v>160</v>
      </c>
      <c r="AY12">
        <v>134</v>
      </c>
      <c r="AZ12">
        <v>22</v>
      </c>
    </row>
    <row r="13" spans="1:52">
      <c r="A13">
        <v>2024</v>
      </c>
      <c r="B13" s="4">
        <v>12</v>
      </c>
      <c r="C13" s="4" t="s">
        <v>11</v>
      </c>
      <c r="D13" s="4" t="s">
        <v>43</v>
      </c>
      <c r="E13">
        <v>548</v>
      </c>
      <c r="F13" s="10">
        <v>0.35699999999999998</v>
      </c>
      <c r="G13">
        <v>183.5</v>
      </c>
      <c r="H13">
        <v>314</v>
      </c>
      <c r="I13">
        <v>410.5</v>
      </c>
      <c r="J13" s="2">
        <v>0.42</v>
      </c>
      <c r="K13" s="2">
        <v>0.16</v>
      </c>
      <c r="L13" s="2">
        <v>0.34</v>
      </c>
      <c r="M13" s="2">
        <v>0.08</v>
      </c>
      <c r="N13" s="2">
        <v>0.8</v>
      </c>
      <c r="O13" s="2">
        <v>1.1599999999999999</v>
      </c>
      <c r="P13" s="2">
        <v>0.9</v>
      </c>
      <c r="Q13" s="2">
        <v>0.54</v>
      </c>
      <c r="R13" s="2">
        <v>0.43</v>
      </c>
      <c r="S13">
        <v>907</v>
      </c>
      <c r="T13" s="2">
        <v>0.91</v>
      </c>
      <c r="U13" s="2">
        <v>0.79</v>
      </c>
      <c r="V13">
        <v>325</v>
      </c>
      <c r="W13">
        <v>309</v>
      </c>
      <c r="X13">
        <v>618</v>
      </c>
      <c r="Y13">
        <v>361</v>
      </c>
      <c r="Z13">
        <v>392</v>
      </c>
      <c r="AA13">
        <v>896</v>
      </c>
      <c r="AB13">
        <v>859</v>
      </c>
      <c r="AC13">
        <v>812</v>
      </c>
      <c r="AD13">
        <v>809</v>
      </c>
      <c r="AE13">
        <v>838</v>
      </c>
      <c r="AF13">
        <v>347</v>
      </c>
      <c r="AG13">
        <v>543</v>
      </c>
      <c r="AH13">
        <v>656</v>
      </c>
      <c r="AI13" s="2">
        <v>0.51</v>
      </c>
      <c r="AJ13" s="2">
        <v>0.87</v>
      </c>
      <c r="AK13" s="2">
        <v>0.55000000000000004</v>
      </c>
      <c r="AL13">
        <v>68</v>
      </c>
      <c r="AM13">
        <v>80</v>
      </c>
      <c r="AN13" s="2">
        <v>0.27</v>
      </c>
      <c r="AO13" s="2">
        <v>7.0000000000000007E-2</v>
      </c>
      <c r="AP13">
        <v>30</v>
      </c>
      <c r="AQ13">
        <v>147</v>
      </c>
      <c r="AR13">
        <v>81</v>
      </c>
      <c r="AS13">
        <v>56</v>
      </c>
      <c r="AT13">
        <v>56</v>
      </c>
      <c r="AU13">
        <v>9</v>
      </c>
      <c r="AV13">
        <v>4</v>
      </c>
      <c r="AW13" s="22">
        <v>58</v>
      </c>
      <c r="AX13">
        <v>75</v>
      </c>
      <c r="AY13">
        <v>32</v>
      </c>
      <c r="AZ13">
        <v>32</v>
      </c>
    </row>
    <row r="14" spans="1:52">
      <c r="A14">
        <v>2025</v>
      </c>
      <c r="B14" s="4">
        <v>1</v>
      </c>
      <c r="C14" s="4" t="s">
        <v>0</v>
      </c>
      <c r="D14" s="4" t="s">
        <v>43</v>
      </c>
      <c r="E14">
        <v>381</v>
      </c>
      <c r="F14" s="10">
        <v>0.31</v>
      </c>
      <c r="G14">
        <v>286.40000000000003</v>
      </c>
      <c r="H14">
        <v>360.8</v>
      </c>
      <c r="I14">
        <v>877.6</v>
      </c>
      <c r="J14" s="2">
        <v>0.2</v>
      </c>
      <c r="K14" s="2">
        <v>0.26</v>
      </c>
      <c r="L14" s="2">
        <v>0.24</v>
      </c>
      <c r="M14" s="2">
        <v>0.3</v>
      </c>
      <c r="N14" s="2">
        <v>0.75</v>
      </c>
      <c r="O14" s="2">
        <v>0.78</v>
      </c>
      <c r="P14" s="2">
        <v>0.76</v>
      </c>
      <c r="Q14" s="2">
        <v>0.68</v>
      </c>
      <c r="R14" s="2">
        <v>0.49</v>
      </c>
      <c r="S14">
        <v>721</v>
      </c>
      <c r="T14" s="2">
        <v>0.17</v>
      </c>
      <c r="U14" s="2">
        <v>0.7</v>
      </c>
      <c r="V14">
        <v>185</v>
      </c>
      <c r="W14">
        <v>565</v>
      </c>
      <c r="X14">
        <v>514</v>
      </c>
      <c r="Y14">
        <v>174</v>
      </c>
      <c r="Z14">
        <v>140</v>
      </c>
      <c r="AA14">
        <v>811</v>
      </c>
      <c r="AB14">
        <v>454</v>
      </c>
      <c r="AC14">
        <v>317</v>
      </c>
      <c r="AD14">
        <v>585</v>
      </c>
      <c r="AE14">
        <v>148</v>
      </c>
      <c r="AF14">
        <v>553</v>
      </c>
      <c r="AG14">
        <v>103</v>
      </c>
      <c r="AH14">
        <v>728</v>
      </c>
      <c r="AI14" s="2">
        <v>0.63</v>
      </c>
      <c r="AJ14" s="2">
        <v>0.56000000000000005</v>
      </c>
      <c r="AK14" s="2">
        <v>0.97</v>
      </c>
      <c r="AL14">
        <v>44</v>
      </c>
      <c r="AM14">
        <v>118</v>
      </c>
      <c r="AN14" s="2">
        <v>0.85</v>
      </c>
      <c r="AO14" s="2">
        <v>0.11</v>
      </c>
      <c r="AP14">
        <v>312</v>
      </c>
      <c r="AQ14">
        <v>235</v>
      </c>
      <c r="AR14">
        <v>133</v>
      </c>
      <c r="AS14">
        <v>72</v>
      </c>
      <c r="AT14">
        <v>63</v>
      </c>
      <c r="AU14">
        <v>113</v>
      </c>
      <c r="AV14">
        <v>27</v>
      </c>
      <c r="AW14">
        <v>53</v>
      </c>
      <c r="AX14">
        <v>24</v>
      </c>
      <c r="AY14">
        <v>59</v>
      </c>
      <c r="AZ14">
        <v>43</v>
      </c>
    </row>
    <row r="15" spans="1:52">
      <c r="A15">
        <v>2025</v>
      </c>
      <c r="B15" s="4">
        <v>2</v>
      </c>
      <c r="C15" s="4" t="s">
        <v>1</v>
      </c>
      <c r="D15" s="4" t="s">
        <v>43</v>
      </c>
      <c r="E15">
        <v>469</v>
      </c>
      <c r="F15" s="10">
        <v>0.17299999999999999</v>
      </c>
      <c r="G15">
        <v>264</v>
      </c>
      <c r="H15">
        <v>376.2</v>
      </c>
      <c r="I15">
        <v>589.19999999999993</v>
      </c>
      <c r="J15" s="2">
        <v>0.35</v>
      </c>
      <c r="K15" s="2">
        <v>0.21</v>
      </c>
      <c r="L15" s="2">
        <v>0.28999999999999998</v>
      </c>
      <c r="M15" s="2">
        <v>0.15</v>
      </c>
      <c r="N15" s="2">
        <v>0.57999999999999996</v>
      </c>
      <c r="O15" s="2">
        <v>0.85</v>
      </c>
      <c r="P15" s="2">
        <v>0.81</v>
      </c>
      <c r="Q15" s="2">
        <v>0.7</v>
      </c>
      <c r="R15" s="2">
        <v>0.62</v>
      </c>
      <c r="S15">
        <v>1079</v>
      </c>
      <c r="T15" s="2">
        <v>0.21</v>
      </c>
      <c r="U15" s="2">
        <v>0.85</v>
      </c>
      <c r="V15">
        <v>164</v>
      </c>
      <c r="W15">
        <v>513</v>
      </c>
      <c r="X15">
        <v>836</v>
      </c>
      <c r="Y15">
        <v>305</v>
      </c>
      <c r="Z15">
        <v>707</v>
      </c>
      <c r="AA15">
        <v>762</v>
      </c>
      <c r="AB15">
        <v>112</v>
      </c>
      <c r="AC15">
        <v>295</v>
      </c>
      <c r="AD15">
        <v>431</v>
      </c>
      <c r="AE15">
        <v>650</v>
      </c>
      <c r="AF15">
        <v>416</v>
      </c>
      <c r="AG15">
        <v>628</v>
      </c>
      <c r="AH15">
        <v>778</v>
      </c>
      <c r="AI15" s="2">
        <v>0.68</v>
      </c>
      <c r="AJ15" s="2">
        <v>0.8</v>
      </c>
      <c r="AK15" s="2">
        <v>0.88</v>
      </c>
      <c r="AL15">
        <v>121</v>
      </c>
      <c r="AM15">
        <v>29</v>
      </c>
      <c r="AN15" s="2">
        <v>0.48</v>
      </c>
      <c r="AO15" s="2">
        <v>7.0000000000000007E-2</v>
      </c>
      <c r="AP15">
        <v>299</v>
      </c>
      <c r="AQ15">
        <v>323</v>
      </c>
      <c r="AR15">
        <v>125</v>
      </c>
      <c r="AS15">
        <v>74</v>
      </c>
      <c r="AT15">
        <v>63</v>
      </c>
      <c r="AU15">
        <v>98</v>
      </c>
      <c r="AV15">
        <v>27</v>
      </c>
      <c r="AW15">
        <v>88</v>
      </c>
      <c r="AX15">
        <v>41</v>
      </c>
      <c r="AY15">
        <v>38</v>
      </c>
      <c r="AZ15">
        <v>57</v>
      </c>
    </row>
    <row r="16" spans="1:52">
      <c r="A16">
        <v>2025</v>
      </c>
      <c r="B16" s="4">
        <v>3</v>
      </c>
      <c r="C16" s="4" t="s">
        <v>2</v>
      </c>
      <c r="D16" s="4" t="s">
        <v>43</v>
      </c>
      <c r="E16">
        <v>432</v>
      </c>
      <c r="F16" s="10">
        <v>0.52200000000000002</v>
      </c>
      <c r="G16">
        <v>279.59999999999997</v>
      </c>
      <c r="H16">
        <v>428.4</v>
      </c>
      <c r="I16">
        <v>552</v>
      </c>
      <c r="J16" s="2">
        <v>0.31</v>
      </c>
      <c r="K16" s="2">
        <v>0.28999999999999998</v>
      </c>
      <c r="L16" s="2">
        <v>0.21</v>
      </c>
      <c r="M16" s="2">
        <v>0.19</v>
      </c>
      <c r="N16" s="2">
        <v>0.52</v>
      </c>
      <c r="O16" s="2">
        <v>0.78</v>
      </c>
      <c r="P16" s="2">
        <v>0.83</v>
      </c>
      <c r="Q16" s="2">
        <v>0.5</v>
      </c>
      <c r="R16" s="2">
        <v>0.55000000000000004</v>
      </c>
      <c r="S16">
        <v>797</v>
      </c>
      <c r="T16" s="2">
        <v>0.16</v>
      </c>
      <c r="U16" s="2">
        <v>0.8</v>
      </c>
      <c r="V16">
        <v>206</v>
      </c>
      <c r="W16">
        <v>816</v>
      </c>
      <c r="X16">
        <v>720</v>
      </c>
      <c r="Y16">
        <v>256</v>
      </c>
      <c r="Z16">
        <v>148</v>
      </c>
      <c r="AA16">
        <v>197</v>
      </c>
      <c r="AB16">
        <v>775</v>
      </c>
      <c r="AC16">
        <v>534</v>
      </c>
      <c r="AD16">
        <v>574</v>
      </c>
      <c r="AE16">
        <v>889</v>
      </c>
      <c r="AF16">
        <v>236</v>
      </c>
      <c r="AG16">
        <v>413</v>
      </c>
      <c r="AH16">
        <v>1035</v>
      </c>
      <c r="AI16" s="2">
        <v>0.44</v>
      </c>
      <c r="AJ16" s="2">
        <v>0.82</v>
      </c>
      <c r="AK16" s="2">
        <v>0.88</v>
      </c>
      <c r="AL16">
        <v>91</v>
      </c>
      <c r="AM16">
        <v>58</v>
      </c>
      <c r="AN16" s="2">
        <v>0.79</v>
      </c>
      <c r="AO16" s="2">
        <v>0.32</v>
      </c>
      <c r="AP16">
        <v>414</v>
      </c>
      <c r="AQ16">
        <v>450</v>
      </c>
      <c r="AR16">
        <v>162</v>
      </c>
      <c r="AS16">
        <v>48</v>
      </c>
      <c r="AT16">
        <v>83</v>
      </c>
      <c r="AU16">
        <v>99</v>
      </c>
      <c r="AV16">
        <v>15</v>
      </c>
      <c r="AW16">
        <v>66</v>
      </c>
      <c r="AX16">
        <v>26</v>
      </c>
      <c r="AY16">
        <v>49</v>
      </c>
      <c r="AZ16">
        <v>45</v>
      </c>
    </row>
    <row r="17" spans="1:52">
      <c r="A17">
        <v>2025</v>
      </c>
      <c r="B17" s="4">
        <v>4</v>
      </c>
      <c r="C17" s="4" t="s">
        <v>3</v>
      </c>
      <c r="D17" s="4" t="s">
        <v>43</v>
      </c>
      <c r="E17">
        <v>555</v>
      </c>
      <c r="F17" s="10">
        <v>0.47</v>
      </c>
      <c r="G17">
        <v>248.39999999999998</v>
      </c>
      <c r="H17">
        <v>421.2</v>
      </c>
      <c r="I17">
        <v>542.4</v>
      </c>
      <c r="J17" s="2">
        <v>0.09</v>
      </c>
      <c r="K17" s="2">
        <v>0.2</v>
      </c>
      <c r="L17" s="2">
        <v>0.3</v>
      </c>
      <c r="M17" s="2">
        <v>0.41</v>
      </c>
      <c r="N17" s="2">
        <v>0.52</v>
      </c>
      <c r="O17" s="2">
        <v>0.67</v>
      </c>
      <c r="P17" s="2">
        <v>0.92</v>
      </c>
      <c r="Q17" s="2">
        <v>0.94</v>
      </c>
      <c r="R17" s="2">
        <v>0.65</v>
      </c>
      <c r="S17">
        <v>527</v>
      </c>
      <c r="T17" s="2">
        <v>0.46</v>
      </c>
      <c r="U17" s="2">
        <v>0.83</v>
      </c>
      <c r="V17">
        <v>569</v>
      </c>
      <c r="W17">
        <v>826</v>
      </c>
      <c r="X17">
        <v>593</v>
      </c>
      <c r="Y17">
        <v>663</v>
      </c>
      <c r="Z17">
        <v>380</v>
      </c>
      <c r="AA17">
        <v>403</v>
      </c>
      <c r="AB17">
        <v>507</v>
      </c>
      <c r="AC17">
        <v>309</v>
      </c>
      <c r="AD17">
        <v>745</v>
      </c>
      <c r="AE17">
        <v>537</v>
      </c>
      <c r="AF17">
        <v>194</v>
      </c>
      <c r="AG17">
        <v>761</v>
      </c>
      <c r="AH17">
        <v>1076</v>
      </c>
      <c r="AI17" s="2">
        <v>0.79</v>
      </c>
      <c r="AJ17" s="2">
        <v>0.78</v>
      </c>
      <c r="AK17" s="2">
        <v>0.53</v>
      </c>
      <c r="AL17">
        <v>69</v>
      </c>
      <c r="AM17">
        <v>104</v>
      </c>
      <c r="AN17" s="2">
        <v>0.76</v>
      </c>
      <c r="AO17" s="2">
        <v>0.28000000000000003</v>
      </c>
      <c r="AP17">
        <v>329</v>
      </c>
      <c r="AQ17">
        <v>400</v>
      </c>
      <c r="AR17">
        <v>209</v>
      </c>
      <c r="AS17">
        <v>47</v>
      </c>
      <c r="AT17">
        <v>27</v>
      </c>
      <c r="AU17">
        <v>94</v>
      </c>
      <c r="AV17">
        <v>32</v>
      </c>
      <c r="AW17">
        <v>84</v>
      </c>
      <c r="AX17">
        <v>29</v>
      </c>
      <c r="AY17">
        <v>54</v>
      </c>
      <c r="AZ17">
        <v>80</v>
      </c>
    </row>
    <row r="18" spans="1:52">
      <c r="A18">
        <v>2025</v>
      </c>
      <c r="B18" s="4">
        <v>5</v>
      </c>
      <c r="C18" s="4" t="s">
        <v>4</v>
      </c>
      <c r="D18" s="4" t="s">
        <v>43</v>
      </c>
      <c r="E18">
        <v>432</v>
      </c>
      <c r="F18" s="10">
        <v>0.35499999999999998</v>
      </c>
      <c r="G18">
        <v>244.8</v>
      </c>
      <c r="H18">
        <v>468.8</v>
      </c>
      <c r="I18">
        <v>764.80000000000007</v>
      </c>
      <c r="J18" s="2">
        <v>0.28000000000000003</v>
      </c>
      <c r="K18" s="2">
        <v>0.03</v>
      </c>
      <c r="L18" s="2">
        <v>0.47</v>
      </c>
      <c r="M18" s="2">
        <v>0.22</v>
      </c>
      <c r="N18" s="2">
        <v>0.69</v>
      </c>
      <c r="O18" s="2">
        <v>0.97000000000000008</v>
      </c>
      <c r="P18" s="2">
        <v>0.69</v>
      </c>
      <c r="Q18" s="2">
        <v>0.56000000000000005</v>
      </c>
      <c r="R18" s="2">
        <v>0.42</v>
      </c>
      <c r="S18">
        <v>1207</v>
      </c>
      <c r="T18" s="2">
        <v>0.59</v>
      </c>
      <c r="U18" s="2">
        <v>0.72</v>
      </c>
      <c r="V18">
        <v>125</v>
      </c>
      <c r="W18">
        <v>670</v>
      </c>
      <c r="X18">
        <v>265</v>
      </c>
      <c r="Y18">
        <v>476</v>
      </c>
      <c r="Z18">
        <v>714</v>
      </c>
      <c r="AA18">
        <v>469</v>
      </c>
      <c r="AB18">
        <v>462</v>
      </c>
      <c r="AC18">
        <v>439</v>
      </c>
      <c r="AD18">
        <v>345</v>
      </c>
      <c r="AE18">
        <v>190</v>
      </c>
      <c r="AF18">
        <v>573</v>
      </c>
      <c r="AG18">
        <v>417</v>
      </c>
      <c r="AH18">
        <v>769</v>
      </c>
      <c r="AI18" s="2">
        <v>0.8</v>
      </c>
      <c r="AJ18" s="2">
        <v>0.53</v>
      </c>
      <c r="AK18" s="2">
        <v>0.54</v>
      </c>
      <c r="AL18">
        <v>79</v>
      </c>
      <c r="AM18">
        <v>132</v>
      </c>
      <c r="AN18" s="2">
        <v>0.81</v>
      </c>
      <c r="AO18" s="2">
        <v>0.37</v>
      </c>
      <c r="AP18">
        <v>206</v>
      </c>
      <c r="AQ18">
        <v>261</v>
      </c>
      <c r="AR18">
        <v>247</v>
      </c>
      <c r="AS18">
        <v>5</v>
      </c>
      <c r="AT18">
        <v>59</v>
      </c>
      <c r="AU18">
        <v>111</v>
      </c>
      <c r="AV18">
        <v>28</v>
      </c>
      <c r="AW18">
        <v>62</v>
      </c>
      <c r="AX18">
        <v>35</v>
      </c>
      <c r="AY18">
        <v>53</v>
      </c>
      <c r="AZ18">
        <v>36</v>
      </c>
    </row>
    <row r="19" spans="1:52">
      <c r="A19">
        <v>2025</v>
      </c>
      <c r="B19" s="4">
        <v>6</v>
      </c>
      <c r="C19" s="4" t="s">
        <v>5</v>
      </c>
      <c r="D19" s="4" t="s">
        <v>43</v>
      </c>
      <c r="E19">
        <v>459</v>
      </c>
      <c r="F19" s="10">
        <v>0.56899999999999995</v>
      </c>
      <c r="G19">
        <v>132</v>
      </c>
      <c r="H19">
        <v>262.5</v>
      </c>
      <c r="I19">
        <v>527</v>
      </c>
      <c r="J19" s="2">
        <v>0.24</v>
      </c>
      <c r="K19" s="2">
        <v>7.0000000000000007E-2</v>
      </c>
      <c r="L19" s="2">
        <v>0.43</v>
      </c>
      <c r="M19" s="2">
        <v>0.26</v>
      </c>
      <c r="N19" s="2">
        <v>0.7</v>
      </c>
      <c r="O19" s="2">
        <v>1</v>
      </c>
      <c r="P19" s="2">
        <v>0.7</v>
      </c>
      <c r="Q19" s="2">
        <v>0.53</v>
      </c>
      <c r="R19" s="2">
        <v>0.63</v>
      </c>
      <c r="S19">
        <v>582</v>
      </c>
      <c r="T19" s="2">
        <v>0.7</v>
      </c>
      <c r="U19" s="2">
        <v>0.73</v>
      </c>
      <c r="V19">
        <v>185</v>
      </c>
      <c r="W19">
        <v>682</v>
      </c>
      <c r="X19">
        <v>379</v>
      </c>
      <c r="Y19">
        <v>482</v>
      </c>
      <c r="Z19">
        <v>765</v>
      </c>
      <c r="AA19">
        <v>181</v>
      </c>
      <c r="AB19">
        <v>511</v>
      </c>
      <c r="AC19">
        <v>242</v>
      </c>
      <c r="AD19">
        <v>487</v>
      </c>
      <c r="AE19">
        <v>517</v>
      </c>
      <c r="AF19">
        <v>753</v>
      </c>
      <c r="AG19">
        <v>582</v>
      </c>
      <c r="AH19">
        <v>468</v>
      </c>
      <c r="AI19" s="2">
        <v>0.8</v>
      </c>
      <c r="AJ19" s="2">
        <v>0.52</v>
      </c>
      <c r="AK19" s="2">
        <v>0.85</v>
      </c>
      <c r="AL19">
        <v>74</v>
      </c>
      <c r="AM19">
        <v>189</v>
      </c>
      <c r="AN19" s="2">
        <v>0.7</v>
      </c>
      <c r="AO19" s="2">
        <v>0.16</v>
      </c>
      <c r="AP19">
        <v>179</v>
      </c>
      <c r="AQ19">
        <v>124</v>
      </c>
      <c r="AR19">
        <v>239</v>
      </c>
      <c r="AS19">
        <v>17</v>
      </c>
      <c r="AT19">
        <v>32</v>
      </c>
      <c r="AU19">
        <v>72</v>
      </c>
      <c r="AV19">
        <v>21</v>
      </c>
      <c r="AW19">
        <v>80</v>
      </c>
      <c r="AX19">
        <v>28</v>
      </c>
      <c r="AY19">
        <v>29</v>
      </c>
      <c r="AZ19">
        <v>56</v>
      </c>
    </row>
    <row r="20" spans="1:52">
      <c r="A20">
        <v>2025</v>
      </c>
      <c r="B20" s="4">
        <v>7</v>
      </c>
      <c r="C20" s="4" t="s">
        <v>6</v>
      </c>
      <c r="D20" s="4" t="s">
        <v>43</v>
      </c>
      <c r="E20">
        <v>432</v>
      </c>
      <c r="F20" s="10">
        <v>0.39200000000000002</v>
      </c>
      <c r="G20">
        <v>254.4</v>
      </c>
      <c r="H20">
        <v>440</v>
      </c>
      <c r="I20">
        <v>880</v>
      </c>
      <c r="J20" s="2">
        <v>0.27</v>
      </c>
      <c r="K20" s="2">
        <v>0.11</v>
      </c>
      <c r="L20" s="2">
        <v>0.39</v>
      </c>
      <c r="M20" s="2">
        <v>0.23</v>
      </c>
      <c r="N20" s="2">
        <v>0.79</v>
      </c>
      <c r="O20" s="2">
        <v>0.75</v>
      </c>
      <c r="P20" s="2">
        <v>0.88</v>
      </c>
      <c r="Q20" s="2">
        <v>0.84</v>
      </c>
      <c r="R20" s="2">
        <v>0.35</v>
      </c>
      <c r="S20">
        <v>483</v>
      </c>
      <c r="T20" s="2">
        <v>0.43</v>
      </c>
      <c r="U20" s="2">
        <v>0.95</v>
      </c>
      <c r="V20">
        <v>268</v>
      </c>
      <c r="W20">
        <v>144</v>
      </c>
      <c r="X20">
        <v>566</v>
      </c>
      <c r="Y20">
        <v>520</v>
      </c>
      <c r="Z20">
        <v>183</v>
      </c>
      <c r="AA20">
        <v>738</v>
      </c>
      <c r="AB20">
        <v>720</v>
      </c>
      <c r="AC20">
        <v>233</v>
      </c>
      <c r="AD20">
        <v>366</v>
      </c>
      <c r="AE20">
        <v>289</v>
      </c>
      <c r="AF20">
        <v>816</v>
      </c>
      <c r="AG20">
        <v>534</v>
      </c>
      <c r="AH20">
        <v>422</v>
      </c>
      <c r="AI20" s="2">
        <v>0.38</v>
      </c>
      <c r="AJ20" s="2">
        <v>0.89</v>
      </c>
      <c r="AK20" s="2">
        <v>0.93</v>
      </c>
      <c r="AL20">
        <v>137</v>
      </c>
      <c r="AM20">
        <v>66</v>
      </c>
      <c r="AN20" s="2">
        <v>0.57999999999999996</v>
      </c>
      <c r="AO20" s="2">
        <v>0.35</v>
      </c>
      <c r="AP20">
        <v>156</v>
      </c>
      <c r="AQ20">
        <v>107</v>
      </c>
      <c r="AR20">
        <v>331</v>
      </c>
      <c r="AS20">
        <v>74</v>
      </c>
      <c r="AT20">
        <v>63</v>
      </c>
      <c r="AU20">
        <v>88</v>
      </c>
      <c r="AV20">
        <v>51</v>
      </c>
      <c r="AW20">
        <v>44</v>
      </c>
      <c r="AX20">
        <v>28</v>
      </c>
      <c r="AY20">
        <v>96</v>
      </c>
      <c r="AZ20">
        <v>41</v>
      </c>
    </row>
    <row r="21" spans="1:52">
      <c r="A21">
        <v>2025</v>
      </c>
      <c r="B21" s="4">
        <v>8</v>
      </c>
      <c r="C21" s="4" t="s">
        <v>7</v>
      </c>
      <c r="D21" s="4" t="s">
        <v>43</v>
      </c>
      <c r="E21">
        <v>658</v>
      </c>
      <c r="F21" s="10">
        <v>0.24199999999999999</v>
      </c>
      <c r="G21">
        <v>280</v>
      </c>
      <c r="H21">
        <v>441</v>
      </c>
      <c r="I21">
        <v>753.19999999999993</v>
      </c>
      <c r="J21" s="2">
        <v>0.28000000000000003</v>
      </c>
      <c r="K21" s="2">
        <v>0.2</v>
      </c>
      <c r="L21" s="2">
        <v>0.3</v>
      </c>
      <c r="M21" s="2">
        <v>0.22</v>
      </c>
      <c r="N21" s="2">
        <v>0.62</v>
      </c>
      <c r="O21" s="2">
        <v>0.96000000000000008</v>
      </c>
      <c r="P21" s="2">
        <v>1.04</v>
      </c>
      <c r="Q21" s="2">
        <v>0.81</v>
      </c>
      <c r="R21" s="2">
        <v>0.38</v>
      </c>
      <c r="S21">
        <v>566</v>
      </c>
      <c r="T21" s="2">
        <v>0.34</v>
      </c>
      <c r="U21" s="2">
        <v>0.94</v>
      </c>
      <c r="V21">
        <v>216</v>
      </c>
      <c r="W21">
        <v>600</v>
      </c>
      <c r="X21">
        <v>610</v>
      </c>
      <c r="Y21">
        <v>516</v>
      </c>
      <c r="Z21">
        <v>825</v>
      </c>
      <c r="AA21">
        <v>804</v>
      </c>
      <c r="AB21">
        <v>808</v>
      </c>
      <c r="AC21">
        <v>114</v>
      </c>
      <c r="AD21">
        <v>181</v>
      </c>
      <c r="AE21">
        <v>620</v>
      </c>
      <c r="AF21">
        <v>465</v>
      </c>
      <c r="AG21">
        <v>575</v>
      </c>
      <c r="AH21">
        <v>571</v>
      </c>
      <c r="AI21" s="2">
        <v>0.74</v>
      </c>
      <c r="AJ21" s="2">
        <v>0.64</v>
      </c>
      <c r="AK21" s="2">
        <v>0.67</v>
      </c>
      <c r="AL21">
        <v>234</v>
      </c>
      <c r="AM21">
        <v>110</v>
      </c>
      <c r="AN21" s="2">
        <v>0.3</v>
      </c>
      <c r="AO21" s="2">
        <v>0.14000000000000001</v>
      </c>
      <c r="AP21">
        <v>169</v>
      </c>
      <c r="AQ21">
        <v>250</v>
      </c>
      <c r="AR21">
        <v>338</v>
      </c>
      <c r="AS21">
        <v>86</v>
      </c>
      <c r="AT21">
        <v>36</v>
      </c>
      <c r="AU21">
        <v>50</v>
      </c>
      <c r="AV21">
        <v>44</v>
      </c>
      <c r="AW21">
        <v>62</v>
      </c>
      <c r="AX21">
        <v>21</v>
      </c>
      <c r="AY21">
        <v>72</v>
      </c>
      <c r="AZ21">
        <v>61</v>
      </c>
    </row>
    <row r="22" spans="1:52">
      <c r="A22">
        <v>2025</v>
      </c>
      <c r="B22" s="4">
        <v>9</v>
      </c>
      <c r="C22" s="4" t="s">
        <v>8</v>
      </c>
      <c r="D22" s="4" t="s">
        <v>43</v>
      </c>
      <c r="E22">
        <v>579</v>
      </c>
      <c r="F22" s="10">
        <v>0.46800000000000003</v>
      </c>
      <c r="G22">
        <v>318.40000000000003</v>
      </c>
      <c r="H22">
        <v>676</v>
      </c>
      <c r="I22">
        <v>820</v>
      </c>
      <c r="J22" s="2">
        <v>0.24</v>
      </c>
      <c r="K22" s="2">
        <v>0.36</v>
      </c>
      <c r="L22" s="2">
        <v>0.14000000000000001</v>
      </c>
      <c r="M22" s="2">
        <v>0.26</v>
      </c>
      <c r="N22" s="2">
        <v>0.52</v>
      </c>
      <c r="O22" s="2">
        <v>1.2</v>
      </c>
      <c r="P22" s="2">
        <v>1.05</v>
      </c>
      <c r="Q22" s="2">
        <v>0.8</v>
      </c>
      <c r="R22" s="2">
        <v>0.49</v>
      </c>
      <c r="S22">
        <v>933</v>
      </c>
      <c r="T22" s="2">
        <v>0.36</v>
      </c>
      <c r="U22" s="2">
        <v>0.94</v>
      </c>
      <c r="V22">
        <v>707</v>
      </c>
      <c r="W22">
        <v>223</v>
      </c>
      <c r="X22">
        <v>746</v>
      </c>
      <c r="Y22">
        <v>767</v>
      </c>
      <c r="Z22">
        <v>422</v>
      </c>
      <c r="AA22">
        <v>636</v>
      </c>
      <c r="AB22">
        <v>618</v>
      </c>
      <c r="AC22">
        <v>705</v>
      </c>
      <c r="AD22">
        <v>403</v>
      </c>
      <c r="AE22">
        <v>486</v>
      </c>
      <c r="AF22">
        <v>194</v>
      </c>
      <c r="AG22">
        <v>855</v>
      </c>
      <c r="AH22">
        <v>974</v>
      </c>
      <c r="AI22" s="2">
        <v>0.69</v>
      </c>
      <c r="AJ22" s="2">
        <v>0.52</v>
      </c>
      <c r="AK22" s="2">
        <v>0.69</v>
      </c>
      <c r="AL22">
        <v>205</v>
      </c>
      <c r="AM22">
        <v>51</v>
      </c>
      <c r="AN22" s="2">
        <v>0.5</v>
      </c>
      <c r="AO22" s="2">
        <v>0.13</v>
      </c>
      <c r="AP22">
        <v>213</v>
      </c>
      <c r="AQ22">
        <v>583</v>
      </c>
      <c r="AR22">
        <v>243</v>
      </c>
      <c r="AS22">
        <v>44</v>
      </c>
      <c r="AT22">
        <v>68</v>
      </c>
      <c r="AU22">
        <v>66</v>
      </c>
      <c r="AV22">
        <v>39</v>
      </c>
      <c r="AW22">
        <v>40</v>
      </c>
      <c r="AX22">
        <v>26</v>
      </c>
      <c r="AY22">
        <v>71</v>
      </c>
      <c r="AZ22">
        <v>17</v>
      </c>
    </row>
    <row r="23" spans="1:52">
      <c r="A23">
        <v>2025</v>
      </c>
      <c r="B23" s="4">
        <v>10</v>
      </c>
      <c r="C23" s="4" t="s">
        <v>9</v>
      </c>
      <c r="D23" s="4" t="s">
        <v>43</v>
      </c>
      <c r="E23">
        <v>622</v>
      </c>
      <c r="F23" s="10">
        <v>0.42799999999999999</v>
      </c>
      <c r="G23">
        <v>159.5</v>
      </c>
      <c r="H23">
        <v>425</v>
      </c>
      <c r="I23">
        <v>509.5</v>
      </c>
      <c r="J23" s="2">
        <v>0.11</v>
      </c>
      <c r="K23" s="2">
        <v>0.09</v>
      </c>
      <c r="L23" s="2">
        <v>0.41</v>
      </c>
      <c r="M23" s="2">
        <v>0.39</v>
      </c>
      <c r="N23" s="2">
        <v>0.75</v>
      </c>
      <c r="O23" s="2">
        <v>0.73</v>
      </c>
      <c r="P23" s="2">
        <v>0.93</v>
      </c>
      <c r="Q23" s="2">
        <v>0.93</v>
      </c>
      <c r="R23" s="2">
        <v>0.48</v>
      </c>
      <c r="S23">
        <v>696</v>
      </c>
      <c r="T23" s="2">
        <v>0.9</v>
      </c>
      <c r="U23" s="2">
        <v>0.79</v>
      </c>
      <c r="V23">
        <v>809</v>
      </c>
      <c r="W23">
        <v>516</v>
      </c>
      <c r="X23">
        <v>498</v>
      </c>
      <c r="Y23">
        <v>233</v>
      </c>
      <c r="Z23">
        <v>318</v>
      </c>
      <c r="AA23">
        <v>682</v>
      </c>
      <c r="AB23">
        <v>509</v>
      </c>
      <c r="AC23">
        <v>459</v>
      </c>
      <c r="AD23">
        <v>657</v>
      </c>
      <c r="AE23">
        <v>130</v>
      </c>
      <c r="AF23">
        <v>236</v>
      </c>
      <c r="AG23">
        <v>761</v>
      </c>
      <c r="AH23">
        <v>1050</v>
      </c>
      <c r="AI23" s="2">
        <v>0.76</v>
      </c>
      <c r="AJ23" s="2">
        <v>0.52</v>
      </c>
      <c r="AK23" s="2">
        <v>0.8</v>
      </c>
      <c r="AL23">
        <v>147</v>
      </c>
      <c r="AM23">
        <v>54</v>
      </c>
      <c r="AN23" s="2">
        <v>0.66</v>
      </c>
      <c r="AO23" s="2">
        <v>0.2</v>
      </c>
      <c r="AP23">
        <v>153</v>
      </c>
      <c r="AQ23">
        <v>556</v>
      </c>
      <c r="AR23">
        <v>241</v>
      </c>
      <c r="AS23">
        <v>43</v>
      </c>
      <c r="AT23">
        <v>12</v>
      </c>
      <c r="AU23">
        <v>62</v>
      </c>
      <c r="AV23">
        <v>56</v>
      </c>
      <c r="AW23">
        <v>58</v>
      </c>
      <c r="AX23">
        <v>29</v>
      </c>
      <c r="AY23">
        <v>76</v>
      </c>
      <c r="AZ23">
        <v>52</v>
      </c>
    </row>
    <row r="24" spans="1:52">
      <c r="A24">
        <v>2025</v>
      </c>
      <c r="B24" s="4">
        <v>11</v>
      </c>
      <c r="C24" s="4" t="s">
        <v>10</v>
      </c>
      <c r="D24" s="4" t="s">
        <v>43</v>
      </c>
      <c r="E24">
        <v>477</v>
      </c>
      <c r="F24" s="10">
        <v>0.32600000000000001</v>
      </c>
      <c r="G24">
        <v>356</v>
      </c>
      <c r="H24">
        <v>568</v>
      </c>
      <c r="I24">
        <v>875.2</v>
      </c>
      <c r="J24" s="2">
        <v>0.38</v>
      </c>
      <c r="K24" s="2">
        <v>0.34</v>
      </c>
      <c r="L24" s="2">
        <v>0.16</v>
      </c>
      <c r="M24" s="2">
        <v>0.12</v>
      </c>
      <c r="N24" s="2">
        <v>0.57999999999999996</v>
      </c>
      <c r="O24" s="2">
        <v>0.97000000000000008</v>
      </c>
      <c r="P24" s="2">
        <v>0.71</v>
      </c>
      <c r="Q24" s="2">
        <v>0.64</v>
      </c>
      <c r="R24" s="2">
        <v>0.48</v>
      </c>
      <c r="S24">
        <v>842</v>
      </c>
      <c r="T24" s="2">
        <v>0.86</v>
      </c>
      <c r="U24" s="2">
        <v>0.92</v>
      </c>
      <c r="V24">
        <v>302</v>
      </c>
      <c r="W24">
        <v>467</v>
      </c>
      <c r="X24">
        <v>668</v>
      </c>
      <c r="Y24">
        <v>286</v>
      </c>
      <c r="Z24">
        <v>547</v>
      </c>
      <c r="AA24">
        <v>867</v>
      </c>
      <c r="AB24">
        <v>671</v>
      </c>
      <c r="AC24">
        <v>364</v>
      </c>
      <c r="AD24">
        <v>545</v>
      </c>
      <c r="AE24">
        <v>639</v>
      </c>
      <c r="AF24">
        <v>472</v>
      </c>
      <c r="AG24">
        <v>583</v>
      </c>
      <c r="AH24">
        <v>632</v>
      </c>
      <c r="AI24" s="2">
        <v>0.52</v>
      </c>
      <c r="AJ24" s="2">
        <v>0.85</v>
      </c>
      <c r="AK24" s="2">
        <v>0.87</v>
      </c>
      <c r="AL24">
        <v>211</v>
      </c>
      <c r="AM24">
        <v>165</v>
      </c>
      <c r="AN24" s="2">
        <v>0.79</v>
      </c>
      <c r="AO24" s="2">
        <v>0.2</v>
      </c>
      <c r="AP24">
        <v>131</v>
      </c>
      <c r="AQ24">
        <v>382</v>
      </c>
      <c r="AR24">
        <v>177</v>
      </c>
      <c r="AS24">
        <v>17</v>
      </c>
      <c r="AT24">
        <v>32</v>
      </c>
      <c r="AU24">
        <v>63</v>
      </c>
      <c r="AV24">
        <v>44</v>
      </c>
      <c r="AW24">
        <v>36</v>
      </c>
      <c r="AX24">
        <v>15</v>
      </c>
      <c r="AY24">
        <v>87</v>
      </c>
      <c r="AZ24">
        <v>39</v>
      </c>
    </row>
    <row r="25" spans="1:52">
      <c r="A25">
        <v>2025</v>
      </c>
      <c r="B25" s="4">
        <v>12</v>
      </c>
      <c r="C25" s="4" t="s">
        <v>11</v>
      </c>
      <c r="D25" s="4" t="s">
        <v>43</v>
      </c>
      <c r="E25">
        <v>590</v>
      </c>
      <c r="F25" s="10">
        <v>0.372</v>
      </c>
      <c r="G25">
        <v>304.8</v>
      </c>
      <c r="H25">
        <v>376.8</v>
      </c>
      <c r="I25">
        <v>757.19999999999993</v>
      </c>
      <c r="J25" s="2">
        <v>0.27</v>
      </c>
      <c r="K25" s="2">
        <v>0.22</v>
      </c>
      <c r="L25" s="2">
        <v>0.28000000000000003</v>
      </c>
      <c r="M25" s="2">
        <v>0.23</v>
      </c>
      <c r="N25" s="2">
        <v>0.78</v>
      </c>
      <c r="O25" s="2">
        <v>1.1199999999999999</v>
      </c>
      <c r="P25" s="2">
        <v>0.85</v>
      </c>
      <c r="Q25" s="2">
        <v>0.92</v>
      </c>
      <c r="R25" s="2">
        <v>0.69</v>
      </c>
      <c r="S25">
        <v>1062</v>
      </c>
      <c r="T25" s="2">
        <v>0.94</v>
      </c>
      <c r="U25" s="2">
        <v>0.86</v>
      </c>
      <c r="V25">
        <v>629</v>
      </c>
      <c r="W25">
        <v>895</v>
      </c>
      <c r="X25">
        <v>149</v>
      </c>
      <c r="Y25">
        <v>498</v>
      </c>
      <c r="Z25">
        <v>274</v>
      </c>
      <c r="AA25">
        <v>555</v>
      </c>
      <c r="AB25">
        <v>840</v>
      </c>
      <c r="AC25">
        <v>511</v>
      </c>
      <c r="AD25">
        <v>744</v>
      </c>
      <c r="AE25">
        <v>377</v>
      </c>
      <c r="AF25">
        <v>343</v>
      </c>
      <c r="AG25">
        <v>486</v>
      </c>
      <c r="AH25">
        <v>802</v>
      </c>
      <c r="AI25" s="2">
        <v>0.59</v>
      </c>
      <c r="AJ25" s="2">
        <v>0.75</v>
      </c>
      <c r="AK25" s="2">
        <v>0.51</v>
      </c>
      <c r="AL25">
        <v>102</v>
      </c>
      <c r="AM25">
        <v>137</v>
      </c>
      <c r="AN25" s="2">
        <v>0.85</v>
      </c>
      <c r="AO25" s="2">
        <v>0.28000000000000003</v>
      </c>
      <c r="AP25">
        <v>171</v>
      </c>
      <c r="AQ25">
        <v>380</v>
      </c>
      <c r="AR25">
        <v>142</v>
      </c>
      <c r="AS25">
        <v>19</v>
      </c>
      <c r="AT25">
        <v>32</v>
      </c>
      <c r="AU25">
        <v>47</v>
      </c>
      <c r="AV25">
        <v>44</v>
      </c>
      <c r="AW25">
        <v>71</v>
      </c>
      <c r="AX25">
        <v>32</v>
      </c>
      <c r="AY25">
        <v>66</v>
      </c>
      <c r="AZ25">
        <v>54</v>
      </c>
    </row>
    <row r="26" spans="1:52">
      <c r="A26">
        <v>2024</v>
      </c>
      <c r="B26" s="4">
        <v>1</v>
      </c>
      <c r="C26" s="4" t="s">
        <v>0</v>
      </c>
      <c r="D26" s="4" t="s">
        <v>44</v>
      </c>
      <c r="E26">
        <v>272</v>
      </c>
      <c r="F26" s="10">
        <v>0.30400000000000005</v>
      </c>
      <c r="G26">
        <v>212.8</v>
      </c>
      <c r="H26">
        <v>311.20000000000005</v>
      </c>
      <c r="I26">
        <v>399.20000000000005</v>
      </c>
      <c r="J26" s="2">
        <v>0.22</v>
      </c>
      <c r="K26" s="2">
        <v>0.27</v>
      </c>
      <c r="L26" s="2">
        <v>0.23</v>
      </c>
      <c r="M26" s="2">
        <v>0.28000000000000003</v>
      </c>
      <c r="N26" s="2">
        <v>0.52</v>
      </c>
      <c r="O26" s="2">
        <v>1.0699999999999998</v>
      </c>
      <c r="P26" s="2">
        <v>0.68</v>
      </c>
      <c r="Q26" s="2">
        <v>0.79</v>
      </c>
      <c r="R26" s="2">
        <v>0.12</v>
      </c>
      <c r="S26">
        <v>207</v>
      </c>
      <c r="T26" s="2">
        <v>0.25</v>
      </c>
      <c r="U26" s="2">
        <v>0.86</v>
      </c>
      <c r="V26">
        <v>467</v>
      </c>
      <c r="W26">
        <v>441</v>
      </c>
      <c r="X26">
        <v>500</v>
      </c>
      <c r="Y26">
        <v>642</v>
      </c>
      <c r="Z26">
        <v>272</v>
      </c>
      <c r="AA26">
        <v>878</v>
      </c>
      <c r="AB26">
        <v>246</v>
      </c>
      <c r="AC26">
        <v>187</v>
      </c>
      <c r="AD26">
        <v>536</v>
      </c>
      <c r="AE26">
        <v>849</v>
      </c>
      <c r="AF26">
        <v>45</v>
      </c>
      <c r="AG26">
        <v>32</v>
      </c>
      <c r="AH26">
        <v>262</v>
      </c>
      <c r="AI26" s="2">
        <v>0.31</v>
      </c>
      <c r="AJ26" s="2">
        <v>0.59</v>
      </c>
      <c r="AK26" s="2">
        <v>0.93</v>
      </c>
      <c r="AL26">
        <v>836</v>
      </c>
      <c r="AM26">
        <v>649</v>
      </c>
      <c r="AN26" s="2">
        <v>0.43</v>
      </c>
      <c r="AO26" s="2">
        <v>0.26</v>
      </c>
      <c r="AP26">
        <v>46</v>
      </c>
      <c r="AQ26">
        <v>63</v>
      </c>
      <c r="AR26">
        <v>150</v>
      </c>
      <c r="AS26">
        <v>62</v>
      </c>
      <c r="AT26">
        <v>55</v>
      </c>
      <c r="AU26">
        <v>13</v>
      </c>
      <c r="AV26">
        <v>6</v>
      </c>
      <c r="AW26" s="22">
        <v>51</v>
      </c>
      <c r="AX26">
        <v>160</v>
      </c>
      <c r="AY26">
        <v>134</v>
      </c>
      <c r="AZ26">
        <v>22</v>
      </c>
    </row>
    <row r="27" spans="1:52">
      <c r="A27">
        <v>2024</v>
      </c>
      <c r="B27" s="4">
        <v>2</v>
      </c>
      <c r="C27" s="4" t="s">
        <v>1</v>
      </c>
      <c r="D27" s="4" t="s">
        <v>44</v>
      </c>
      <c r="E27">
        <v>548</v>
      </c>
      <c r="F27" s="10">
        <v>0.30399999999999999</v>
      </c>
      <c r="G27">
        <v>72.800000000000011</v>
      </c>
      <c r="H27">
        <v>143</v>
      </c>
      <c r="I27">
        <v>216</v>
      </c>
      <c r="J27" s="2">
        <v>0.34</v>
      </c>
      <c r="K27" s="2">
        <v>0.38</v>
      </c>
      <c r="L27" s="2">
        <v>0.12</v>
      </c>
      <c r="M27" s="2">
        <v>0.16</v>
      </c>
      <c r="N27" s="2">
        <v>0.61</v>
      </c>
      <c r="O27" s="2">
        <v>0.70000000000000007</v>
      </c>
      <c r="P27" s="2">
        <v>0.92</v>
      </c>
      <c r="Q27" s="2">
        <v>0.65</v>
      </c>
      <c r="R27" s="2">
        <v>0.15</v>
      </c>
      <c r="S27">
        <v>271</v>
      </c>
      <c r="T27" s="2">
        <v>0.33</v>
      </c>
      <c r="U27" s="2">
        <v>0.93</v>
      </c>
      <c r="V27">
        <v>520</v>
      </c>
      <c r="W27">
        <v>547</v>
      </c>
      <c r="X27">
        <v>779</v>
      </c>
      <c r="Y27">
        <v>688</v>
      </c>
      <c r="Z27">
        <v>421</v>
      </c>
      <c r="AA27">
        <v>161</v>
      </c>
      <c r="AB27">
        <v>293</v>
      </c>
      <c r="AC27">
        <v>849</v>
      </c>
      <c r="AD27">
        <v>419</v>
      </c>
      <c r="AE27">
        <v>169</v>
      </c>
      <c r="AF27">
        <v>43</v>
      </c>
      <c r="AG27">
        <v>127</v>
      </c>
      <c r="AH27">
        <v>61</v>
      </c>
      <c r="AI27" s="2">
        <v>0.4</v>
      </c>
      <c r="AJ27" s="2">
        <v>0.48</v>
      </c>
      <c r="AK27" s="2">
        <v>0.9</v>
      </c>
      <c r="AL27">
        <v>599</v>
      </c>
      <c r="AM27">
        <v>623</v>
      </c>
      <c r="AN27" s="2">
        <v>0.38</v>
      </c>
      <c r="AO27" s="2">
        <v>0.13</v>
      </c>
      <c r="AP27">
        <v>51</v>
      </c>
      <c r="AQ27">
        <v>65</v>
      </c>
      <c r="AR27">
        <v>132</v>
      </c>
      <c r="AS27">
        <v>56</v>
      </c>
      <c r="AT27">
        <v>56</v>
      </c>
      <c r="AU27">
        <v>9</v>
      </c>
      <c r="AV27">
        <v>4</v>
      </c>
      <c r="AW27" s="22">
        <v>58</v>
      </c>
      <c r="AX27">
        <v>75</v>
      </c>
      <c r="AY27">
        <v>32</v>
      </c>
      <c r="AZ27">
        <v>32</v>
      </c>
    </row>
    <row r="28" spans="1:52">
      <c r="A28">
        <v>2024</v>
      </c>
      <c r="B28" s="4">
        <v>3</v>
      </c>
      <c r="C28" s="4" t="s">
        <v>2</v>
      </c>
      <c r="D28" s="4" t="s">
        <v>44</v>
      </c>
      <c r="E28">
        <v>536</v>
      </c>
      <c r="F28" s="10">
        <v>0.222</v>
      </c>
      <c r="G28">
        <v>144.5</v>
      </c>
      <c r="H28">
        <v>294.5</v>
      </c>
      <c r="I28">
        <v>610</v>
      </c>
      <c r="J28" s="2">
        <v>0.09</v>
      </c>
      <c r="K28" s="2">
        <v>0.11</v>
      </c>
      <c r="L28" s="2">
        <v>0.39</v>
      </c>
      <c r="M28" s="2">
        <v>0.41</v>
      </c>
      <c r="N28" s="2">
        <v>0.77</v>
      </c>
      <c r="O28" s="2">
        <v>1.0999999999999999</v>
      </c>
      <c r="P28" s="2">
        <v>0.87</v>
      </c>
      <c r="Q28" s="2">
        <v>0.56999999999999995</v>
      </c>
      <c r="R28" s="2">
        <v>0.23</v>
      </c>
      <c r="S28">
        <v>281</v>
      </c>
      <c r="T28" s="2">
        <v>0.98</v>
      </c>
      <c r="U28" s="2">
        <v>0.77</v>
      </c>
      <c r="V28">
        <v>248</v>
      </c>
      <c r="W28">
        <v>363</v>
      </c>
      <c r="X28">
        <v>792</v>
      </c>
      <c r="Y28">
        <v>234</v>
      </c>
      <c r="Z28">
        <v>290</v>
      </c>
      <c r="AA28">
        <v>465</v>
      </c>
      <c r="AB28">
        <v>423</v>
      </c>
      <c r="AC28">
        <v>731</v>
      </c>
      <c r="AD28">
        <v>253</v>
      </c>
      <c r="AE28">
        <v>364</v>
      </c>
      <c r="AF28">
        <v>49</v>
      </c>
      <c r="AG28">
        <v>90</v>
      </c>
      <c r="AH28">
        <v>232</v>
      </c>
      <c r="AI28" s="2">
        <v>0.45</v>
      </c>
      <c r="AJ28" s="2">
        <v>0.46</v>
      </c>
      <c r="AK28" s="2">
        <v>0.63</v>
      </c>
      <c r="AL28">
        <v>484</v>
      </c>
      <c r="AM28">
        <v>595</v>
      </c>
      <c r="AN28" s="2">
        <v>0.72</v>
      </c>
      <c r="AO28" s="2">
        <v>0.1</v>
      </c>
      <c r="AP28">
        <v>33</v>
      </c>
      <c r="AQ28">
        <v>101</v>
      </c>
      <c r="AR28">
        <v>108</v>
      </c>
      <c r="AS28" s="22">
        <v>42</v>
      </c>
      <c r="AT28">
        <v>22</v>
      </c>
      <c r="AU28">
        <v>64</v>
      </c>
      <c r="AV28">
        <v>77</v>
      </c>
      <c r="AW28">
        <v>137</v>
      </c>
      <c r="AX28">
        <v>12</v>
      </c>
      <c r="AY28">
        <v>18</v>
      </c>
      <c r="AZ28">
        <v>50</v>
      </c>
    </row>
    <row r="29" spans="1:52">
      <c r="A29">
        <v>2024</v>
      </c>
      <c r="B29" s="4">
        <v>4</v>
      </c>
      <c r="C29" s="4" t="s">
        <v>3</v>
      </c>
      <c r="D29" s="4" t="s">
        <v>44</v>
      </c>
      <c r="E29">
        <v>602</v>
      </c>
      <c r="F29" s="10">
        <v>0.18099999999999999</v>
      </c>
      <c r="G29">
        <v>88.5</v>
      </c>
      <c r="H29">
        <v>200.40000000000003</v>
      </c>
      <c r="I29">
        <v>364.5</v>
      </c>
      <c r="J29" s="2">
        <v>0.36</v>
      </c>
      <c r="K29" s="2">
        <v>0.24</v>
      </c>
      <c r="L29" s="2">
        <v>0.26</v>
      </c>
      <c r="M29" s="2">
        <v>0.14000000000000001</v>
      </c>
      <c r="N29" s="2">
        <v>0.65</v>
      </c>
      <c r="O29" s="2">
        <v>1.19</v>
      </c>
      <c r="P29" s="2">
        <v>0.82</v>
      </c>
      <c r="Q29" s="2">
        <v>0.87</v>
      </c>
      <c r="R29" s="2">
        <v>0.12</v>
      </c>
      <c r="S29">
        <v>244</v>
      </c>
      <c r="T29" s="2">
        <v>0.45</v>
      </c>
      <c r="U29" s="2">
        <v>0.78</v>
      </c>
      <c r="V29">
        <v>676</v>
      </c>
      <c r="W29">
        <v>218</v>
      </c>
      <c r="X29">
        <v>593</v>
      </c>
      <c r="Y29">
        <v>853</v>
      </c>
      <c r="Z29">
        <v>614</v>
      </c>
      <c r="AA29">
        <v>268</v>
      </c>
      <c r="AB29">
        <v>878</v>
      </c>
      <c r="AC29">
        <v>598</v>
      </c>
      <c r="AD29">
        <v>630</v>
      </c>
      <c r="AE29">
        <v>112</v>
      </c>
      <c r="AF29">
        <v>90</v>
      </c>
      <c r="AG29">
        <v>81</v>
      </c>
      <c r="AH29">
        <v>64</v>
      </c>
      <c r="AI29" s="2">
        <v>0.5</v>
      </c>
      <c r="AJ29" s="2">
        <v>0.89</v>
      </c>
      <c r="AK29" s="2">
        <v>0.5</v>
      </c>
      <c r="AL29">
        <v>427</v>
      </c>
      <c r="AM29">
        <v>725</v>
      </c>
      <c r="AN29" s="2">
        <v>0.59</v>
      </c>
      <c r="AO29" s="2">
        <v>0.13</v>
      </c>
      <c r="AP29">
        <v>46</v>
      </c>
      <c r="AQ29">
        <v>112</v>
      </c>
      <c r="AR29">
        <v>246</v>
      </c>
      <c r="AS29" s="22">
        <v>34</v>
      </c>
      <c r="AT29">
        <v>47</v>
      </c>
      <c r="AU29">
        <v>84</v>
      </c>
      <c r="AV29">
        <v>22</v>
      </c>
      <c r="AW29">
        <v>101</v>
      </c>
      <c r="AX29">
        <v>49</v>
      </c>
      <c r="AY29">
        <v>26</v>
      </c>
      <c r="AZ29">
        <v>75</v>
      </c>
    </row>
    <row r="30" spans="1:52">
      <c r="A30">
        <v>2024</v>
      </c>
      <c r="B30" s="4">
        <v>5</v>
      </c>
      <c r="C30" s="4" t="s">
        <v>4</v>
      </c>
      <c r="D30" s="4" t="s">
        <v>44</v>
      </c>
      <c r="E30">
        <v>830</v>
      </c>
      <c r="F30" s="10">
        <v>0.16200000000000001</v>
      </c>
      <c r="G30">
        <v>103.80000000000001</v>
      </c>
      <c r="H30">
        <v>201.00000000000006</v>
      </c>
      <c r="I30">
        <v>300</v>
      </c>
      <c r="J30" s="2">
        <v>0.2</v>
      </c>
      <c r="K30" s="2">
        <v>0.28000000000000003</v>
      </c>
      <c r="L30" s="2">
        <v>0.22</v>
      </c>
      <c r="M30" s="2">
        <v>0.3</v>
      </c>
      <c r="N30" s="2">
        <v>0.79</v>
      </c>
      <c r="O30" s="2">
        <v>1.0899999999999999</v>
      </c>
      <c r="P30" s="2">
        <v>0.88</v>
      </c>
      <c r="Q30" s="2">
        <v>0.69</v>
      </c>
      <c r="R30" s="2">
        <v>0.15</v>
      </c>
      <c r="S30">
        <v>157</v>
      </c>
      <c r="T30" s="2">
        <v>0.96</v>
      </c>
      <c r="U30" s="2">
        <v>0.75</v>
      </c>
      <c r="V30">
        <v>400</v>
      </c>
      <c r="W30">
        <v>259</v>
      </c>
      <c r="X30">
        <v>345</v>
      </c>
      <c r="Y30">
        <v>549</v>
      </c>
      <c r="Z30">
        <v>344</v>
      </c>
      <c r="AA30">
        <v>227</v>
      </c>
      <c r="AB30">
        <v>506</v>
      </c>
      <c r="AC30">
        <v>553</v>
      </c>
      <c r="AD30">
        <v>184</v>
      </c>
      <c r="AE30">
        <v>733</v>
      </c>
      <c r="AF30">
        <v>154</v>
      </c>
      <c r="AG30">
        <v>49</v>
      </c>
      <c r="AH30">
        <v>38</v>
      </c>
      <c r="AI30" s="2">
        <v>0.43</v>
      </c>
      <c r="AJ30" s="2">
        <v>0.56000000000000005</v>
      </c>
      <c r="AK30" s="2">
        <v>0.9</v>
      </c>
      <c r="AL30">
        <v>476</v>
      </c>
      <c r="AM30">
        <v>673</v>
      </c>
      <c r="AN30" s="2">
        <v>0.62</v>
      </c>
      <c r="AO30" s="2">
        <v>0.2</v>
      </c>
      <c r="AP30">
        <v>55</v>
      </c>
      <c r="AQ30">
        <v>83</v>
      </c>
      <c r="AR30">
        <v>204</v>
      </c>
      <c r="AS30" s="22">
        <v>25</v>
      </c>
      <c r="AT30">
        <v>16</v>
      </c>
      <c r="AU30">
        <v>91</v>
      </c>
      <c r="AV30">
        <v>75</v>
      </c>
      <c r="AW30">
        <v>116</v>
      </c>
      <c r="AX30">
        <v>49</v>
      </c>
      <c r="AY30">
        <v>22</v>
      </c>
      <c r="AZ30">
        <v>73</v>
      </c>
    </row>
    <row r="31" spans="1:52">
      <c r="A31">
        <v>2024</v>
      </c>
      <c r="B31" s="4">
        <v>6</v>
      </c>
      <c r="C31" s="4" t="s">
        <v>5</v>
      </c>
      <c r="D31" s="4" t="s">
        <v>44</v>
      </c>
      <c r="E31">
        <v>884</v>
      </c>
      <c r="F31" s="10">
        <v>0.157</v>
      </c>
      <c r="G31">
        <v>148</v>
      </c>
      <c r="H31">
        <v>235.2</v>
      </c>
      <c r="I31">
        <v>368</v>
      </c>
      <c r="J31" s="2">
        <v>0.11</v>
      </c>
      <c r="K31" s="2">
        <v>0.27</v>
      </c>
      <c r="L31" s="2">
        <v>0.23</v>
      </c>
      <c r="M31" s="2">
        <v>0.39</v>
      </c>
      <c r="N31" s="2">
        <v>0.8</v>
      </c>
      <c r="O31" s="2">
        <v>1.17</v>
      </c>
      <c r="P31" s="2">
        <v>0.94</v>
      </c>
      <c r="Q31" s="2">
        <v>0.87</v>
      </c>
      <c r="R31" s="2">
        <v>0.17</v>
      </c>
      <c r="S31">
        <v>116</v>
      </c>
      <c r="T31" s="2">
        <v>0.96</v>
      </c>
      <c r="U31" s="2">
        <v>0.81</v>
      </c>
      <c r="V31">
        <v>174</v>
      </c>
      <c r="W31">
        <v>357</v>
      </c>
      <c r="X31">
        <v>218</v>
      </c>
      <c r="Y31">
        <v>672</v>
      </c>
      <c r="Z31">
        <v>663</v>
      </c>
      <c r="AA31">
        <v>688</v>
      </c>
      <c r="AB31">
        <v>627</v>
      </c>
      <c r="AC31">
        <v>312</v>
      </c>
      <c r="AD31">
        <v>224</v>
      </c>
      <c r="AE31">
        <v>785</v>
      </c>
      <c r="AF31">
        <v>165</v>
      </c>
      <c r="AG31">
        <v>52</v>
      </c>
      <c r="AH31">
        <v>176</v>
      </c>
      <c r="AI31" s="2">
        <v>0.56999999999999995</v>
      </c>
      <c r="AJ31" s="2">
        <v>0.42</v>
      </c>
      <c r="AK31" s="2">
        <v>0.81</v>
      </c>
      <c r="AL31">
        <v>546</v>
      </c>
      <c r="AM31">
        <v>500</v>
      </c>
      <c r="AN31" s="2">
        <v>0.43</v>
      </c>
      <c r="AO31" s="2">
        <v>0.33</v>
      </c>
      <c r="AP31">
        <v>52</v>
      </c>
      <c r="AQ31">
        <v>32</v>
      </c>
      <c r="AR31">
        <v>108</v>
      </c>
      <c r="AS31" s="22">
        <v>70</v>
      </c>
      <c r="AT31">
        <v>7</v>
      </c>
      <c r="AU31">
        <v>69</v>
      </c>
      <c r="AV31">
        <v>86</v>
      </c>
      <c r="AW31">
        <v>67</v>
      </c>
      <c r="AX31">
        <v>72</v>
      </c>
      <c r="AY31">
        <v>27</v>
      </c>
      <c r="AZ31">
        <v>28</v>
      </c>
    </row>
    <row r="32" spans="1:52">
      <c r="A32">
        <v>2024</v>
      </c>
      <c r="B32" s="4">
        <v>7</v>
      </c>
      <c r="C32" s="4" t="s">
        <v>6</v>
      </c>
      <c r="D32" s="4" t="s">
        <v>44</v>
      </c>
      <c r="E32">
        <v>626</v>
      </c>
      <c r="F32" s="10">
        <v>0.30500000000000005</v>
      </c>
      <c r="G32">
        <v>97.200000000000017</v>
      </c>
      <c r="H32">
        <v>160.20000000000005</v>
      </c>
      <c r="I32">
        <v>268.5</v>
      </c>
      <c r="J32" s="2">
        <v>7.0000000000000007E-2</v>
      </c>
      <c r="K32" s="2">
        <v>0.24</v>
      </c>
      <c r="L32" s="2">
        <v>0.26</v>
      </c>
      <c r="M32" s="2">
        <v>0.43</v>
      </c>
      <c r="N32" s="2">
        <v>0.67</v>
      </c>
      <c r="O32" s="2">
        <v>0.70000000000000007</v>
      </c>
      <c r="P32" s="2">
        <v>1</v>
      </c>
      <c r="Q32" s="2">
        <v>0.65</v>
      </c>
      <c r="R32" s="2">
        <v>0.16</v>
      </c>
      <c r="S32">
        <v>174</v>
      </c>
      <c r="T32" s="2">
        <v>0.33</v>
      </c>
      <c r="U32" s="2">
        <v>0.78</v>
      </c>
      <c r="V32">
        <v>811</v>
      </c>
      <c r="W32">
        <v>494</v>
      </c>
      <c r="X32">
        <v>645</v>
      </c>
      <c r="Y32">
        <v>459</v>
      </c>
      <c r="Z32">
        <v>338</v>
      </c>
      <c r="AA32">
        <v>357</v>
      </c>
      <c r="AB32">
        <v>657</v>
      </c>
      <c r="AC32">
        <v>577</v>
      </c>
      <c r="AD32">
        <v>815</v>
      </c>
      <c r="AE32">
        <v>672</v>
      </c>
      <c r="AF32">
        <v>97</v>
      </c>
      <c r="AG32">
        <v>112</v>
      </c>
      <c r="AH32">
        <v>79</v>
      </c>
      <c r="AI32" s="2">
        <v>0.59</v>
      </c>
      <c r="AJ32" s="2">
        <v>0.74</v>
      </c>
      <c r="AK32" s="2">
        <v>0.5</v>
      </c>
      <c r="AL32">
        <v>489</v>
      </c>
      <c r="AM32">
        <v>382</v>
      </c>
      <c r="AN32" s="2">
        <v>0.62</v>
      </c>
      <c r="AO32" s="2">
        <v>0.3</v>
      </c>
      <c r="AP32">
        <v>40</v>
      </c>
      <c r="AQ32">
        <v>24</v>
      </c>
      <c r="AR32">
        <v>276</v>
      </c>
      <c r="AS32" s="22">
        <v>71</v>
      </c>
      <c r="AT32">
        <v>47</v>
      </c>
      <c r="AU32">
        <v>110</v>
      </c>
      <c r="AV32">
        <v>112</v>
      </c>
      <c r="AW32">
        <v>78</v>
      </c>
      <c r="AX32">
        <v>39</v>
      </c>
      <c r="AY32">
        <v>26</v>
      </c>
      <c r="AZ32">
        <v>73</v>
      </c>
    </row>
    <row r="33" spans="1:52">
      <c r="A33">
        <v>2024</v>
      </c>
      <c r="B33" s="4">
        <v>8</v>
      </c>
      <c r="C33" s="4" t="s">
        <v>7</v>
      </c>
      <c r="D33" s="4" t="s">
        <v>44</v>
      </c>
      <c r="E33">
        <v>632</v>
      </c>
      <c r="F33" s="10">
        <v>0.191</v>
      </c>
      <c r="G33">
        <v>90.4</v>
      </c>
      <c r="H33">
        <v>230.40000000000003</v>
      </c>
      <c r="I33">
        <v>382.4</v>
      </c>
      <c r="J33" s="2">
        <v>0.03</v>
      </c>
      <c r="K33" s="2">
        <v>0.28000000000000003</v>
      </c>
      <c r="L33" s="2">
        <v>0.22</v>
      </c>
      <c r="M33" s="2">
        <v>0.47</v>
      </c>
      <c r="N33" s="2">
        <v>0.7</v>
      </c>
      <c r="O33" s="2">
        <v>0.92</v>
      </c>
      <c r="P33" s="2">
        <v>0.75</v>
      </c>
      <c r="Q33" s="2">
        <v>0.7</v>
      </c>
      <c r="R33" s="2">
        <v>0.18</v>
      </c>
      <c r="S33">
        <v>338</v>
      </c>
      <c r="T33" s="2">
        <v>0.74</v>
      </c>
      <c r="U33" s="2">
        <v>0.9</v>
      </c>
      <c r="V33">
        <v>467</v>
      </c>
      <c r="W33">
        <v>568</v>
      </c>
      <c r="X33">
        <v>411</v>
      </c>
      <c r="Y33">
        <v>335</v>
      </c>
      <c r="Z33">
        <v>649</v>
      </c>
      <c r="AA33">
        <v>677</v>
      </c>
      <c r="AB33">
        <v>537</v>
      </c>
      <c r="AC33">
        <v>608</v>
      </c>
      <c r="AD33">
        <v>617</v>
      </c>
      <c r="AE33">
        <v>484</v>
      </c>
      <c r="AF33">
        <v>11</v>
      </c>
      <c r="AG33">
        <v>158</v>
      </c>
      <c r="AH33">
        <v>164</v>
      </c>
      <c r="AI33" s="2">
        <v>0.36</v>
      </c>
      <c r="AJ33" s="2">
        <v>0.49</v>
      </c>
      <c r="AK33" s="2">
        <v>0.81</v>
      </c>
      <c r="AL33">
        <v>579</v>
      </c>
      <c r="AM33">
        <v>305</v>
      </c>
      <c r="AN33" s="2">
        <v>0.78</v>
      </c>
      <c r="AO33" s="2">
        <v>0.3</v>
      </c>
      <c r="AP33">
        <v>45</v>
      </c>
      <c r="AQ33">
        <v>28</v>
      </c>
      <c r="AR33">
        <v>252</v>
      </c>
      <c r="AS33" s="22">
        <v>40</v>
      </c>
      <c r="AT33">
        <v>20</v>
      </c>
      <c r="AU33">
        <v>82</v>
      </c>
      <c r="AV33">
        <v>14</v>
      </c>
      <c r="AW33">
        <v>47</v>
      </c>
      <c r="AX33">
        <v>29</v>
      </c>
      <c r="AY33">
        <v>21</v>
      </c>
      <c r="AZ33">
        <v>32</v>
      </c>
    </row>
    <row r="34" spans="1:52">
      <c r="A34">
        <v>2024</v>
      </c>
      <c r="B34" s="4">
        <v>9</v>
      </c>
      <c r="C34" s="4" t="s">
        <v>8</v>
      </c>
      <c r="D34" s="4" t="s">
        <v>44</v>
      </c>
      <c r="E34">
        <v>518</v>
      </c>
      <c r="F34" s="10">
        <v>0.29900000000000004</v>
      </c>
      <c r="G34">
        <v>87</v>
      </c>
      <c r="H34">
        <v>342</v>
      </c>
      <c r="I34">
        <v>536</v>
      </c>
      <c r="J34" s="2">
        <v>0.2</v>
      </c>
      <c r="K34" s="2">
        <v>0.09</v>
      </c>
      <c r="L34" s="2">
        <v>0.41</v>
      </c>
      <c r="M34" s="2">
        <v>0.3</v>
      </c>
      <c r="N34" s="2">
        <v>0.65</v>
      </c>
      <c r="O34" s="2">
        <v>1.02</v>
      </c>
      <c r="P34" s="2">
        <v>0.77</v>
      </c>
      <c r="Q34" s="2">
        <v>0.57999999999999996</v>
      </c>
      <c r="R34" s="2">
        <v>0.16</v>
      </c>
      <c r="S34">
        <v>410</v>
      </c>
      <c r="T34" s="2">
        <v>0.19</v>
      </c>
      <c r="U34" s="2">
        <v>0.88</v>
      </c>
      <c r="V34">
        <v>769</v>
      </c>
      <c r="W34">
        <v>484</v>
      </c>
      <c r="X34">
        <v>862</v>
      </c>
      <c r="Y34">
        <v>833</v>
      </c>
      <c r="Z34">
        <v>654</v>
      </c>
      <c r="AA34">
        <v>284</v>
      </c>
      <c r="AB34">
        <v>253</v>
      </c>
      <c r="AC34">
        <v>439</v>
      </c>
      <c r="AD34">
        <v>450</v>
      </c>
      <c r="AE34">
        <v>491</v>
      </c>
      <c r="AF34">
        <v>14</v>
      </c>
      <c r="AG34">
        <v>138</v>
      </c>
      <c r="AH34">
        <v>158</v>
      </c>
      <c r="AI34" s="2">
        <v>0.72</v>
      </c>
      <c r="AJ34" s="2">
        <v>0.44</v>
      </c>
      <c r="AK34" s="2">
        <v>0.87</v>
      </c>
      <c r="AL34">
        <v>374</v>
      </c>
      <c r="AM34">
        <v>409</v>
      </c>
      <c r="AN34" s="2">
        <v>0.98</v>
      </c>
      <c r="AO34" s="2">
        <v>0.3</v>
      </c>
      <c r="AP34">
        <v>97</v>
      </c>
      <c r="AQ34">
        <v>103</v>
      </c>
      <c r="AR34">
        <v>192</v>
      </c>
      <c r="AS34" s="22">
        <v>38</v>
      </c>
      <c r="AT34">
        <v>37</v>
      </c>
      <c r="AU34">
        <v>45</v>
      </c>
      <c r="AV34">
        <v>109</v>
      </c>
      <c r="AW34">
        <v>119</v>
      </c>
      <c r="AX34">
        <v>55</v>
      </c>
      <c r="AY34">
        <v>10</v>
      </c>
      <c r="AZ34">
        <v>74</v>
      </c>
    </row>
    <row r="35" spans="1:52">
      <c r="A35">
        <v>2024</v>
      </c>
      <c r="B35" s="4">
        <v>10</v>
      </c>
      <c r="C35" s="4" t="s">
        <v>9</v>
      </c>
      <c r="D35" s="4" t="s">
        <v>44</v>
      </c>
      <c r="E35">
        <v>554</v>
      </c>
      <c r="F35" s="10">
        <v>0.35699999999999998</v>
      </c>
      <c r="G35">
        <v>57</v>
      </c>
      <c r="H35">
        <v>220.80000000000007</v>
      </c>
      <c r="I35">
        <v>325.20000000000005</v>
      </c>
      <c r="J35" s="2">
        <v>0.28999999999999998</v>
      </c>
      <c r="K35" s="2">
        <v>0.31</v>
      </c>
      <c r="L35" s="2">
        <v>0.19</v>
      </c>
      <c r="M35" s="2">
        <v>0.21</v>
      </c>
      <c r="N35" s="2">
        <v>0.66</v>
      </c>
      <c r="O35" s="2">
        <v>0.85</v>
      </c>
      <c r="P35" s="2">
        <v>0.77</v>
      </c>
      <c r="Q35" s="2">
        <v>0.66</v>
      </c>
      <c r="R35" s="2">
        <v>0.21</v>
      </c>
      <c r="S35">
        <v>352</v>
      </c>
      <c r="T35" s="2">
        <v>0.32</v>
      </c>
      <c r="U35" s="2">
        <v>0.91</v>
      </c>
      <c r="V35">
        <v>765</v>
      </c>
      <c r="W35">
        <v>375</v>
      </c>
      <c r="X35">
        <v>603</v>
      </c>
      <c r="Y35">
        <v>236</v>
      </c>
      <c r="Z35">
        <v>178</v>
      </c>
      <c r="AA35">
        <v>739</v>
      </c>
      <c r="AB35">
        <v>188</v>
      </c>
      <c r="AC35">
        <v>142</v>
      </c>
      <c r="AD35">
        <v>582</v>
      </c>
      <c r="AE35">
        <v>664</v>
      </c>
      <c r="AF35">
        <v>45</v>
      </c>
      <c r="AG35">
        <v>118</v>
      </c>
      <c r="AH35">
        <v>120</v>
      </c>
      <c r="AI35" s="2">
        <v>0.47</v>
      </c>
      <c r="AJ35" s="2">
        <v>0.43</v>
      </c>
      <c r="AK35" s="2">
        <v>0.64</v>
      </c>
      <c r="AL35">
        <v>200</v>
      </c>
      <c r="AM35">
        <v>500</v>
      </c>
      <c r="AN35" s="2">
        <v>0.96</v>
      </c>
      <c r="AO35" s="2">
        <v>0.17</v>
      </c>
      <c r="AP35">
        <v>110</v>
      </c>
      <c r="AQ35">
        <v>144</v>
      </c>
      <c r="AR35">
        <v>228</v>
      </c>
      <c r="AS35" s="22">
        <v>7</v>
      </c>
      <c r="AT35">
        <v>11</v>
      </c>
      <c r="AU35">
        <v>16</v>
      </c>
      <c r="AV35">
        <v>11</v>
      </c>
      <c r="AW35">
        <v>87</v>
      </c>
      <c r="AX35">
        <v>45</v>
      </c>
      <c r="AY35">
        <v>4</v>
      </c>
      <c r="AZ35">
        <v>33</v>
      </c>
    </row>
    <row r="36" spans="1:52">
      <c r="A36">
        <v>2024</v>
      </c>
      <c r="B36" s="4">
        <v>11</v>
      </c>
      <c r="C36" s="4" t="s">
        <v>10</v>
      </c>
      <c r="D36" s="4" t="s">
        <v>44</v>
      </c>
      <c r="E36">
        <v>794</v>
      </c>
      <c r="F36" s="10">
        <v>0.21199999999999999</v>
      </c>
      <c r="G36">
        <v>75.600000000000023</v>
      </c>
      <c r="H36">
        <v>213.00000000000006</v>
      </c>
      <c r="I36">
        <v>299.10000000000002</v>
      </c>
      <c r="J36" s="2">
        <v>0.21</v>
      </c>
      <c r="K36" s="2">
        <v>0.35</v>
      </c>
      <c r="L36" s="2">
        <v>0.15</v>
      </c>
      <c r="M36" s="2">
        <v>0.28999999999999998</v>
      </c>
      <c r="N36" s="2">
        <v>0.6</v>
      </c>
      <c r="O36" s="2">
        <v>0.74</v>
      </c>
      <c r="P36" s="2">
        <v>0.91</v>
      </c>
      <c r="Q36" s="2">
        <v>0.86</v>
      </c>
      <c r="R36" s="2">
        <v>0.21</v>
      </c>
      <c r="S36">
        <v>274</v>
      </c>
      <c r="T36" s="2">
        <v>0.84</v>
      </c>
      <c r="U36" s="2">
        <v>0.95</v>
      </c>
      <c r="V36">
        <v>435</v>
      </c>
      <c r="W36">
        <v>140</v>
      </c>
      <c r="X36">
        <v>181</v>
      </c>
      <c r="Y36">
        <v>549</v>
      </c>
      <c r="Z36">
        <v>193</v>
      </c>
      <c r="AA36">
        <v>888</v>
      </c>
      <c r="AB36">
        <v>375</v>
      </c>
      <c r="AC36">
        <v>104</v>
      </c>
      <c r="AD36">
        <v>875</v>
      </c>
      <c r="AE36">
        <v>211</v>
      </c>
      <c r="AF36">
        <v>112</v>
      </c>
      <c r="AG36">
        <v>127</v>
      </c>
      <c r="AH36">
        <v>165</v>
      </c>
      <c r="AI36" s="2">
        <v>0.61</v>
      </c>
      <c r="AJ36" s="2">
        <v>0.82</v>
      </c>
      <c r="AK36" s="2">
        <v>0.55000000000000004</v>
      </c>
      <c r="AL36">
        <v>215</v>
      </c>
      <c r="AM36">
        <v>401</v>
      </c>
      <c r="AN36" s="2">
        <v>0.72</v>
      </c>
      <c r="AO36" s="2">
        <v>0.23</v>
      </c>
      <c r="AP36">
        <v>90</v>
      </c>
      <c r="AQ36">
        <v>100</v>
      </c>
      <c r="AR36">
        <v>294</v>
      </c>
      <c r="AS36" s="22">
        <v>9</v>
      </c>
      <c r="AT36">
        <v>51</v>
      </c>
      <c r="AU36">
        <v>57</v>
      </c>
      <c r="AV36">
        <v>37</v>
      </c>
      <c r="AW36">
        <v>99</v>
      </c>
      <c r="AX36">
        <v>12</v>
      </c>
      <c r="AY36">
        <v>4</v>
      </c>
      <c r="AZ36">
        <v>78</v>
      </c>
    </row>
    <row r="37" spans="1:52">
      <c r="A37">
        <v>2024</v>
      </c>
      <c r="B37" s="4">
        <v>12</v>
      </c>
      <c r="C37" s="4" t="s">
        <v>11</v>
      </c>
      <c r="D37" s="4" t="s">
        <v>44</v>
      </c>
      <c r="E37">
        <v>636</v>
      </c>
      <c r="F37" s="10">
        <v>0.38600000000000001</v>
      </c>
      <c r="G37">
        <v>183.5</v>
      </c>
      <c r="H37">
        <v>314</v>
      </c>
      <c r="I37">
        <v>410.5</v>
      </c>
      <c r="J37" s="2">
        <v>0.26</v>
      </c>
      <c r="K37" s="2">
        <v>0.2</v>
      </c>
      <c r="L37" s="2">
        <v>0.3</v>
      </c>
      <c r="M37" s="2">
        <v>0.24</v>
      </c>
      <c r="N37" s="2">
        <v>0.61</v>
      </c>
      <c r="O37" s="2">
        <v>1.0999999999999999</v>
      </c>
      <c r="P37" s="2">
        <v>0.78</v>
      </c>
      <c r="Q37" s="2">
        <v>0.59</v>
      </c>
      <c r="R37" s="2">
        <v>0.14000000000000001</v>
      </c>
      <c r="S37">
        <v>303</v>
      </c>
      <c r="T37" s="2">
        <v>0.43</v>
      </c>
      <c r="U37" s="2">
        <v>0.76</v>
      </c>
      <c r="V37">
        <v>715</v>
      </c>
      <c r="W37">
        <v>783</v>
      </c>
      <c r="X37">
        <v>831</v>
      </c>
      <c r="Y37">
        <v>119</v>
      </c>
      <c r="Z37">
        <v>874</v>
      </c>
      <c r="AA37">
        <v>701</v>
      </c>
      <c r="AB37">
        <v>432</v>
      </c>
      <c r="AC37">
        <v>448</v>
      </c>
      <c r="AD37">
        <v>487</v>
      </c>
      <c r="AE37">
        <v>898</v>
      </c>
      <c r="AF37">
        <v>143</v>
      </c>
      <c r="AG37">
        <v>201</v>
      </c>
      <c r="AH37">
        <v>164</v>
      </c>
      <c r="AI37" s="2">
        <v>0.55000000000000004</v>
      </c>
      <c r="AJ37" s="2">
        <v>0.9</v>
      </c>
      <c r="AK37" s="2">
        <v>0.51</v>
      </c>
      <c r="AL37">
        <v>351</v>
      </c>
      <c r="AM37">
        <v>195</v>
      </c>
      <c r="AN37" s="2">
        <v>0.55000000000000004</v>
      </c>
      <c r="AO37" s="2">
        <v>0.24</v>
      </c>
      <c r="AP37">
        <v>58</v>
      </c>
      <c r="AQ37">
        <v>95</v>
      </c>
      <c r="AR37">
        <v>270</v>
      </c>
      <c r="AS37" s="22">
        <v>53</v>
      </c>
      <c r="AT37">
        <v>42</v>
      </c>
      <c r="AU37">
        <v>35</v>
      </c>
      <c r="AV37">
        <v>48</v>
      </c>
      <c r="AW37">
        <v>50</v>
      </c>
      <c r="AX37">
        <v>35</v>
      </c>
      <c r="AY37">
        <v>8</v>
      </c>
      <c r="AZ37">
        <v>33</v>
      </c>
    </row>
    <row r="38" spans="1:52">
      <c r="A38">
        <v>2025</v>
      </c>
      <c r="B38" s="4">
        <v>1</v>
      </c>
      <c r="C38" s="4" t="s">
        <v>0</v>
      </c>
      <c r="D38" s="4" t="s">
        <v>44</v>
      </c>
      <c r="E38">
        <v>464</v>
      </c>
      <c r="F38" s="10">
        <v>0.184</v>
      </c>
      <c r="G38">
        <v>71.599999999999966</v>
      </c>
      <c r="H38">
        <v>90.199999999999989</v>
      </c>
      <c r="I38">
        <v>219.39999999999998</v>
      </c>
      <c r="J38" s="2">
        <v>0.16</v>
      </c>
      <c r="K38" s="2">
        <v>0.42</v>
      </c>
      <c r="L38" s="2">
        <v>0.08</v>
      </c>
      <c r="M38" s="2">
        <v>0.34</v>
      </c>
      <c r="N38" s="2">
        <v>0.75</v>
      </c>
      <c r="O38" s="2">
        <v>0.82000000000000006</v>
      </c>
      <c r="P38" s="2">
        <v>0.85</v>
      </c>
      <c r="Q38" s="2">
        <v>0.6</v>
      </c>
      <c r="R38" s="2">
        <v>0.14000000000000001</v>
      </c>
      <c r="S38">
        <v>241</v>
      </c>
      <c r="T38" s="2">
        <v>0.52</v>
      </c>
      <c r="U38" s="2">
        <v>0.91</v>
      </c>
      <c r="V38">
        <v>579</v>
      </c>
      <c r="W38">
        <v>447</v>
      </c>
      <c r="X38">
        <v>122</v>
      </c>
      <c r="Y38">
        <v>399</v>
      </c>
      <c r="Z38">
        <v>552</v>
      </c>
      <c r="AA38">
        <v>593</v>
      </c>
      <c r="AB38">
        <v>815</v>
      </c>
      <c r="AC38">
        <v>623</v>
      </c>
      <c r="AD38">
        <v>747</v>
      </c>
      <c r="AE38">
        <v>605</v>
      </c>
      <c r="AF38">
        <v>106</v>
      </c>
      <c r="AG38">
        <v>181</v>
      </c>
      <c r="AH38">
        <v>161</v>
      </c>
      <c r="AI38" s="2">
        <v>0.61</v>
      </c>
      <c r="AJ38" s="2">
        <v>0.41</v>
      </c>
      <c r="AK38" s="2">
        <v>0.78</v>
      </c>
      <c r="AL38">
        <v>231</v>
      </c>
      <c r="AM38">
        <v>301</v>
      </c>
      <c r="AN38" s="2">
        <v>0.5</v>
      </c>
      <c r="AO38" s="2">
        <v>0.33</v>
      </c>
      <c r="AP38">
        <v>284</v>
      </c>
      <c r="AQ38">
        <v>535</v>
      </c>
      <c r="AR38">
        <v>361</v>
      </c>
      <c r="AS38">
        <v>48</v>
      </c>
      <c r="AT38">
        <v>101</v>
      </c>
      <c r="AU38">
        <v>34</v>
      </c>
      <c r="AV38">
        <v>120</v>
      </c>
      <c r="AW38">
        <v>21</v>
      </c>
      <c r="AX38">
        <v>59</v>
      </c>
      <c r="AY38" s="22">
        <v>40</v>
      </c>
      <c r="AZ38">
        <v>59</v>
      </c>
    </row>
    <row r="39" spans="1:52">
      <c r="A39">
        <v>2025</v>
      </c>
      <c r="B39" s="4">
        <v>2</v>
      </c>
      <c r="C39" s="4" t="s">
        <v>1</v>
      </c>
      <c r="D39" s="4" t="s">
        <v>44</v>
      </c>
      <c r="E39">
        <v>616</v>
      </c>
      <c r="F39" s="10">
        <v>0.28699999999999998</v>
      </c>
      <c r="G39">
        <v>176</v>
      </c>
      <c r="H39">
        <v>250.8</v>
      </c>
      <c r="I39">
        <v>392.80000000000007</v>
      </c>
      <c r="J39" s="2">
        <v>0.17</v>
      </c>
      <c r="K39" s="2">
        <v>0.18</v>
      </c>
      <c r="L39" s="2">
        <v>0.32</v>
      </c>
      <c r="M39" s="2">
        <v>0.33</v>
      </c>
      <c r="N39" s="2">
        <v>0.66</v>
      </c>
      <c r="O39" s="2">
        <v>0.98000000000000009</v>
      </c>
      <c r="P39" s="2">
        <v>0.67</v>
      </c>
      <c r="Q39" s="2">
        <v>0.92</v>
      </c>
      <c r="R39" s="2">
        <v>0.18</v>
      </c>
      <c r="S39">
        <v>360</v>
      </c>
      <c r="T39" s="2">
        <v>0.73</v>
      </c>
      <c r="U39" s="2">
        <v>0.83</v>
      </c>
      <c r="V39">
        <v>494</v>
      </c>
      <c r="W39">
        <v>332</v>
      </c>
      <c r="X39">
        <v>348</v>
      </c>
      <c r="Y39">
        <v>207</v>
      </c>
      <c r="Z39">
        <v>107</v>
      </c>
      <c r="AA39">
        <v>171</v>
      </c>
      <c r="AB39">
        <v>521</v>
      </c>
      <c r="AC39">
        <v>769</v>
      </c>
      <c r="AD39">
        <v>507</v>
      </c>
      <c r="AE39">
        <v>614</v>
      </c>
      <c r="AF39">
        <v>162</v>
      </c>
      <c r="AG39">
        <v>161</v>
      </c>
      <c r="AH39">
        <v>87</v>
      </c>
      <c r="AI39" s="2">
        <v>0.69</v>
      </c>
      <c r="AJ39" s="2">
        <v>0.42</v>
      </c>
      <c r="AK39" s="2">
        <v>0.75</v>
      </c>
      <c r="AL39">
        <v>429</v>
      </c>
      <c r="AM39">
        <v>254</v>
      </c>
      <c r="AN39" s="2">
        <v>0.54</v>
      </c>
      <c r="AO39" s="2">
        <v>0.23</v>
      </c>
      <c r="AP39">
        <v>337</v>
      </c>
      <c r="AQ39">
        <v>388</v>
      </c>
      <c r="AR39">
        <v>358</v>
      </c>
      <c r="AS39">
        <v>99</v>
      </c>
      <c r="AT39">
        <v>75</v>
      </c>
      <c r="AU39">
        <v>23</v>
      </c>
      <c r="AV39">
        <v>78</v>
      </c>
      <c r="AW39">
        <v>20</v>
      </c>
      <c r="AX39">
        <v>42</v>
      </c>
      <c r="AY39" s="22">
        <v>34</v>
      </c>
      <c r="AZ39">
        <v>30</v>
      </c>
    </row>
    <row r="40" spans="1:52">
      <c r="A40">
        <v>2025</v>
      </c>
      <c r="B40" s="4">
        <v>3</v>
      </c>
      <c r="C40" s="4" t="s">
        <v>2</v>
      </c>
      <c r="D40" s="4" t="s">
        <v>44</v>
      </c>
      <c r="E40">
        <v>546</v>
      </c>
      <c r="F40" s="10">
        <v>0.29000000000000004</v>
      </c>
      <c r="G40">
        <v>186.40000000000003</v>
      </c>
      <c r="H40">
        <v>285.60000000000002</v>
      </c>
      <c r="I40">
        <v>368</v>
      </c>
      <c r="J40" s="2">
        <v>0.15</v>
      </c>
      <c r="K40" s="2">
        <v>0.28000000000000003</v>
      </c>
      <c r="L40" s="2">
        <v>0.22</v>
      </c>
      <c r="M40" s="2">
        <v>0.35</v>
      </c>
      <c r="N40" s="2">
        <v>0.59</v>
      </c>
      <c r="O40" s="2">
        <v>0.98000000000000009</v>
      </c>
      <c r="P40" s="2">
        <v>1</v>
      </c>
      <c r="Q40" s="2">
        <v>0.83</v>
      </c>
      <c r="R40" s="2">
        <v>0.23</v>
      </c>
      <c r="S40">
        <v>266</v>
      </c>
      <c r="T40" s="2">
        <v>0.84</v>
      </c>
      <c r="U40" s="2">
        <v>0.93</v>
      </c>
      <c r="V40">
        <v>797</v>
      </c>
      <c r="W40">
        <v>560</v>
      </c>
      <c r="X40">
        <v>344</v>
      </c>
      <c r="Y40">
        <v>822</v>
      </c>
      <c r="Z40">
        <v>554</v>
      </c>
      <c r="AA40">
        <v>683</v>
      </c>
      <c r="AB40">
        <v>195</v>
      </c>
      <c r="AC40">
        <v>271</v>
      </c>
      <c r="AD40">
        <v>297</v>
      </c>
      <c r="AE40">
        <v>200</v>
      </c>
      <c r="AF40">
        <v>63</v>
      </c>
      <c r="AG40">
        <v>219</v>
      </c>
      <c r="AH40">
        <v>169</v>
      </c>
      <c r="AI40" s="2">
        <v>0.4</v>
      </c>
      <c r="AJ40" s="2">
        <v>0.81</v>
      </c>
      <c r="AK40" s="2">
        <v>0.83</v>
      </c>
      <c r="AL40">
        <v>559</v>
      </c>
      <c r="AM40">
        <v>216</v>
      </c>
      <c r="AN40" s="2">
        <v>0.56999999999999995</v>
      </c>
      <c r="AO40" s="2">
        <v>0.1</v>
      </c>
      <c r="AP40">
        <v>502</v>
      </c>
      <c r="AQ40">
        <v>641</v>
      </c>
      <c r="AR40">
        <v>398</v>
      </c>
      <c r="AS40">
        <v>48</v>
      </c>
      <c r="AT40">
        <v>36</v>
      </c>
      <c r="AU40">
        <v>25</v>
      </c>
      <c r="AV40">
        <v>32</v>
      </c>
      <c r="AW40">
        <v>46</v>
      </c>
      <c r="AX40">
        <v>24</v>
      </c>
      <c r="AY40" s="22">
        <v>27</v>
      </c>
      <c r="AZ40">
        <v>110</v>
      </c>
    </row>
    <row r="41" spans="1:52">
      <c r="A41">
        <v>2025</v>
      </c>
      <c r="B41" s="4">
        <v>4</v>
      </c>
      <c r="C41" s="4" t="s">
        <v>3</v>
      </c>
      <c r="D41" s="4" t="s">
        <v>44</v>
      </c>
      <c r="E41">
        <v>733</v>
      </c>
      <c r="F41" s="10">
        <v>0.499</v>
      </c>
      <c r="G41">
        <v>165.60000000000002</v>
      </c>
      <c r="H41">
        <v>280.8</v>
      </c>
      <c r="I41">
        <v>361.6</v>
      </c>
      <c r="J41" s="2">
        <v>0.09</v>
      </c>
      <c r="K41" s="2">
        <v>0.44</v>
      </c>
      <c r="L41" s="2">
        <v>0.06</v>
      </c>
      <c r="M41" s="2">
        <v>0.41</v>
      </c>
      <c r="N41" s="2">
        <v>0.53</v>
      </c>
      <c r="O41" s="2">
        <v>1.01</v>
      </c>
      <c r="P41" s="2">
        <v>1.07</v>
      </c>
      <c r="Q41" s="2">
        <v>0.74</v>
      </c>
      <c r="R41" s="2">
        <v>0.12</v>
      </c>
      <c r="S41">
        <v>176</v>
      </c>
      <c r="T41" s="2">
        <v>0.74</v>
      </c>
      <c r="U41" s="2">
        <v>0.83</v>
      </c>
      <c r="V41">
        <v>853</v>
      </c>
      <c r="W41">
        <v>156</v>
      </c>
      <c r="X41">
        <v>827</v>
      </c>
      <c r="Y41">
        <v>214</v>
      </c>
      <c r="Z41">
        <v>450</v>
      </c>
      <c r="AA41">
        <v>624</v>
      </c>
      <c r="AB41">
        <v>434</v>
      </c>
      <c r="AC41">
        <v>568</v>
      </c>
      <c r="AD41">
        <v>555</v>
      </c>
      <c r="AE41">
        <v>687</v>
      </c>
      <c r="AF41">
        <v>84</v>
      </c>
      <c r="AG41">
        <v>73</v>
      </c>
      <c r="AH41">
        <v>147</v>
      </c>
      <c r="AI41" s="2">
        <v>0.67</v>
      </c>
      <c r="AJ41" s="2">
        <v>0.52</v>
      </c>
      <c r="AK41" s="2">
        <v>0.75</v>
      </c>
      <c r="AL41">
        <v>456</v>
      </c>
      <c r="AM41">
        <v>312</v>
      </c>
      <c r="AN41" s="2">
        <v>0.98</v>
      </c>
      <c r="AO41" s="2">
        <v>0.23</v>
      </c>
      <c r="AP41">
        <v>473</v>
      </c>
      <c r="AQ41">
        <v>626</v>
      </c>
      <c r="AR41">
        <v>512</v>
      </c>
      <c r="AS41">
        <v>86</v>
      </c>
      <c r="AT41">
        <v>101</v>
      </c>
      <c r="AU41">
        <v>17</v>
      </c>
      <c r="AV41">
        <v>140</v>
      </c>
      <c r="AW41">
        <v>37</v>
      </c>
      <c r="AX41">
        <v>71</v>
      </c>
      <c r="AY41" s="22">
        <v>25</v>
      </c>
      <c r="AZ41">
        <v>10</v>
      </c>
    </row>
    <row r="42" spans="1:52">
      <c r="A42">
        <v>2025</v>
      </c>
      <c r="B42" s="4">
        <v>5</v>
      </c>
      <c r="C42" s="4" t="s">
        <v>4</v>
      </c>
      <c r="D42" s="4" t="s">
        <v>44</v>
      </c>
      <c r="E42">
        <v>539</v>
      </c>
      <c r="F42" s="10">
        <v>0.38500000000000001</v>
      </c>
      <c r="G42">
        <v>61.199999999999989</v>
      </c>
      <c r="H42">
        <v>117.19999999999999</v>
      </c>
      <c r="I42">
        <v>191.19999999999993</v>
      </c>
      <c r="J42" s="2">
        <v>0.34</v>
      </c>
      <c r="K42" s="2">
        <v>0.28000000000000003</v>
      </c>
      <c r="L42" s="2">
        <v>0.22</v>
      </c>
      <c r="M42" s="2">
        <v>0.16</v>
      </c>
      <c r="N42" s="2">
        <v>0.53</v>
      </c>
      <c r="O42" s="2">
        <v>0.8</v>
      </c>
      <c r="P42" s="2">
        <v>1.08</v>
      </c>
      <c r="Q42" s="2">
        <v>0.73</v>
      </c>
      <c r="R42" s="2">
        <v>0.21</v>
      </c>
      <c r="S42">
        <v>403</v>
      </c>
      <c r="T42" s="2">
        <v>0.88</v>
      </c>
      <c r="U42" s="2">
        <v>0.81</v>
      </c>
      <c r="V42">
        <v>749</v>
      </c>
      <c r="W42">
        <v>374</v>
      </c>
      <c r="X42">
        <v>540</v>
      </c>
      <c r="Y42">
        <v>387</v>
      </c>
      <c r="Z42">
        <v>848</v>
      </c>
      <c r="AA42">
        <v>862</v>
      </c>
      <c r="AB42">
        <v>552</v>
      </c>
      <c r="AC42">
        <v>542</v>
      </c>
      <c r="AD42">
        <v>739</v>
      </c>
      <c r="AE42">
        <v>527</v>
      </c>
      <c r="AF42">
        <v>126</v>
      </c>
      <c r="AG42">
        <v>232</v>
      </c>
      <c r="AH42">
        <v>96</v>
      </c>
      <c r="AI42" s="2">
        <v>0.71</v>
      </c>
      <c r="AJ42" s="2">
        <v>0.84</v>
      </c>
      <c r="AK42" s="2">
        <v>0.92</v>
      </c>
      <c r="AL42">
        <v>334</v>
      </c>
      <c r="AM42">
        <v>526</v>
      </c>
      <c r="AN42" s="2">
        <v>0.38</v>
      </c>
      <c r="AO42" s="2">
        <v>0.17</v>
      </c>
      <c r="AP42">
        <v>234</v>
      </c>
      <c r="AQ42">
        <v>301</v>
      </c>
      <c r="AR42">
        <v>668</v>
      </c>
      <c r="AS42">
        <v>47</v>
      </c>
      <c r="AT42">
        <v>82</v>
      </c>
      <c r="AU42">
        <v>10</v>
      </c>
      <c r="AV42">
        <v>123</v>
      </c>
      <c r="AW42">
        <v>36</v>
      </c>
      <c r="AX42">
        <v>111</v>
      </c>
      <c r="AY42" s="22">
        <v>33</v>
      </c>
      <c r="AZ42">
        <v>50</v>
      </c>
    </row>
    <row r="43" spans="1:52">
      <c r="A43">
        <v>2025</v>
      </c>
      <c r="B43" s="4">
        <v>6</v>
      </c>
      <c r="C43" s="4" t="s">
        <v>5</v>
      </c>
      <c r="D43" s="4" t="s">
        <v>44</v>
      </c>
      <c r="E43">
        <v>621</v>
      </c>
      <c r="F43" s="10">
        <v>0.31399999999999995</v>
      </c>
      <c r="G43">
        <v>132</v>
      </c>
      <c r="H43">
        <v>262.5</v>
      </c>
      <c r="I43">
        <v>527</v>
      </c>
      <c r="J43" s="2">
        <v>0.05</v>
      </c>
      <c r="K43" s="2">
        <v>0.43</v>
      </c>
      <c r="L43" s="2">
        <v>7.0000000000000007E-2</v>
      </c>
      <c r="M43" s="2">
        <v>0.45</v>
      </c>
      <c r="N43" s="2">
        <v>0.72</v>
      </c>
      <c r="O43" s="2">
        <v>1.0699999999999998</v>
      </c>
      <c r="P43" s="2">
        <v>1.02</v>
      </c>
      <c r="Q43" s="2">
        <v>0.76</v>
      </c>
      <c r="R43" s="2">
        <v>0.2</v>
      </c>
      <c r="S43">
        <v>194</v>
      </c>
      <c r="T43" s="2">
        <v>0.19</v>
      </c>
      <c r="U43" s="2">
        <v>0.9</v>
      </c>
      <c r="V43">
        <v>657</v>
      </c>
      <c r="W43">
        <v>524</v>
      </c>
      <c r="X43">
        <v>344</v>
      </c>
      <c r="Y43">
        <v>703</v>
      </c>
      <c r="Z43">
        <v>525</v>
      </c>
      <c r="AA43">
        <v>821</v>
      </c>
      <c r="AB43">
        <v>196</v>
      </c>
      <c r="AC43">
        <v>809</v>
      </c>
      <c r="AD43">
        <v>721</v>
      </c>
      <c r="AE43">
        <v>690</v>
      </c>
      <c r="AF43">
        <v>103</v>
      </c>
      <c r="AG43">
        <v>201</v>
      </c>
      <c r="AH43">
        <v>83</v>
      </c>
      <c r="AI43" s="2">
        <v>0.31</v>
      </c>
      <c r="AJ43" s="2">
        <v>0.71</v>
      </c>
      <c r="AK43" s="2">
        <v>0.77</v>
      </c>
      <c r="AL43">
        <v>361</v>
      </c>
      <c r="AM43">
        <v>510</v>
      </c>
      <c r="AN43" s="2">
        <v>0.82</v>
      </c>
      <c r="AO43" s="2">
        <v>0.2</v>
      </c>
      <c r="AP43">
        <v>90</v>
      </c>
      <c r="AQ43">
        <v>100</v>
      </c>
      <c r="AR43">
        <v>848</v>
      </c>
      <c r="AS43">
        <v>40</v>
      </c>
      <c r="AT43">
        <v>84</v>
      </c>
      <c r="AU43">
        <v>53</v>
      </c>
      <c r="AV43">
        <v>134</v>
      </c>
      <c r="AW43">
        <v>34</v>
      </c>
      <c r="AX43">
        <v>67</v>
      </c>
      <c r="AY43" s="22">
        <v>40</v>
      </c>
      <c r="AZ43">
        <v>38</v>
      </c>
    </row>
    <row r="44" spans="1:52">
      <c r="A44">
        <v>2025</v>
      </c>
      <c r="B44" s="4">
        <v>7</v>
      </c>
      <c r="C44" s="4" t="s">
        <v>6</v>
      </c>
      <c r="D44" s="4" t="s">
        <v>44</v>
      </c>
      <c r="E44">
        <v>533</v>
      </c>
      <c r="F44" s="10">
        <v>0.42200000000000004</v>
      </c>
      <c r="G44">
        <v>63.599999999999994</v>
      </c>
      <c r="H44">
        <v>110</v>
      </c>
      <c r="I44">
        <v>220</v>
      </c>
      <c r="J44" s="2">
        <v>0.1</v>
      </c>
      <c r="K44" s="2">
        <v>0.24</v>
      </c>
      <c r="L44" s="2">
        <v>0.26</v>
      </c>
      <c r="M44" s="2">
        <v>0.4</v>
      </c>
      <c r="N44" s="2">
        <v>0.72</v>
      </c>
      <c r="O44" s="2">
        <v>0.81</v>
      </c>
      <c r="P44" s="2">
        <v>1.06</v>
      </c>
      <c r="Q44" s="2">
        <v>0.53</v>
      </c>
      <c r="R44" s="2">
        <v>0.2</v>
      </c>
      <c r="S44">
        <v>162</v>
      </c>
      <c r="T44" s="2">
        <v>0.63</v>
      </c>
      <c r="U44" s="2">
        <v>0.88</v>
      </c>
      <c r="V44">
        <v>152</v>
      </c>
      <c r="W44">
        <v>358</v>
      </c>
      <c r="X44">
        <v>172</v>
      </c>
      <c r="Y44">
        <v>449</v>
      </c>
      <c r="Z44">
        <v>868</v>
      </c>
      <c r="AA44">
        <v>582</v>
      </c>
      <c r="AB44">
        <v>319</v>
      </c>
      <c r="AC44">
        <v>444</v>
      </c>
      <c r="AD44">
        <v>304</v>
      </c>
      <c r="AE44">
        <v>117</v>
      </c>
      <c r="AF44">
        <v>53</v>
      </c>
      <c r="AG44">
        <v>219</v>
      </c>
      <c r="AH44">
        <v>100</v>
      </c>
      <c r="AI44" s="2">
        <v>0.56000000000000005</v>
      </c>
      <c r="AJ44" s="2">
        <v>0.68</v>
      </c>
      <c r="AK44" s="2">
        <v>0.91</v>
      </c>
      <c r="AL44">
        <v>513</v>
      </c>
      <c r="AM44">
        <v>585</v>
      </c>
      <c r="AN44" s="2">
        <v>0.76</v>
      </c>
      <c r="AO44" s="2">
        <v>0.11</v>
      </c>
      <c r="AP44">
        <v>84</v>
      </c>
      <c r="AQ44">
        <v>50</v>
      </c>
      <c r="AR44">
        <v>854</v>
      </c>
      <c r="AS44">
        <v>107</v>
      </c>
      <c r="AT44">
        <v>64</v>
      </c>
      <c r="AU44">
        <v>8</v>
      </c>
      <c r="AV44">
        <v>29</v>
      </c>
      <c r="AW44">
        <v>40</v>
      </c>
      <c r="AX44">
        <v>55</v>
      </c>
      <c r="AY44" s="22">
        <v>28</v>
      </c>
      <c r="AZ44">
        <v>94</v>
      </c>
    </row>
    <row r="45" spans="1:52">
      <c r="A45">
        <v>2025</v>
      </c>
      <c r="B45" s="4">
        <v>8</v>
      </c>
      <c r="C45" s="4" t="s">
        <v>7</v>
      </c>
      <c r="D45" s="4" t="s">
        <v>44</v>
      </c>
      <c r="E45">
        <v>869</v>
      </c>
      <c r="F45" s="10">
        <v>0.42499999999999999</v>
      </c>
      <c r="G45">
        <v>120</v>
      </c>
      <c r="H45">
        <v>189</v>
      </c>
      <c r="I45">
        <v>322.80000000000007</v>
      </c>
      <c r="J45" s="2">
        <v>0.13</v>
      </c>
      <c r="K45" s="2">
        <v>0.26</v>
      </c>
      <c r="L45" s="2">
        <v>0.24</v>
      </c>
      <c r="M45" s="2">
        <v>0.37</v>
      </c>
      <c r="N45" s="2">
        <v>0.73</v>
      </c>
      <c r="O45" s="2">
        <v>0.71000000000000008</v>
      </c>
      <c r="P45" s="2">
        <v>0.86</v>
      </c>
      <c r="Q45" s="2">
        <v>0.76</v>
      </c>
      <c r="R45" s="2">
        <v>0.2</v>
      </c>
      <c r="S45">
        <v>189</v>
      </c>
      <c r="T45" s="2">
        <v>0.8</v>
      </c>
      <c r="U45" s="2">
        <v>0.81</v>
      </c>
      <c r="V45">
        <v>894</v>
      </c>
      <c r="W45">
        <v>508</v>
      </c>
      <c r="X45">
        <v>445</v>
      </c>
      <c r="Y45">
        <v>861</v>
      </c>
      <c r="Z45">
        <v>411</v>
      </c>
      <c r="AA45">
        <v>730</v>
      </c>
      <c r="AB45">
        <v>860</v>
      </c>
      <c r="AC45">
        <v>444</v>
      </c>
      <c r="AD45">
        <v>832</v>
      </c>
      <c r="AE45">
        <v>273</v>
      </c>
      <c r="AF45">
        <v>182</v>
      </c>
      <c r="AG45">
        <v>99</v>
      </c>
      <c r="AH45">
        <v>134</v>
      </c>
      <c r="AI45" s="2">
        <v>0.6</v>
      </c>
      <c r="AJ45" s="2">
        <v>0.55000000000000004</v>
      </c>
      <c r="AK45" s="2">
        <v>0.63</v>
      </c>
      <c r="AL45">
        <v>664</v>
      </c>
      <c r="AM45">
        <v>464</v>
      </c>
      <c r="AN45" s="2">
        <v>0.39</v>
      </c>
      <c r="AO45" s="2">
        <v>0.34</v>
      </c>
      <c r="AP45">
        <v>252</v>
      </c>
      <c r="AQ45">
        <v>150</v>
      </c>
      <c r="AR45">
        <v>872</v>
      </c>
      <c r="AS45">
        <v>100</v>
      </c>
      <c r="AT45">
        <v>66</v>
      </c>
      <c r="AU45">
        <v>51</v>
      </c>
      <c r="AV45">
        <v>40</v>
      </c>
      <c r="AW45">
        <v>37</v>
      </c>
      <c r="AX45">
        <v>11</v>
      </c>
      <c r="AY45" s="22">
        <v>34</v>
      </c>
      <c r="AZ45">
        <v>82</v>
      </c>
    </row>
    <row r="46" spans="1:52">
      <c r="A46">
        <v>2025</v>
      </c>
      <c r="B46" s="4">
        <v>9</v>
      </c>
      <c r="C46" s="4" t="s">
        <v>8</v>
      </c>
      <c r="D46" s="4" t="s">
        <v>44</v>
      </c>
      <c r="E46">
        <v>731</v>
      </c>
      <c r="F46" s="10">
        <v>0.26400000000000001</v>
      </c>
      <c r="G46">
        <v>79.599999999999966</v>
      </c>
      <c r="H46">
        <v>169</v>
      </c>
      <c r="I46">
        <v>205</v>
      </c>
      <c r="J46" s="2">
        <v>0.21</v>
      </c>
      <c r="K46" s="2">
        <v>0.3</v>
      </c>
      <c r="L46" s="2">
        <v>0.2</v>
      </c>
      <c r="M46" s="2">
        <v>0.28999999999999998</v>
      </c>
      <c r="N46" s="2">
        <v>0.56000000000000005</v>
      </c>
      <c r="O46" s="2">
        <v>0.67</v>
      </c>
      <c r="P46" s="2">
        <v>0.69</v>
      </c>
      <c r="Q46" s="2">
        <v>0.8</v>
      </c>
      <c r="R46" s="2">
        <v>0.16</v>
      </c>
      <c r="S46">
        <v>312</v>
      </c>
      <c r="T46" s="2">
        <v>0.55000000000000004</v>
      </c>
      <c r="U46" s="2">
        <v>0.79</v>
      </c>
      <c r="V46">
        <v>391</v>
      </c>
      <c r="W46">
        <v>276</v>
      </c>
      <c r="X46">
        <v>449</v>
      </c>
      <c r="Y46">
        <v>152</v>
      </c>
      <c r="Z46">
        <v>297</v>
      </c>
      <c r="AA46">
        <v>538</v>
      </c>
      <c r="AB46">
        <v>628</v>
      </c>
      <c r="AC46">
        <v>807</v>
      </c>
      <c r="AD46">
        <v>439</v>
      </c>
      <c r="AE46">
        <v>767</v>
      </c>
      <c r="AF46">
        <v>69</v>
      </c>
      <c r="AG46">
        <v>42</v>
      </c>
      <c r="AH46">
        <v>74</v>
      </c>
      <c r="AI46" s="2">
        <v>0.54</v>
      </c>
      <c r="AJ46" s="2">
        <v>0.68</v>
      </c>
      <c r="AK46" s="2">
        <v>0.63</v>
      </c>
      <c r="AL46">
        <v>725</v>
      </c>
      <c r="AM46">
        <v>458</v>
      </c>
      <c r="AN46" s="2">
        <v>0.44</v>
      </c>
      <c r="AO46" s="2">
        <v>0.1</v>
      </c>
      <c r="AP46">
        <v>565</v>
      </c>
      <c r="AQ46">
        <v>550</v>
      </c>
      <c r="AR46">
        <v>918</v>
      </c>
      <c r="AS46">
        <v>61</v>
      </c>
      <c r="AT46">
        <v>46</v>
      </c>
      <c r="AU46">
        <v>44</v>
      </c>
      <c r="AV46">
        <v>23</v>
      </c>
      <c r="AW46">
        <v>36</v>
      </c>
      <c r="AX46">
        <v>52</v>
      </c>
      <c r="AY46" s="22">
        <v>43</v>
      </c>
      <c r="AZ46">
        <v>122</v>
      </c>
    </row>
    <row r="47" spans="1:52">
      <c r="A47">
        <v>2025</v>
      </c>
      <c r="B47" s="4">
        <v>10</v>
      </c>
      <c r="C47" s="4" t="s">
        <v>9</v>
      </c>
      <c r="D47" s="4" t="s">
        <v>44</v>
      </c>
      <c r="E47">
        <v>835</v>
      </c>
      <c r="F47" s="10">
        <v>0.45799999999999996</v>
      </c>
      <c r="G47">
        <v>159.5</v>
      </c>
      <c r="H47">
        <v>425</v>
      </c>
      <c r="I47">
        <v>509.5</v>
      </c>
      <c r="J47" s="2">
        <v>0.26</v>
      </c>
      <c r="K47" s="2">
        <v>0.14000000000000001</v>
      </c>
      <c r="L47" s="2">
        <v>0.36</v>
      </c>
      <c r="M47" s="2">
        <v>0.24</v>
      </c>
      <c r="N47" s="2">
        <v>0.8</v>
      </c>
      <c r="O47" s="2">
        <v>0.81</v>
      </c>
      <c r="P47" s="2">
        <v>0.7</v>
      </c>
      <c r="Q47" s="2">
        <v>0.73</v>
      </c>
      <c r="R47" s="2">
        <v>0.23</v>
      </c>
      <c r="S47">
        <v>233</v>
      </c>
      <c r="T47" s="2">
        <v>0.76</v>
      </c>
      <c r="U47" s="2">
        <v>0.94</v>
      </c>
      <c r="V47">
        <v>560</v>
      </c>
      <c r="W47">
        <v>374</v>
      </c>
      <c r="X47">
        <v>647</v>
      </c>
      <c r="Y47">
        <v>311</v>
      </c>
      <c r="Z47">
        <v>669</v>
      </c>
      <c r="AA47">
        <v>803</v>
      </c>
      <c r="AB47">
        <v>755</v>
      </c>
      <c r="AC47">
        <v>404</v>
      </c>
      <c r="AD47">
        <v>839</v>
      </c>
      <c r="AE47">
        <v>880</v>
      </c>
      <c r="AF47">
        <v>27</v>
      </c>
      <c r="AG47">
        <v>56</v>
      </c>
      <c r="AH47">
        <v>56</v>
      </c>
      <c r="AI47" s="2">
        <v>0.6</v>
      </c>
      <c r="AJ47" s="2">
        <v>0.66</v>
      </c>
      <c r="AK47" s="2">
        <v>0.81</v>
      </c>
      <c r="AL47">
        <v>669</v>
      </c>
      <c r="AM47">
        <v>484</v>
      </c>
      <c r="AN47" s="2">
        <v>0.79</v>
      </c>
      <c r="AO47" s="2">
        <v>0.22</v>
      </c>
      <c r="AP47">
        <v>567</v>
      </c>
      <c r="AQ47">
        <v>658</v>
      </c>
      <c r="AR47">
        <v>765</v>
      </c>
      <c r="AS47">
        <v>99</v>
      </c>
      <c r="AT47">
        <v>111</v>
      </c>
      <c r="AU47">
        <v>37</v>
      </c>
      <c r="AV47">
        <v>131</v>
      </c>
      <c r="AW47">
        <v>27</v>
      </c>
      <c r="AX47">
        <v>98</v>
      </c>
      <c r="AY47" s="22">
        <v>41</v>
      </c>
      <c r="AZ47">
        <v>22</v>
      </c>
    </row>
    <row r="48" spans="1:52">
      <c r="A48">
        <v>2025</v>
      </c>
      <c r="B48" s="4">
        <v>11</v>
      </c>
      <c r="C48" s="4" t="s">
        <v>10</v>
      </c>
      <c r="D48" s="4" t="s">
        <v>44</v>
      </c>
      <c r="E48">
        <v>602</v>
      </c>
      <c r="F48" s="10">
        <v>0.35499999999999998</v>
      </c>
      <c r="G48">
        <v>89</v>
      </c>
      <c r="H48">
        <v>142</v>
      </c>
      <c r="I48">
        <v>218.79999999999995</v>
      </c>
      <c r="J48" s="2">
        <v>0.21</v>
      </c>
      <c r="K48" s="2">
        <v>0.42</v>
      </c>
      <c r="L48" s="2">
        <v>0.08</v>
      </c>
      <c r="M48" s="2">
        <v>0.28999999999999998</v>
      </c>
      <c r="N48" s="2">
        <v>0.67</v>
      </c>
      <c r="O48" s="2">
        <v>0.96000000000000008</v>
      </c>
      <c r="P48" s="2">
        <v>0.9</v>
      </c>
      <c r="Q48" s="2">
        <v>0.88</v>
      </c>
      <c r="R48" s="2">
        <v>0.19</v>
      </c>
      <c r="S48">
        <v>281</v>
      </c>
      <c r="T48" s="2">
        <v>0.79</v>
      </c>
      <c r="U48" s="2">
        <v>0.94</v>
      </c>
      <c r="V48">
        <v>777</v>
      </c>
      <c r="W48">
        <v>322</v>
      </c>
      <c r="X48">
        <v>762</v>
      </c>
      <c r="Y48">
        <v>226</v>
      </c>
      <c r="Z48">
        <v>393</v>
      </c>
      <c r="AA48">
        <v>518</v>
      </c>
      <c r="AB48">
        <v>688</v>
      </c>
      <c r="AC48">
        <v>470</v>
      </c>
      <c r="AD48">
        <v>421</v>
      </c>
      <c r="AE48">
        <v>561</v>
      </c>
      <c r="AF48">
        <v>166</v>
      </c>
      <c r="AG48">
        <v>67</v>
      </c>
      <c r="AH48">
        <v>259</v>
      </c>
      <c r="AI48" s="2">
        <v>0.33</v>
      </c>
      <c r="AJ48" s="2">
        <v>0.54</v>
      </c>
      <c r="AK48" s="2">
        <v>0.92</v>
      </c>
      <c r="AL48">
        <v>514</v>
      </c>
      <c r="AM48">
        <v>549</v>
      </c>
      <c r="AN48" s="2">
        <v>0.81</v>
      </c>
      <c r="AO48" s="2">
        <v>0.3</v>
      </c>
      <c r="AP48">
        <v>375</v>
      </c>
      <c r="AQ48">
        <v>400</v>
      </c>
      <c r="AR48">
        <v>628</v>
      </c>
      <c r="AS48">
        <v>48</v>
      </c>
      <c r="AT48">
        <v>73</v>
      </c>
      <c r="AU48">
        <v>39</v>
      </c>
      <c r="AV48">
        <v>85</v>
      </c>
      <c r="AW48">
        <v>53</v>
      </c>
      <c r="AX48">
        <v>81</v>
      </c>
      <c r="AY48" s="22">
        <v>33</v>
      </c>
      <c r="AZ48">
        <v>102</v>
      </c>
    </row>
    <row r="49" spans="1:52">
      <c r="A49">
        <v>2025</v>
      </c>
      <c r="B49" s="4">
        <v>12</v>
      </c>
      <c r="C49" s="4" t="s">
        <v>11</v>
      </c>
      <c r="D49" s="4" t="s">
        <v>44</v>
      </c>
      <c r="E49">
        <v>774</v>
      </c>
      <c r="F49" s="10">
        <v>0.40200000000000002</v>
      </c>
      <c r="G49">
        <v>203.2</v>
      </c>
      <c r="H49">
        <v>251.2</v>
      </c>
      <c r="I49">
        <v>504.80000000000007</v>
      </c>
      <c r="J49" s="2">
        <v>0.31</v>
      </c>
      <c r="K49" s="2">
        <v>0.19</v>
      </c>
      <c r="L49" s="2">
        <v>0.31</v>
      </c>
      <c r="M49" s="2">
        <v>0.19</v>
      </c>
      <c r="N49" s="2">
        <v>0.62</v>
      </c>
      <c r="O49" s="2">
        <v>0.65</v>
      </c>
      <c r="P49" s="2">
        <v>0.93</v>
      </c>
      <c r="Q49" s="2">
        <v>0.6</v>
      </c>
      <c r="R49" s="2">
        <v>0.19</v>
      </c>
      <c r="S49">
        <v>354</v>
      </c>
      <c r="T49" s="2">
        <v>0.8</v>
      </c>
      <c r="U49" s="2">
        <v>0.72</v>
      </c>
      <c r="V49">
        <v>421</v>
      </c>
      <c r="W49">
        <v>869</v>
      </c>
      <c r="X49">
        <v>745</v>
      </c>
      <c r="Y49">
        <v>765</v>
      </c>
      <c r="Z49">
        <v>266</v>
      </c>
      <c r="AA49">
        <v>400</v>
      </c>
      <c r="AB49">
        <v>274</v>
      </c>
      <c r="AC49">
        <v>283</v>
      </c>
      <c r="AD49">
        <v>256</v>
      </c>
      <c r="AE49">
        <v>304</v>
      </c>
      <c r="AF49">
        <v>148</v>
      </c>
      <c r="AG49">
        <v>204</v>
      </c>
      <c r="AH49">
        <v>100</v>
      </c>
      <c r="AI49" s="2">
        <v>0.8</v>
      </c>
      <c r="AJ49" s="2">
        <v>0.65</v>
      </c>
      <c r="AK49" s="2">
        <v>0.56000000000000005</v>
      </c>
      <c r="AL49">
        <v>620</v>
      </c>
      <c r="AM49">
        <v>836</v>
      </c>
      <c r="AN49" s="2">
        <v>0.75</v>
      </c>
      <c r="AO49" s="2">
        <v>0.25</v>
      </c>
      <c r="AP49">
        <v>469</v>
      </c>
      <c r="AQ49">
        <v>464</v>
      </c>
      <c r="AR49">
        <v>535</v>
      </c>
      <c r="AS49">
        <v>98</v>
      </c>
      <c r="AT49">
        <v>47</v>
      </c>
      <c r="AU49">
        <v>28</v>
      </c>
      <c r="AV49">
        <v>43</v>
      </c>
      <c r="AW49">
        <v>52</v>
      </c>
      <c r="AX49">
        <v>64</v>
      </c>
      <c r="AY49" s="22">
        <v>27</v>
      </c>
      <c r="AZ49">
        <v>73</v>
      </c>
    </row>
    <row r="51" spans="1:52">
      <c r="F51" s="10"/>
    </row>
    <row r="52" spans="1:52">
      <c r="F52" s="10"/>
    </row>
    <row r="53" spans="1:52">
      <c r="F53" s="10"/>
    </row>
    <row r="54" spans="1:52">
      <c r="F54" s="10"/>
    </row>
    <row r="55" spans="1:52">
      <c r="F55" s="10"/>
    </row>
    <row r="56" spans="1:52">
      <c r="F56" s="10"/>
    </row>
    <row r="57" spans="1:52">
      <c r="F57" s="10"/>
    </row>
    <row r="58" spans="1:52">
      <c r="F58" s="10"/>
    </row>
    <row r="59" spans="1:52">
      <c r="F59" s="10"/>
    </row>
    <row r="60" spans="1:52">
      <c r="F60" s="10"/>
    </row>
    <row r="61" spans="1:52">
      <c r="F61" s="10"/>
    </row>
    <row r="62" spans="1:52">
      <c r="F62" s="10"/>
    </row>
    <row r="63" spans="1:52">
      <c r="F63" s="10"/>
    </row>
    <row r="64" spans="1:52">
      <c r="F64" s="10"/>
    </row>
    <row r="65" spans="6:6">
      <c r="F65" s="10"/>
    </row>
    <row r="66" spans="6:6">
      <c r="F66" s="10"/>
    </row>
    <row r="67" spans="6:6">
      <c r="F67" s="10"/>
    </row>
    <row r="68" spans="6:6">
      <c r="F68" s="10"/>
    </row>
    <row r="69" spans="6:6">
      <c r="F69" s="10"/>
    </row>
    <row r="70" spans="6:6">
      <c r="F70" s="10"/>
    </row>
    <row r="71" spans="6:6">
      <c r="F71" s="10"/>
    </row>
    <row r="72" spans="6:6">
      <c r="F72" s="10"/>
    </row>
    <row r="73" spans="6:6">
      <c r="F73" s="10"/>
    </row>
    <row r="74" spans="6:6">
      <c r="F74" s="10"/>
    </row>
  </sheetData>
  <phoneticPr fontId="3"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J2"/>
  <sheetViews>
    <sheetView topLeftCell="A13" zoomScaleNormal="100" workbookViewId="0">
      <selection activeCell="J4" sqref="J4"/>
    </sheetView>
  </sheetViews>
  <sheetFormatPr defaultRowHeight="14.25"/>
  <sheetData>
    <row r="1" spans="10:10">
      <c r="J1" t="s">
        <v>153</v>
      </c>
    </row>
    <row r="2" spans="10:10">
      <c r="J2" t="s">
        <v>154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7"/>
  <sheetViews>
    <sheetView topLeftCell="S19" workbookViewId="0">
      <selection activeCell="V28" sqref="V28"/>
    </sheetView>
  </sheetViews>
  <sheetFormatPr defaultRowHeight="14.25"/>
  <cols>
    <col min="1" max="1" width="13.125" bestFit="1" customWidth="1"/>
    <col min="2" max="2" width="13.375" customWidth="1"/>
    <col min="3" max="3" width="14.5" bestFit="1" customWidth="1"/>
    <col min="4" max="4" width="13.125" bestFit="1" customWidth="1"/>
    <col min="5" max="5" width="13.625" bestFit="1" customWidth="1"/>
    <col min="6" max="6" width="11.625" bestFit="1" customWidth="1"/>
    <col min="7" max="7" width="20" bestFit="1" customWidth="1"/>
    <col min="8" max="8" width="20.125" bestFit="1" customWidth="1"/>
    <col min="9" max="9" width="19.875" bestFit="1" customWidth="1"/>
    <col min="10" max="10" width="22.625" bestFit="1" customWidth="1"/>
    <col min="11" max="11" width="17.875" bestFit="1" customWidth="1"/>
    <col min="12" max="12" width="20.5" bestFit="1" customWidth="1"/>
    <col min="13" max="13" width="14.25" bestFit="1" customWidth="1"/>
    <col min="14" max="14" width="21.75" bestFit="1" customWidth="1"/>
    <col min="15" max="15" width="17.375" bestFit="1" customWidth="1"/>
    <col min="16" max="16" width="26.375" customWidth="1"/>
    <col min="17" max="17" width="25.625" customWidth="1"/>
    <col min="18" max="18" width="23.125" customWidth="1"/>
    <col min="19" max="19" width="18" customWidth="1"/>
    <col min="20" max="20" width="18.375" customWidth="1"/>
    <col min="21" max="21" width="16.125" bestFit="1" customWidth="1"/>
    <col min="22" max="22" width="16.125" customWidth="1"/>
    <col min="23" max="23" width="16.125" bestFit="1" customWidth="1"/>
    <col min="24" max="24" width="16.125" customWidth="1"/>
    <col min="25" max="30" width="16.125" bestFit="1" customWidth="1"/>
    <col min="31" max="31" width="23.25" bestFit="1" customWidth="1"/>
    <col min="32" max="32" width="29.625" bestFit="1" customWidth="1"/>
    <col min="33" max="33" width="16.75" bestFit="1" customWidth="1"/>
    <col min="34" max="34" width="11.875" bestFit="1" customWidth="1"/>
    <col min="35" max="35" width="17.125" bestFit="1" customWidth="1"/>
    <col min="36" max="36" width="12.75" bestFit="1" customWidth="1"/>
    <col min="37" max="37" width="16.625" bestFit="1" customWidth="1"/>
    <col min="38" max="38" width="11.375" bestFit="1" customWidth="1"/>
    <col min="39" max="39" width="16.375" bestFit="1" customWidth="1"/>
    <col min="40" max="40" width="12.5" bestFit="1" customWidth="1"/>
  </cols>
  <sheetData>
    <row r="1" spans="1:24">
      <c r="A1" s="15" t="s">
        <v>45</v>
      </c>
      <c r="B1" t="s">
        <v>43</v>
      </c>
    </row>
    <row r="3" spans="1:24">
      <c r="A3" s="15" t="s">
        <v>47</v>
      </c>
      <c r="B3" t="s">
        <v>49</v>
      </c>
      <c r="C3" t="s">
        <v>53</v>
      </c>
      <c r="D3" t="s">
        <v>50</v>
      </c>
      <c r="E3" t="s">
        <v>51</v>
      </c>
      <c r="F3" t="s">
        <v>52</v>
      </c>
      <c r="G3" t="s">
        <v>54</v>
      </c>
      <c r="H3" t="s">
        <v>55</v>
      </c>
      <c r="I3" t="s">
        <v>56</v>
      </c>
      <c r="J3" t="s">
        <v>57</v>
      </c>
      <c r="K3" t="s">
        <v>58</v>
      </c>
      <c r="L3" t="s">
        <v>59</v>
      </c>
      <c r="M3" t="s">
        <v>60</v>
      </c>
      <c r="N3" t="s">
        <v>61</v>
      </c>
      <c r="O3" t="s">
        <v>62</v>
      </c>
      <c r="P3" t="s">
        <v>105</v>
      </c>
      <c r="Q3" t="s">
        <v>109</v>
      </c>
      <c r="R3" t="s">
        <v>110</v>
      </c>
      <c r="S3" t="s">
        <v>111</v>
      </c>
      <c r="T3" t="s">
        <v>117</v>
      </c>
      <c r="U3" t="s">
        <v>118</v>
      </c>
      <c r="V3" t="s">
        <v>136</v>
      </c>
      <c r="W3" t="s">
        <v>137</v>
      </c>
      <c r="X3" t="s">
        <v>142</v>
      </c>
    </row>
    <row r="4" spans="1:24">
      <c r="A4" s="16">
        <v>1</v>
      </c>
      <c r="B4" s="25">
        <v>542</v>
      </c>
      <c r="C4" s="3">
        <v>0.27400000000000002</v>
      </c>
      <c r="D4" s="25">
        <v>319.2</v>
      </c>
      <c r="E4" s="25">
        <v>466.79999999999995</v>
      </c>
      <c r="F4" s="25">
        <v>598.79999999999995</v>
      </c>
      <c r="G4" s="3">
        <v>0.67</v>
      </c>
      <c r="H4" s="3">
        <v>0.19</v>
      </c>
      <c r="I4" s="3">
        <v>0.31</v>
      </c>
      <c r="J4" s="3">
        <v>0.19</v>
      </c>
      <c r="K4" s="3">
        <v>0.31</v>
      </c>
      <c r="L4" s="3">
        <v>0.74</v>
      </c>
      <c r="M4" s="3">
        <v>0.81</v>
      </c>
      <c r="N4" s="3">
        <v>0.64</v>
      </c>
      <c r="O4" s="3">
        <v>0.44</v>
      </c>
      <c r="P4" s="25">
        <v>621</v>
      </c>
      <c r="Q4" s="25">
        <v>446</v>
      </c>
      <c r="R4" s="25">
        <v>605</v>
      </c>
      <c r="S4" s="25">
        <v>640</v>
      </c>
      <c r="T4" s="25">
        <v>137</v>
      </c>
      <c r="U4" s="25">
        <v>73</v>
      </c>
      <c r="V4" s="25">
        <v>54</v>
      </c>
      <c r="W4" s="25">
        <v>95</v>
      </c>
      <c r="X4" s="25">
        <v>69</v>
      </c>
    </row>
    <row r="5" spans="1:24">
      <c r="A5" s="16">
        <v>2</v>
      </c>
      <c r="B5" s="25">
        <v>314</v>
      </c>
      <c r="C5" s="3">
        <v>0.33399999999999996</v>
      </c>
      <c r="D5" s="25">
        <v>291.2</v>
      </c>
      <c r="E5" s="25">
        <v>572</v>
      </c>
      <c r="F5" s="25">
        <v>864</v>
      </c>
      <c r="G5" s="3">
        <v>0.59</v>
      </c>
      <c r="H5" s="3">
        <v>0.42</v>
      </c>
      <c r="I5" s="3">
        <v>0.21</v>
      </c>
      <c r="J5" s="3">
        <v>0.28999999999999998</v>
      </c>
      <c r="K5" s="3">
        <v>0.08</v>
      </c>
      <c r="L5" s="3">
        <v>1.19</v>
      </c>
      <c r="M5" s="3">
        <v>1.07</v>
      </c>
      <c r="N5" s="3">
        <v>0.54</v>
      </c>
      <c r="O5" s="3">
        <v>0.66</v>
      </c>
      <c r="P5" s="25">
        <v>811</v>
      </c>
      <c r="Q5" s="25">
        <v>160</v>
      </c>
      <c r="R5" s="25">
        <v>663</v>
      </c>
      <c r="S5" s="25">
        <v>944</v>
      </c>
      <c r="T5" s="25">
        <v>115</v>
      </c>
      <c r="U5" s="25">
        <v>102</v>
      </c>
      <c r="V5" s="25">
        <v>36</v>
      </c>
      <c r="W5" s="25">
        <v>65</v>
      </c>
      <c r="X5" s="25">
        <v>106</v>
      </c>
    </row>
    <row r="6" spans="1:24">
      <c r="A6" s="16">
        <v>3</v>
      </c>
      <c r="B6" s="25">
        <v>452</v>
      </c>
      <c r="C6" s="3">
        <v>0.193</v>
      </c>
      <c r="D6" s="25">
        <v>144.5</v>
      </c>
      <c r="E6" s="25">
        <v>294.5</v>
      </c>
      <c r="F6" s="25">
        <v>610</v>
      </c>
      <c r="G6" s="3">
        <v>0.55000000000000004</v>
      </c>
      <c r="H6" s="3">
        <v>0.14000000000000001</v>
      </c>
      <c r="I6" s="3">
        <v>0.26</v>
      </c>
      <c r="J6" s="3">
        <v>0.24</v>
      </c>
      <c r="K6" s="3">
        <v>0.36</v>
      </c>
      <c r="L6" s="3">
        <v>0.87</v>
      </c>
      <c r="M6" s="3">
        <v>0.75</v>
      </c>
      <c r="N6" s="3">
        <v>0.88</v>
      </c>
      <c r="O6" s="3">
        <v>0.42</v>
      </c>
      <c r="P6" s="25">
        <v>843</v>
      </c>
      <c r="Q6" s="25">
        <v>154</v>
      </c>
      <c r="R6" s="25">
        <v>659</v>
      </c>
      <c r="S6" s="25">
        <v>734</v>
      </c>
      <c r="T6" s="25">
        <v>54</v>
      </c>
      <c r="U6" s="25">
        <v>221</v>
      </c>
      <c r="V6" s="25">
        <v>46</v>
      </c>
      <c r="W6" s="25">
        <v>85</v>
      </c>
      <c r="X6" s="25">
        <v>145</v>
      </c>
    </row>
    <row r="7" spans="1:24">
      <c r="A7" s="16">
        <v>4</v>
      </c>
      <c r="B7" s="25">
        <v>452</v>
      </c>
      <c r="C7" s="3">
        <v>0.152</v>
      </c>
      <c r="D7" s="25">
        <v>206.5</v>
      </c>
      <c r="E7" s="25">
        <v>467.59999999999997</v>
      </c>
      <c r="F7" s="25">
        <v>850.5</v>
      </c>
      <c r="G7" s="3">
        <v>0.67</v>
      </c>
      <c r="H7" s="3">
        <v>0.3</v>
      </c>
      <c r="I7" s="3">
        <v>0.21</v>
      </c>
      <c r="J7" s="3">
        <v>0.28999999999999998</v>
      </c>
      <c r="K7" s="3">
        <v>0.2</v>
      </c>
      <c r="L7" s="3">
        <v>0.85</v>
      </c>
      <c r="M7" s="3">
        <v>0.99</v>
      </c>
      <c r="N7" s="3">
        <v>0.73</v>
      </c>
      <c r="O7" s="3">
        <v>0.3</v>
      </c>
      <c r="P7" s="25">
        <v>732</v>
      </c>
      <c r="Q7" s="25">
        <v>408</v>
      </c>
      <c r="R7" s="25">
        <v>423</v>
      </c>
      <c r="S7" s="25">
        <v>728</v>
      </c>
      <c r="T7" s="25">
        <v>82</v>
      </c>
      <c r="U7" s="25">
        <v>205</v>
      </c>
      <c r="V7" s="25">
        <v>103</v>
      </c>
      <c r="W7" s="25">
        <v>59</v>
      </c>
      <c r="X7" s="25">
        <v>216</v>
      </c>
    </row>
    <row r="8" spans="1:24">
      <c r="A8" s="16">
        <v>5</v>
      </c>
      <c r="B8" s="25">
        <v>680</v>
      </c>
      <c r="C8" s="3">
        <v>0.26400000000000001</v>
      </c>
      <c r="D8" s="25">
        <v>242.2</v>
      </c>
      <c r="E8" s="25">
        <v>468.99999999999994</v>
      </c>
      <c r="F8" s="25">
        <v>700</v>
      </c>
      <c r="G8" s="3">
        <v>0.79</v>
      </c>
      <c r="H8" s="3">
        <v>0.26</v>
      </c>
      <c r="I8" s="3">
        <v>0.13</v>
      </c>
      <c r="J8" s="3">
        <v>0.37</v>
      </c>
      <c r="K8" s="3">
        <v>0.24</v>
      </c>
      <c r="L8" s="3">
        <v>0.96000000000000008</v>
      </c>
      <c r="M8" s="3">
        <v>0.85</v>
      </c>
      <c r="N8" s="3">
        <v>0.6</v>
      </c>
      <c r="O8" s="3">
        <v>0.4</v>
      </c>
      <c r="P8" s="25">
        <v>471</v>
      </c>
      <c r="Q8" s="25">
        <v>515</v>
      </c>
      <c r="R8" s="25">
        <v>324</v>
      </c>
      <c r="S8" s="25">
        <v>704</v>
      </c>
      <c r="T8" s="25">
        <v>98</v>
      </c>
      <c r="U8" s="25">
        <v>225</v>
      </c>
      <c r="V8" s="25">
        <v>80</v>
      </c>
      <c r="W8" s="25">
        <v>28</v>
      </c>
      <c r="X8" s="25">
        <v>128</v>
      </c>
    </row>
    <row r="9" spans="1:24">
      <c r="A9" s="16">
        <v>6</v>
      </c>
      <c r="B9" s="25">
        <v>652</v>
      </c>
      <c r="C9" s="3">
        <v>0.25600000000000001</v>
      </c>
      <c r="D9" s="25">
        <v>222</v>
      </c>
      <c r="E9" s="25">
        <v>352.8</v>
      </c>
      <c r="F9" s="25">
        <v>552</v>
      </c>
      <c r="G9" s="3">
        <v>0.67</v>
      </c>
      <c r="H9" s="3">
        <v>0.24</v>
      </c>
      <c r="I9" s="3">
        <v>0.1</v>
      </c>
      <c r="J9" s="3">
        <v>0.4</v>
      </c>
      <c r="K9" s="3">
        <v>0.26</v>
      </c>
      <c r="L9" s="3">
        <v>1.1499999999999999</v>
      </c>
      <c r="M9" s="3">
        <v>1.01</v>
      </c>
      <c r="N9" s="3">
        <v>0.8</v>
      </c>
      <c r="O9" s="3">
        <v>0.53</v>
      </c>
      <c r="P9" s="25">
        <v>348</v>
      </c>
      <c r="Q9" s="25">
        <v>494</v>
      </c>
      <c r="R9" s="25">
        <v>342</v>
      </c>
      <c r="S9" s="25">
        <v>662</v>
      </c>
      <c r="T9" s="25">
        <v>105</v>
      </c>
      <c r="U9" s="25">
        <v>150</v>
      </c>
      <c r="V9" s="25">
        <v>22</v>
      </c>
      <c r="W9" s="25">
        <v>18</v>
      </c>
      <c r="X9" s="25">
        <v>184</v>
      </c>
    </row>
    <row r="10" spans="1:24">
      <c r="A10" s="16">
        <v>7</v>
      </c>
      <c r="B10" s="25">
        <v>464</v>
      </c>
      <c r="C10" s="3">
        <v>0.27500000000000002</v>
      </c>
      <c r="D10" s="25">
        <v>226.79999999999998</v>
      </c>
      <c r="E10" s="25">
        <v>373.79999999999995</v>
      </c>
      <c r="F10" s="25">
        <v>626.5</v>
      </c>
      <c r="G10" s="3">
        <v>0.62</v>
      </c>
      <c r="H10" s="3">
        <v>0.43</v>
      </c>
      <c r="I10" s="3">
        <v>0.05</v>
      </c>
      <c r="J10" s="3">
        <v>0.45</v>
      </c>
      <c r="K10" s="3">
        <v>7.0000000000000007E-2</v>
      </c>
      <c r="L10" s="3">
        <v>0.84</v>
      </c>
      <c r="M10" s="3">
        <v>0.71</v>
      </c>
      <c r="N10" s="3">
        <v>0.81</v>
      </c>
      <c r="O10" s="3">
        <v>0.5</v>
      </c>
      <c r="P10" s="25">
        <v>522</v>
      </c>
      <c r="Q10" s="25">
        <v>441</v>
      </c>
      <c r="R10" s="25">
        <v>506</v>
      </c>
      <c r="S10" s="25">
        <v>900</v>
      </c>
      <c r="T10" s="25">
        <v>210</v>
      </c>
      <c r="U10" s="25">
        <v>53</v>
      </c>
      <c r="V10" s="25">
        <v>38</v>
      </c>
      <c r="W10" s="25">
        <v>77</v>
      </c>
      <c r="X10" s="25">
        <v>177</v>
      </c>
    </row>
    <row r="11" spans="1:24">
      <c r="A11" s="16">
        <v>8</v>
      </c>
      <c r="B11" s="25">
        <v>512</v>
      </c>
      <c r="C11" s="3">
        <v>0.22</v>
      </c>
      <c r="D11" s="25">
        <v>135.6</v>
      </c>
      <c r="E11" s="25">
        <v>345.59999999999997</v>
      </c>
      <c r="F11" s="25">
        <v>573.6</v>
      </c>
      <c r="G11" s="3">
        <v>0.61</v>
      </c>
      <c r="H11" s="3">
        <v>0.28000000000000003</v>
      </c>
      <c r="I11" s="3">
        <v>0.34</v>
      </c>
      <c r="J11" s="3">
        <v>0.16</v>
      </c>
      <c r="K11" s="3">
        <v>0.22</v>
      </c>
      <c r="L11" s="3">
        <v>1.0899999999999999</v>
      </c>
      <c r="M11" s="3">
        <v>1.02</v>
      </c>
      <c r="N11" s="3">
        <v>0.65</v>
      </c>
      <c r="O11" s="3">
        <v>0.51</v>
      </c>
      <c r="P11" s="25">
        <v>1012</v>
      </c>
      <c r="Q11" s="25">
        <v>203</v>
      </c>
      <c r="R11" s="25">
        <v>716</v>
      </c>
      <c r="S11" s="25">
        <v>929</v>
      </c>
      <c r="T11" s="25">
        <v>79</v>
      </c>
      <c r="U11" s="25">
        <v>108</v>
      </c>
      <c r="V11" s="25">
        <v>0</v>
      </c>
      <c r="W11" s="25">
        <v>47</v>
      </c>
      <c r="X11" s="25">
        <v>302</v>
      </c>
    </row>
    <row r="12" spans="1:24">
      <c r="A12" s="16">
        <v>9</v>
      </c>
      <c r="B12" s="25">
        <v>380</v>
      </c>
      <c r="C12" s="3">
        <v>0.26900000000000002</v>
      </c>
      <c r="D12" s="25">
        <v>87</v>
      </c>
      <c r="E12" s="25">
        <v>342</v>
      </c>
      <c r="F12" s="25">
        <v>536</v>
      </c>
      <c r="G12" s="3">
        <v>0.51</v>
      </c>
      <c r="H12" s="3">
        <v>0.44</v>
      </c>
      <c r="I12" s="3">
        <v>0.09</v>
      </c>
      <c r="J12" s="3">
        <v>0.41</v>
      </c>
      <c r="K12" s="3">
        <v>0.06</v>
      </c>
      <c r="L12" s="3">
        <v>0.96000000000000008</v>
      </c>
      <c r="M12" s="3">
        <v>0.87</v>
      </c>
      <c r="N12" s="3">
        <v>0.59</v>
      </c>
      <c r="O12" s="3">
        <v>0.52</v>
      </c>
      <c r="P12" s="25">
        <v>1230</v>
      </c>
      <c r="Q12" s="25">
        <v>216</v>
      </c>
      <c r="R12" s="25">
        <v>722</v>
      </c>
      <c r="S12" s="25">
        <v>829</v>
      </c>
      <c r="T12" s="25">
        <v>42</v>
      </c>
      <c r="U12" s="25">
        <v>116</v>
      </c>
      <c r="V12" s="25">
        <v>60</v>
      </c>
      <c r="W12" s="25">
        <v>79</v>
      </c>
      <c r="X12" s="25">
        <v>313</v>
      </c>
    </row>
    <row r="13" spans="1:24">
      <c r="A13" s="16">
        <v>10</v>
      </c>
      <c r="B13" s="25">
        <v>767</v>
      </c>
      <c r="C13" s="3">
        <v>0.32800000000000001</v>
      </c>
      <c r="D13" s="25">
        <v>133</v>
      </c>
      <c r="E13" s="25">
        <v>515.19999999999993</v>
      </c>
      <c r="F13" s="25">
        <v>758.8</v>
      </c>
      <c r="G13" s="3">
        <v>0.5</v>
      </c>
      <c r="H13" s="3">
        <v>0.28000000000000003</v>
      </c>
      <c r="I13" s="3">
        <v>0.15</v>
      </c>
      <c r="J13" s="3">
        <v>0.35</v>
      </c>
      <c r="K13" s="3">
        <v>0.22</v>
      </c>
      <c r="L13" s="3">
        <v>0.88</v>
      </c>
      <c r="M13" s="3">
        <v>0.71</v>
      </c>
      <c r="N13" s="3">
        <v>0.93</v>
      </c>
      <c r="O13" s="3">
        <v>0.7</v>
      </c>
      <c r="P13" s="25">
        <v>1056</v>
      </c>
      <c r="Q13" s="25">
        <v>400</v>
      </c>
      <c r="R13" s="25">
        <v>500</v>
      </c>
      <c r="S13" s="25">
        <v>736</v>
      </c>
      <c r="T13" s="25">
        <v>74</v>
      </c>
      <c r="U13" s="25">
        <v>150</v>
      </c>
      <c r="V13" s="25">
        <v>43</v>
      </c>
      <c r="W13" s="25">
        <v>121</v>
      </c>
      <c r="X13" s="25">
        <v>140</v>
      </c>
    </row>
    <row r="14" spans="1:24">
      <c r="A14" s="16">
        <v>11</v>
      </c>
      <c r="B14" s="25">
        <v>638</v>
      </c>
      <c r="C14" s="3">
        <v>0.36399999999999999</v>
      </c>
      <c r="D14" s="25">
        <v>176.39999999999998</v>
      </c>
      <c r="E14" s="25">
        <v>496.99999999999994</v>
      </c>
      <c r="F14" s="25">
        <v>697.9</v>
      </c>
      <c r="G14" s="3">
        <v>0.53</v>
      </c>
      <c r="H14" s="3">
        <v>0.18</v>
      </c>
      <c r="I14" s="3">
        <v>0.17</v>
      </c>
      <c r="J14" s="3">
        <v>0.33</v>
      </c>
      <c r="K14" s="3">
        <v>0.32</v>
      </c>
      <c r="L14" s="3">
        <v>1.0999999999999999</v>
      </c>
      <c r="M14" s="3">
        <v>0.98</v>
      </c>
      <c r="N14" s="3">
        <v>0.54</v>
      </c>
      <c r="O14" s="3">
        <v>0.63</v>
      </c>
      <c r="P14" s="25">
        <v>820</v>
      </c>
      <c r="Q14" s="25">
        <v>395</v>
      </c>
      <c r="R14" s="25">
        <v>508</v>
      </c>
      <c r="S14" s="25">
        <v>619</v>
      </c>
      <c r="T14" s="25">
        <v>68</v>
      </c>
      <c r="U14" s="25">
        <v>149</v>
      </c>
      <c r="V14" s="25">
        <v>41</v>
      </c>
      <c r="W14" s="25">
        <v>83</v>
      </c>
      <c r="X14" s="25">
        <v>209</v>
      </c>
    </row>
    <row r="15" spans="1:24">
      <c r="A15" s="16">
        <v>12</v>
      </c>
      <c r="B15" s="25">
        <v>548</v>
      </c>
      <c r="C15" s="3">
        <v>0.35699999999999998</v>
      </c>
      <c r="D15" s="25">
        <v>183.5</v>
      </c>
      <c r="E15" s="25">
        <v>314</v>
      </c>
      <c r="F15" s="25">
        <v>410.5</v>
      </c>
      <c r="G15" s="3">
        <v>0.8</v>
      </c>
      <c r="H15" s="3">
        <v>0.42</v>
      </c>
      <c r="I15" s="3">
        <v>0.16</v>
      </c>
      <c r="J15" s="3">
        <v>0.34</v>
      </c>
      <c r="K15" s="3">
        <v>0.08</v>
      </c>
      <c r="L15" s="3">
        <v>1.1599999999999999</v>
      </c>
      <c r="M15" s="3">
        <v>0.9</v>
      </c>
      <c r="N15" s="3">
        <v>0.54</v>
      </c>
      <c r="O15" s="3">
        <v>0.43</v>
      </c>
      <c r="P15" s="25">
        <v>907</v>
      </c>
      <c r="Q15" s="25">
        <v>347</v>
      </c>
      <c r="R15" s="25">
        <v>543</v>
      </c>
      <c r="S15" s="25">
        <v>656</v>
      </c>
      <c r="T15" s="25">
        <v>68</v>
      </c>
      <c r="U15" s="25">
        <v>80</v>
      </c>
      <c r="V15" s="25">
        <v>30</v>
      </c>
      <c r="W15" s="25">
        <v>147</v>
      </c>
      <c r="X15" s="25">
        <v>81</v>
      </c>
    </row>
    <row r="16" spans="1:24">
      <c r="A16" s="16" t="s">
        <v>48</v>
      </c>
      <c r="B16" s="25">
        <v>6401</v>
      </c>
      <c r="C16" s="3">
        <v>0.27383333333333332</v>
      </c>
      <c r="D16" s="25">
        <v>2367.8999999999996</v>
      </c>
      <c r="E16" s="25">
        <v>5010.3</v>
      </c>
      <c r="F16" s="25">
        <v>7778.6</v>
      </c>
      <c r="G16" s="3">
        <v>0.62583333333333335</v>
      </c>
      <c r="H16" s="3">
        <v>0.29833333333333328</v>
      </c>
      <c r="I16" s="3">
        <v>0.18166666666666673</v>
      </c>
      <c r="J16" s="3">
        <v>0.31833333333333336</v>
      </c>
      <c r="K16" s="3">
        <v>0.20166666666666666</v>
      </c>
      <c r="L16" s="3">
        <v>0.98250000000000004</v>
      </c>
      <c r="M16" s="3">
        <v>0.88916666666666666</v>
      </c>
      <c r="N16" s="3">
        <v>0.6875</v>
      </c>
      <c r="O16" s="3">
        <v>0.5033333333333333</v>
      </c>
      <c r="P16" s="25">
        <v>9373</v>
      </c>
      <c r="Q16" s="25">
        <v>4179</v>
      </c>
      <c r="R16" s="25">
        <v>6511</v>
      </c>
      <c r="S16" s="25">
        <v>9081</v>
      </c>
      <c r="T16" s="25">
        <v>1132</v>
      </c>
      <c r="U16" s="25">
        <v>1632</v>
      </c>
      <c r="V16" s="25">
        <v>553</v>
      </c>
      <c r="W16" s="25">
        <v>904</v>
      </c>
      <c r="X16" s="25">
        <v>2070</v>
      </c>
    </row>
    <row r="18" spans="1:24">
      <c r="A18" s="15" t="s">
        <v>45</v>
      </c>
      <c r="B18" t="s">
        <v>44</v>
      </c>
    </row>
    <row r="20" spans="1:24">
      <c r="A20" s="15" t="s">
        <v>47</v>
      </c>
      <c r="B20" t="s">
        <v>49</v>
      </c>
      <c r="C20" t="s">
        <v>53</v>
      </c>
      <c r="D20" t="s">
        <v>50</v>
      </c>
      <c r="E20" t="s">
        <v>51</v>
      </c>
      <c r="F20" t="s">
        <v>52</v>
      </c>
      <c r="G20" t="s">
        <v>54</v>
      </c>
      <c r="H20" t="s">
        <v>55</v>
      </c>
      <c r="I20" t="s">
        <v>56</v>
      </c>
      <c r="J20" t="s">
        <v>57</v>
      </c>
      <c r="K20" t="s">
        <v>58</v>
      </c>
      <c r="L20" t="s">
        <v>59</v>
      </c>
      <c r="M20" t="s">
        <v>60</v>
      </c>
      <c r="N20" t="s">
        <v>61</v>
      </c>
      <c r="O20" t="s">
        <v>62</v>
      </c>
      <c r="P20" t="s">
        <v>105</v>
      </c>
      <c r="Q20" t="s">
        <v>109</v>
      </c>
      <c r="R20" t="s">
        <v>110</v>
      </c>
      <c r="S20" t="s">
        <v>111</v>
      </c>
      <c r="T20" t="s">
        <v>117</v>
      </c>
      <c r="U20" t="s">
        <v>118</v>
      </c>
      <c r="V20" t="s">
        <v>136</v>
      </c>
      <c r="W20" t="s">
        <v>137</v>
      </c>
      <c r="X20" t="s">
        <v>142</v>
      </c>
    </row>
    <row r="21" spans="1:24">
      <c r="A21" s="16">
        <v>1</v>
      </c>
      <c r="B21" s="25">
        <v>272</v>
      </c>
      <c r="C21" s="3">
        <v>0.30400000000000005</v>
      </c>
      <c r="D21" s="25">
        <v>212.8</v>
      </c>
      <c r="E21" s="25">
        <v>311.20000000000005</v>
      </c>
      <c r="F21" s="25">
        <v>399.20000000000005</v>
      </c>
      <c r="G21" s="3">
        <v>0.52</v>
      </c>
      <c r="H21" s="3">
        <v>0.22</v>
      </c>
      <c r="I21" s="3">
        <v>0.27</v>
      </c>
      <c r="J21" s="3">
        <v>0.23</v>
      </c>
      <c r="K21" s="3">
        <v>0.28000000000000003</v>
      </c>
      <c r="L21" s="3">
        <v>1.0699999999999998</v>
      </c>
      <c r="M21" s="3">
        <v>0.68</v>
      </c>
      <c r="N21" s="3">
        <v>0.79</v>
      </c>
      <c r="O21" s="3">
        <v>0.12</v>
      </c>
      <c r="P21" s="25">
        <v>207</v>
      </c>
      <c r="Q21" s="25">
        <v>45</v>
      </c>
      <c r="R21" s="25">
        <v>32</v>
      </c>
      <c r="S21" s="25">
        <v>262</v>
      </c>
      <c r="T21" s="25">
        <v>836</v>
      </c>
      <c r="U21" s="25">
        <v>649</v>
      </c>
      <c r="V21" s="25">
        <v>46</v>
      </c>
      <c r="W21" s="25">
        <v>63</v>
      </c>
      <c r="X21" s="25">
        <v>150</v>
      </c>
    </row>
    <row r="22" spans="1:24">
      <c r="A22" s="16">
        <v>2</v>
      </c>
      <c r="B22" s="25">
        <v>548</v>
      </c>
      <c r="C22" s="3">
        <v>0.30399999999999999</v>
      </c>
      <c r="D22" s="25">
        <v>72.800000000000011</v>
      </c>
      <c r="E22" s="25">
        <v>143</v>
      </c>
      <c r="F22" s="25">
        <v>216</v>
      </c>
      <c r="G22" s="3">
        <v>0.61</v>
      </c>
      <c r="H22" s="3">
        <v>0.34</v>
      </c>
      <c r="I22" s="3">
        <v>0.38</v>
      </c>
      <c r="J22" s="3">
        <v>0.12</v>
      </c>
      <c r="K22" s="3">
        <v>0.16</v>
      </c>
      <c r="L22" s="3">
        <v>0.70000000000000007</v>
      </c>
      <c r="M22" s="3">
        <v>0.92</v>
      </c>
      <c r="N22" s="3">
        <v>0.65</v>
      </c>
      <c r="O22" s="3">
        <v>0.15</v>
      </c>
      <c r="P22" s="25">
        <v>271</v>
      </c>
      <c r="Q22" s="25">
        <v>43</v>
      </c>
      <c r="R22" s="25">
        <v>127</v>
      </c>
      <c r="S22" s="25">
        <v>61</v>
      </c>
      <c r="T22" s="25">
        <v>599</v>
      </c>
      <c r="U22" s="25">
        <v>623</v>
      </c>
      <c r="V22" s="25">
        <v>51</v>
      </c>
      <c r="W22" s="25">
        <v>65</v>
      </c>
      <c r="X22" s="25">
        <v>132</v>
      </c>
    </row>
    <row r="23" spans="1:24">
      <c r="A23" s="16">
        <v>3</v>
      </c>
      <c r="B23" s="25">
        <v>536</v>
      </c>
      <c r="C23" s="3">
        <v>0.222</v>
      </c>
      <c r="D23" s="25">
        <v>144.5</v>
      </c>
      <c r="E23" s="25">
        <v>294.5</v>
      </c>
      <c r="F23" s="25">
        <v>610</v>
      </c>
      <c r="G23" s="3">
        <v>0.77</v>
      </c>
      <c r="H23" s="3">
        <v>0.09</v>
      </c>
      <c r="I23" s="3">
        <v>0.11</v>
      </c>
      <c r="J23" s="3">
        <v>0.39</v>
      </c>
      <c r="K23" s="3">
        <v>0.41</v>
      </c>
      <c r="L23" s="3">
        <v>1.0999999999999999</v>
      </c>
      <c r="M23" s="3">
        <v>0.87</v>
      </c>
      <c r="N23" s="3">
        <v>0.56999999999999995</v>
      </c>
      <c r="O23" s="3">
        <v>0.23</v>
      </c>
      <c r="P23" s="25">
        <v>281</v>
      </c>
      <c r="Q23" s="25">
        <v>49</v>
      </c>
      <c r="R23" s="25">
        <v>90</v>
      </c>
      <c r="S23" s="25">
        <v>232</v>
      </c>
      <c r="T23" s="25">
        <v>484</v>
      </c>
      <c r="U23" s="25">
        <v>595</v>
      </c>
      <c r="V23" s="25">
        <v>33</v>
      </c>
      <c r="W23" s="25">
        <v>101</v>
      </c>
      <c r="X23" s="25">
        <v>108</v>
      </c>
    </row>
    <row r="24" spans="1:24">
      <c r="A24" s="16">
        <v>4</v>
      </c>
      <c r="B24" s="25">
        <v>602</v>
      </c>
      <c r="C24" s="3">
        <v>0.18099999999999999</v>
      </c>
      <c r="D24" s="25">
        <v>88.5</v>
      </c>
      <c r="E24" s="25">
        <v>200.40000000000003</v>
      </c>
      <c r="F24" s="25">
        <v>364.5</v>
      </c>
      <c r="G24" s="3">
        <v>0.65</v>
      </c>
      <c r="H24" s="3">
        <v>0.36</v>
      </c>
      <c r="I24" s="3">
        <v>0.24</v>
      </c>
      <c r="J24" s="3">
        <v>0.26</v>
      </c>
      <c r="K24" s="3">
        <v>0.14000000000000001</v>
      </c>
      <c r="L24" s="3">
        <v>1.19</v>
      </c>
      <c r="M24" s="3">
        <v>0.82</v>
      </c>
      <c r="N24" s="3">
        <v>0.87</v>
      </c>
      <c r="O24" s="3">
        <v>0.12</v>
      </c>
      <c r="P24" s="25">
        <v>244</v>
      </c>
      <c r="Q24" s="25">
        <v>90</v>
      </c>
      <c r="R24" s="25">
        <v>81</v>
      </c>
      <c r="S24" s="25">
        <v>64</v>
      </c>
      <c r="T24" s="25">
        <v>427</v>
      </c>
      <c r="U24" s="25">
        <v>725</v>
      </c>
      <c r="V24" s="25">
        <v>46</v>
      </c>
      <c r="W24" s="25">
        <v>112</v>
      </c>
      <c r="X24" s="25">
        <v>246</v>
      </c>
    </row>
    <row r="25" spans="1:24">
      <c r="A25" s="16">
        <v>5</v>
      </c>
      <c r="B25" s="25">
        <v>830</v>
      </c>
      <c r="C25" s="3">
        <v>0.16200000000000001</v>
      </c>
      <c r="D25" s="25">
        <v>103.80000000000001</v>
      </c>
      <c r="E25" s="25">
        <v>201.00000000000006</v>
      </c>
      <c r="F25" s="25">
        <v>300</v>
      </c>
      <c r="G25" s="3">
        <v>0.79</v>
      </c>
      <c r="H25" s="3">
        <v>0.2</v>
      </c>
      <c r="I25" s="3">
        <v>0.28000000000000003</v>
      </c>
      <c r="J25" s="3">
        <v>0.22</v>
      </c>
      <c r="K25" s="3">
        <v>0.3</v>
      </c>
      <c r="L25" s="3">
        <v>1.0899999999999999</v>
      </c>
      <c r="M25" s="3">
        <v>0.88</v>
      </c>
      <c r="N25" s="3">
        <v>0.69</v>
      </c>
      <c r="O25" s="3">
        <v>0.15</v>
      </c>
      <c r="P25" s="25">
        <v>157</v>
      </c>
      <c r="Q25" s="25">
        <v>154</v>
      </c>
      <c r="R25" s="25">
        <v>49</v>
      </c>
      <c r="S25" s="25">
        <v>38</v>
      </c>
      <c r="T25" s="25">
        <v>476</v>
      </c>
      <c r="U25" s="25">
        <v>673</v>
      </c>
      <c r="V25" s="25">
        <v>55</v>
      </c>
      <c r="W25" s="25">
        <v>83</v>
      </c>
      <c r="X25" s="25">
        <v>204</v>
      </c>
    </row>
    <row r="26" spans="1:24">
      <c r="A26" s="16">
        <v>6</v>
      </c>
      <c r="B26" s="25">
        <v>884</v>
      </c>
      <c r="C26" s="3">
        <v>0.157</v>
      </c>
      <c r="D26" s="25">
        <v>148</v>
      </c>
      <c r="E26" s="25">
        <v>235.2</v>
      </c>
      <c r="F26" s="25">
        <v>368</v>
      </c>
      <c r="G26" s="3">
        <v>0.8</v>
      </c>
      <c r="H26" s="3">
        <v>0.11</v>
      </c>
      <c r="I26" s="3">
        <v>0.27</v>
      </c>
      <c r="J26" s="3">
        <v>0.23</v>
      </c>
      <c r="K26" s="3">
        <v>0.39</v>
      </c>
      <c r="L26" s="3">
        <v>1.17</v>
      </c>
      <c r="M26" s="3">
        <v>0.94</v>
      </c>
      <c r="N26" s="3">
        <v>0.87</v>
      </c>
      <c r="O26" s="3">
        <v>0.17</v>
      </c>
      <c r="P26" s="25">
        <v>116</v>
      </c>
      <c r="Q26" s="25">
        <v>165</v>
      </c>
      <c r="R26" s="25">
        <v>52</v>
      </c>
      <c r="S26" s="25">
        <v>176</v>
      </c>
      <c r="T26" s="25">
        <v>546</v>
      </c>
      <c r="U26" s="25">
        <v>500</v>
      </c>
      <c r="V26" s="25">
        <v>52</v>
      </c>
      <c r="W26" s="25">
        <v>32</v>
      </c>
      <c r="X26" s="25">
        <v>108</v>
      </c>
    </row>
    <row r="27" spans="1:24">
      <c r="A27" s="16">
        <v>7</v>
      </c>
      <c r="B27" s="25">
        <v>626</v>
      </c>
      <c r="C27" s="3">
        <v>0.30500000000000005</v>
      </c>
      <c r="D27" s="25">
        <v>97.200000000000017</v>
      </c>
      <c r="E27" s="25">
        <v>160.20000000000005</v>
      </c>
      <c r="F27" s="25">
        <v>268.5</v>
      </c>
      <c r="G27" s="3">
        <v>0.67</v>
      </c>
      <c r="H27" s="3">
        <v>7.0000000000000007E-2</v>
      </c>
      <c r="I27" s="3">
        <v>0.24</v>
      </c>
      <c r="J27" s="3">
        <v>0.26</v>
      </c>
      <c r="K27" s="3">
        <v>0.43</v>
      </c>
      <c r="L27" s="3">
        <v>0.70000000000000007</v>
      </c>
      <c r="M27" s="3">
        <v>1</v>
      </c>
      <c r="N27" s="3">
        <v>0.65</v>
      </c>
      <c r="O27" s="3">
        <v>0.16</v>
      </c>
      <c r="P27" s="25">
        <v>174</v>
      </c>
      <c r="Q27" s="25">
        <v>97</v>
      </c>
      <c r="R27" s="25">
        <v>112</v>
      </c>
      <c r="S27" s="25">
        <v>79</v>
      </c>
      <c r="T27" s="25">
        <v>489</v>
      </c>
      <c r="U27" s="25">
        <v>382</v>
      </c>
      <c r="V27" s="25">
        <v>40</v>
      </c>
      <c r="W27" s="25">
        <v>24</v>
      </c>
      <c r="X27" s="25">
        <v>276</v>
      </c>
    </row>
    <row r="28" spans="1:24">
      <c r="A28" s="16">
        <v>8</v>
      </c>
      <c r="B28" s="25">
        <v>632</v>
      </c>
      <c r="C28" s="3">
        <v>0.191</v>
      </c>
      <c r="D28" s="25">
        <v>90.4</v>
      </c>
      <c r="E28" s="25">
        <v>230.40000000000003</v>
      </c>
      <c r="F28" s="25">
        <v>382.4</v>
      </c>
      <c r="G28" s="3">
        <v>0.7</v>
      </c>
      <c r="H28" s="3">
        <v>0.03</v>
      </c>
      <c r="I28" s="3">
        <v>0.28000000000000003</v>
      </c>
      <c r="J28" s="3">
        <v>0.22</v>
      </c>
      <c r="K28" s="3">
        <v>0.47</v>
      </c>
      <c r="L28" s="3">
        <v>0.92</v>
      </c>
      <c r="M28" s="3">
        <v>0.75</v>
      </c>
      <c r="N28" s="3">
        <v>0.7</v>
      </c>
      <c r="O28" s="3">
        <v>0.18</v>
      </c>
      <c r="P28" s="25">
        <v>338</v>
      </c>
      <c r="Q28" s="25">
        <v>11</v>
      </c>
      <c r="R28" s="25">
        <v>158</v>
      </c>
      <c r="S28" s="25">
        <v>164</v>
      </c>
      <c r="T28" s="25">
        <v>579</v>
      </c>
      <c r="U28" s="25">
        <v>305</v>
      </c>
      <c r="V28" s="25">
        <v>45</v>
      </c>
      <c r="W28" s="25">
        <v>28</v>
      </c>
      <c r="X28" s="25">
        <v>252</v>
      </c>
    </row>
    <row r="29" spans="1:24">
      <c r="A29" s="16">
        <v>9</v>
      </c>
      <c r="B29" s="25">
        <v>518</v>
      </c>
      <c r="C29" s="3">
        <v>0.29900000000000004</v>
      </c>
      <c r="D29" s="25">
        <v>87</v>
      </c>
      <c r="E29" s="25">
        <v>342</v>
      </c>
      <c r="F29" s="25">
        <v>536</v>
      </c>
      <c r="G29" s="3">
        <v>0.65</v>
      </c>
      <c r="H29" s="3">
        <v>0.2</v>
      </c>
      <c r="I29" s="3">
        <v>0.09</v>
      </c>
      <c r="J29" s="3">
        <v>0.41</v>
      </c>
      <c r="K29" s="3">
        <v>0.3</v>
      </c>
      <c r="L29" s="3">
        <v>1.02</v>
      </c>
      <c r="M29" s="3">
        <v>0.77</v>
      </c>
      <c r="N29" s="3">
        <v>0.57999999999999996</v>
      </c>
      <c r="O29" s="3">
        <v>0.16</v>
      </c>
      <c r="P29" s="25">
        <v>410</v>
      </c>
      <c r="Q29" s="25">
        <v>14</v>
      </c>
      <c r="R29" s="25">
        <v>138</v>
      </c>
      <c r="S29" s="25">
        <v>158</v>
      </c>
      <c r="T29" s="25">
        <v>374</v>
      </c>
      <c r="U29" s="25">
        <v>409</v>
      </c>
      <c r="V29" s="25">
        <v>97</v>
      </c>
      <c r="W29" s="25">
        <v>103</v>
      </c>
      <c r="X29" s="25">
        <v>192</v>
      </c>
    </row>
    <row r="30" spans="1:24">
      <c r="A30" s="16">
        <v>10</v>
      </c>
      <c r="B30" s="25">
        <v>554</v>
      </c>
      <c r="C30" s="3">
        <v>0.35699999999999998</v>
      </c>
      <c r="D30" s="25">
        <v>57</v>
      </c>
      <c r="E30" s="25">
        <v>220.80000000000007</v>
      </c>
      <c r="F30" s="25">
        <v>325.20000000000005</v>
      </c>
      <c r="G30" s="3">
        <v>0.66</v>
      </c>
      <c r="H30" s="3">
        <v>0.28999999999999998</v>
      </c>
      <c r="I30" s="3">
        <v>0.31</v>
      </c>
      <c r="J30" s="3">
        <v>0.19</v>
      </c>
      <c r="K30" s="3">
        <v>0.21</v>
      </c>
      <c r="L30" s="3">
        <v>0.85</v>
      </c>
      <c r="M30" s="3">
        <v>0.77</v>
      </c>
      <c r="N30" s="3">
        <v>0.66</v>
      </c>
      <c r="O30" s="3">
        <v>0.21</v>
      </c>
      <c r="P30" s="25">
        <v>352</v>
      </c>
      <c r="Q30" s="25">
        <v>45</v>
      </c>
      <c r="R30" s="25">
        <v>118</v>
      </c>
      <c r="S30" s="25">
        <v>120</v>
      </c>
      <c r="T30" s="25">
        <v>200</v>
      </c>
      <c r="U30" s="25">
        <v>500</v>
      </c>
      <c r="V30" s="25">
        <v>110</v>
      </c>
      <c r="W30" s="25">
        <v>144</v>
      </c>
      <c r="X30" s="25">
        <v>228</v>
      </c>
    </row>
    <row r="31" spans="1:24">
      <c r="A31" s="16">
        <v>11</v>
      </c>
      <c r="B31" s="25">
        <v>794</v>
      </c>
      <c r="C31" s="3">
        <v>0.21199999999999999</v>
      </c>
      <c r="D31" s="25">
        <v>75.600000000000023</v>
      </c>
      <c r="E31" s="25">
        <v>213.00000000000006</v>
      </c>
      <c r="F31" s="25">
        <v>299.10000000000002</v>
      </c>
      <c r="G31" s="3">
        <v>0.6</v>
      </c>
      <c r="H31" s="3">
        <v>0.21</v>
      </c>
      <c r="I31" s="3">
        <v>0.35</v>
      </c>
      <c r="J31" s="3">
        <v>0.15</v>
      </c>
      <c r="K31" s="3">
        <v>0.28999999999999998</v>
      </c>
      <c r="L31" s="3">
        <v>0.74</v>
      </c>
      <c r="M31" s="3">
        <v>0.91</v>
      </c>
      <c r="N31" s="3">
        <v>0.86</v>
      </c>
      <c r="O31" s="3">
        <v>0.21</v>
      </c>
      <c r="P31" s="25">
        <v>274</v>
      </c>
      <c r="Q31" s="25">
        <v>112</v>
      </c>
      <c r="R31" s="25">
        <v>127</v>
      </c>
      <c r="S31" s="25">
        <v>165</v>
      </c>
      <c r="T31" s="25">
        <v>215</v>
      </c>
      <c r="U31" s="25">
        <v>401</v>
      </c>
      <c r="V31" s="25">
        <v>90</v>
      </c>
      <c r="W31" s="25">
        <v>100</v>
      </c>
      <c r="X31" s="25">
        <v>294</v>
      </c>
    </row>
    <row r="32" spans="1:24">
      <c r="A32" s="16">
        <v>12</v>
      </c>
      <c r="B32" s="25">
        <v>636</v>
      </c>
      <c r="C32" s="3">
        <v>0.38600000000000001</v>
      </c>
      <c r="D32" s="25">
        <v>183.5</v>
      </c>
      <c r="E32" s="25">
        <v>314</v>
      </c>
      <c r="F32" s="25">
        <v>410.5</v>
      </c>
      <c r="G32" s="3">
        <v>0.61</v>
      </c>
      <c r="H32" s="3">
        <v>0.26</v>
      </c>
      <c r="I32" s="3">
        <v>0.2</v>
      </c>
      <c r="J32" s="3">
        <v>0.3</v>
      </c>
      <c r="K32" s="3">
        <v>0.24</v>
      </c>
      <c r="L32" s="3">
        <v>1.0999999999999999</v>
      </c>
      <c r="M32" s="3">
        <v>0.78</v>
      </c>
      <c r="N32" s="3">
        <v>0.59</v>
      </c>
      <c r="O32" s="3">
        <v>0.14000000000000001</v>
      </c>
      <c r="P32" s="25">
        <v>303</v>
      </c>
      <c r="Q32" s="25">
        <v>143</v>
      </c>
      <c r="R32" s="25">
        <v>201</v>
      </c>
      <c r="S32" s="25">
        <v>164</v>
      </c>
      <c r="T32" s="25">
        <v>351</v>
      </c>
      <c r="U32" s="25">
        <v>195</v>
      </c>
      <c r="V32" s="25">
        <v>58</v>
      </c>
      <c r="W32" s="25">
        <v>95</v>
      </c>
      <c r="X32" s="25">
        <v>270</v>
      </c>
    </row>
    <row r="33" spans="1:40">
      <c r="A33" s="16" t="s">
        <v>48</v>
      </c>
      <c r="B33" s="25">
        <v>7432</v>
      </c>
      <c r="C33" s="3">
        <v>0.25666666666666671</v>
      </c>
      <c r="D33" s="25">
        <v>1361.1</v>
      </c>
      <c r="E33" s="25">
        <v>2865.7000000000007</v>
      </c>
      <c r="F33" s="25">
        <v>4479.3999999999996</v>
      </c>
      <c r="G33" s="3">
        <v>0.66916666666666658</v>
      </c>
      <c r="H33" s="3">
        <v>0.19833333333333333</v>
      </c>
      <c r="I33" s="3">
        <v>0.25166666666666671</v>
      </c>
      <c r="J33" s="3">
        <v>0.24833333333333329</v>
      </c>
      <c r="K33" s="3">
        <v>0.30166666666666669</v>
      </c>
      <c r="L33" s="3">
        <v>0.97083333333333333</v>
      </c>
      <c r="M33" s="3">
        <v>0.84083333333333321</v>
      </c>
      <c r="N33" s="3">
        <v>0.70666666666666667</v>
      </c>
      <c r="O33" s="3">
        <v>0.16666666666666666</v>
      </c>
      <c r="P33" s="25">
        <v>3127</v>
      </c>
      <c r="Q33" s="25">
        <v>968</v>
      </c>
      <c r="R33" s="25">
        <v>1285</v>
      </c>
      <c r="S33" s="25">
        <v>1683</v>
      </c>
      <c r="T33" s="25">
        <v>5576</v>
      </c>
      <c r="U33" s="25">
        <v>5957</v>
      </c>
      <c r="V33" s="25">
        <v>723</v>
      </c>
      <c r="W33" s="25">
        <v>950</v>
      </c>
      <c r="X33" s="25">
        <v>2460</v>
      </c>
    </row>
    <row r="34" spans="1:40" s="17" customFormat="1"/>
    <row r="35" spans="1:40">
      <c r="A35" s="15" t="s">
        <v>45</v>
      </c>
      <c r="B35" t="s">
        <v>43</v>
      </c>
    </row>
    <row r="37" spans="1:40">
      <c r="A37" s="15" t="s">
        <v>47</v>
      </c>
      <c r="B37" t="s">
        <v>49</v>
      </c>
      <c r="C37" t="s">
        <v>53</v>
      </c>
      <c r="D37" t="s">
        <v>50</v>
      </c>
      <c r="E37" t="s">
        <v>51</v>
      </c>
      <c r="F37" t="s">
        <v>52</v>
      </c>
      <c r="G37" t="s">
        <v>54</v>
      </c>
      <c r="H37" t="s">
        <v>55</v>
      </c>
      <c r="I37" t="s">
        <v>56</v>
      </c>
      <c r="J37" t="s">
        <v>57</v>
      </c>
      <c r="K37" t="s">
        <v>58</v>
      </c>
      <c r="L37" t="s">
        <v>59</v>
      </c>
      <c r="M37" t="s">
        <v>60</v>
      </c>
      <c r="N37" t="s">
        <v>61</v>
      </c>
      <c r="O37" t="s">
        <v>62</v>
      </c>
      <c r="P37" t="s">
        <v>106</v>
      </c>
      <c r="Q37" t="s">
        <v>107</v>
      </c>
      <c r="R37" t="s">
        <v>112</v>
      </c>
      <c r="S37" t="s">
        <v>113</v>
      </c>
      <c r="T37" t="s">
        <v>114</v>
      </c>
      <c r="U37" t="s">
        <v>119</v>
      </c>
      <c r="V37" t="s">
        <v>120</v>
      </c>
      <c r="W37" t="s">
        <v>121</v>
      </c>
      <c r="X37" t="s">
        <v>122</v>
      </c>
      <c r="Y37" t="s">
        <v>123</v>
      </c>
      <c r="Z37" t="s">
        <v>124</v>
      </c>
      <c r="AA37" t="s">
        <v>125</v>
      </c>
      <c r="AB37" t="s">
        <v>126</v>
      </c>
      <c r="AC37" t="s">
        <v>127</v>
      </c>
      <c r="AD37" t="s">
        <v>129</v>
      </c>
      <c r="AE37" t="s">
        <v>143</v>
      </c>
      <c r="AF37" t="s">
        <v>144</v>
      </c>
      <c r="AG37" t="s">
        <v>145</v>
      </c>
      <c r="AH37" t="s">
        <v>146</v>
      </c>
      <c r="AI37" t="s">
        <v>147</v>
      </c>
      <c r="AJ37" t="s">
        <v>148</v>
      </c>
      <c r="AK37" t="s">
        <v>149</v>
      </c>
      <c r="AL37" t="s">
        <v>150</v>
      </c>
      <c r="AM37" t="s">
        <v>151</v>
      </c>
      <c r="AN37" t="s">
        <v>152</v>
      </c>
    </row>
    <row r="38" spans="1:40">
      <c r="A38" s="16">
        <v>1</v>
      </c>
      <c r="B38" s="25">
        <v>542</v>
      </c>
      <c r="C38" s="3">
        <v>0.27400000000000002</v>
      </c>
      <c r="D38" s="25">
        <v>319.2</v>
      </c>
      <c r="E38" s="25">
        <v>466.79999999999995</v>
      </c>
      <c r="F38" s="25">
        <v>598.79999999999995</v>
      </c>
      <c r="G38" s="3">
        <v>0.67</v>
      </c>
      <c r="H38" s="3">
        <v>0.19</v>
      </c>
      <c r="I38" s="3">
        <v>0.31</v>
      </c>
      <c r="J38" s="3">
        <v>0.19</v>
      </c>
      <c r="K38" s="3">
        <v>0.31</v>
      </c>
      <c r="L38" s="3">
        <v>0.74</v>
      </c>
      <c r="M38" s="3">
        <v>0.81</v>
      </c>
      <c r="N38" s="3">
        <v>0.64</v>
      </c>
      <c r="O38" s="3">
        <v>0.44</v>
      </c>
      <c r="P38" s="25">
        <v>0.8</v>
      </c>
      <c r="Q38" s="25">
        <v>0.74</v>
      </c>
      <c r="R38" s="25">
        <v>0.46</v>
      </c>
      <c r="S38" s="25">
        <v>0.41</v>
      </c>
      <c r="T38" s="3">
        <v>0.98</v>
      </c>
      <c r="U38" s="25">
        <v>131</v>
      </c>
      <c r="V38" s="25">
        <v>839</v>
      </c>
      <c r="W38" s="25">
        <v>427</v>
      </c>
      <c r="X38" s="25">
        <v>513</v>
      </c>
      <c r="Y38" s="25">
        <v>484</v>
      </c>
      <c r="Z38" s="25">
        <v>447</v>
      </c>
      <c r="AA38" s="25">
        <v>750</v>
      </c>
      <c r="AB38" s="25">
        <v>542</v>
      </c>
      <c r="AC38" s="25">
        <v>404</v>
      </c>
      <c r="AD38" s="25">
        <v>602</v>
      </c>
      <c r="AE38" s="3">
        <v>0.31</v>
      </c>
      <c r="AF38" s="3">
        <v>0.09</v>
      </c>
      <c r="AG38" s="25">
        <v>101</v>
      </c>
      <c r="AH38" s="25">
        <v>119</v>
      </c>
      <c r="AI38" s="25">
        <v>91</v>
      </c>
      <c r="AJ38" s="25">
        <v>26</v>
      </c>
      <c r="AK38" s="25">
        <v>13</v>
      </c>
      <c r="AL38" s="25">
        <v>10</v>
      </c>
      <c r="AM38" s="25">
        <v>51</v>
      </c>
      <c r="AN38" s="25">
        <v>83</v>
      </c>
    </row>
    <row r="39" spans="1:40">
      <c r="A39" s="16">
        <v>2</v>
      </c>
      <c r="B39" s="25">
        <v>314</v>
      </c>
      <c r="C39" s="3">
        <v>0.33399999999999996</v>
      </c>
      <c r="D39" s="25">
        <v>291.2</v>
      </c>
      <c r="E39" s="25">
        <v>572</v>
      </c>
      <c r="F39" s="25">
        <v>864</v>
      </c>
      <c r="G39" s="3">
        <v>0.59</v>
      </c>
      <c r="H39" s="3">
        <v>0.42</v>
      </c>
      <c r="I39" s="3">
        <v>0.21</v>
      </c>
      <c r="J39" s="3">
        <v>0.28999999999999998</v>
      </c>
      <c r="K39" s="3">
        <v>0.08</v>
      </c>
      <c r="L39" s="3">
        <v>1.19</v>
      </c>
      <c r="M39" s="3">
        <v>1.07</v>
      </c>
      <c r="N39" s="3">
        <v>0.54</v>
      </c>
      <c r="O39" s="3">
        <v>0.66</v>
      </c>
      <c r="P39" s="25">
        <v>0.85</v>
      </c>
      <c r="Q39" s="25">
        <v>0.76</v>
      </c>
      <c r="R39" s="25">
        <v>0.72</v>
      </c>
      <c r="S39" s="25">
        <v>0.89</v>
      </c>
      <c r="T39" s="3">
        <v>0.91</v>
      </c>
      <c r="U39" s="25">
        <v>628</v>
      </c>
      <c r="V39" s="25">
        <v>258</v>
      </c>
      <c r="W39" s="25">
        <v>164</v>
      </c>
      <c r="X39" s="25">
        <v>402</v>
      </c>
      <c r="Y39" s="25">
        <v>506</v>
      </c>
      <c r="Z39" s="25">
        <v>331</v>
      </c>
      <c r="AA39" s="25">
        <v>692</v>
      </c>
      <c r="AB39" s="25">
        <v>831</v>
      </c>
      <c r="AC39" s="25">
        <v>207</v>
      </c>
      <c r="AD39" s="25">
        <v>415</v>
      </c>
      <c r="AE39" s="3">
        <v>0.34</v>
      </c>
      <c r="AF39" s="3">
        <v>0.2</v>
      </c>
      <c r="AG39" s="25">
        <v>111</v>
      </c>
      <c r="AH39" s="25">
        <v>17</v>
      </c>
      <c r="AI39" s="25">
        <v>6</v>
      </c>
      <c r="AJ39" s="25">
        <v>33</v>
      </c>
      <c r="AK39" s="25">
        <v>11</v>
      </c>
      <c r="AL39" s="25">
        <v>7</v>
      </c>
      <c r="AM39" s="25">
        <v>51</v>
      </c>
      <c r="AN39" s="25">
        <v>77</v>
      </c>
    </row>
    <row r="40" spans="1:40">
      <c r="A40" s="16">
        <v>3</v>
      </c>
      <c r="B40" s="25">
        <v>452</v>
      </c>
      <c r="C40" s="3">
        <v>0.193</v>
      </c>
      <c r="D40" s="25">
        <v>144.5</v>
      </c>
      <c r="E40" s="25">
        <v>294.5</v>
      </c>
      <c r="F40" s="25">
        <v>610</v>
      </c>
      <c r="G40" s="3">
        <v>0.55000000000000004</v>
      </c>
      <c r="H40" s="3">
        <v>0.14000000000000001</v>
      </c>
      <c r="I40" s="3">
        <v>0.26</v>
      </c>
      <c r="J40" s="3">
        <v>0.24</v>
      </c>
      <c r="K40" s="3">
        <v>0.36</v>
      </c>
      <c r="L40" s="3">
        <v>0.87</v>
      </c>
      <c r="M40" s="3">
        <v>0.75</v>
      </c>
      <c r="N40" s="3">
        <v>0.88</v>
      </c>
      <c r="O40" s="3">
        <v>0.42</v>
      </c>
      <c r="P40" s="25">
        <v>0.99</v>
      </c>
      <c r="Q40" s="25">
        <v>0.85</v>
      </c>
      <c r="R40" s="25">
        <v>0.34</v>
      </c>
      <c r="S40" s="25">
        <v>0.77</v>
      </c>
      <c r="T40" s="3">
        <v>0.98</v>
      </c>
      <c r="U40" s="25">
        <v>239</v>
      </c>
      <c r="V40" s="25">
        <v>747</v>
      </c>
      <c r="W40" s="25">
        <v>280</v>
      </c>
      <c r="X40" s="25">
        <v>581</v>
      </c>
      <c r="Y40" s="25">
        <v>696</v>
      </c>
      <c r="Z40" s="25">
        <v>441</v>
      </c>
      <c r="AA40" s="25">
        <v>207</v>
      </c>
      <c r="AB40" s="25">
        <v>211</v>
      </c>
      <c r="AC40" s="25">
        <v>661</v>
      </c>
      <c r="AD40" s="25">
        <v>503</v>
      </c>
      <c r="AE40" s="3">
        <v>0.64</v>
      </c>
      <c r="AF40" s="3">
        <v>0.08</v>
      </c>
      <c r="AG40" s="25">
        <v>81</v>
      </c>
      <c r="AH40" s="25">
        <v>95</v>
      </c>
      <c r="AI40" s="25">
        <v>46</v>
      </c>
      <c r="AJ40" s="25">
        <v>61</v>
      </c>
      <c r="AK40" s="25">
        <v>9</v>
      </c>
      <c r="AL40" s="25">
        <v>15</v>
      </c>
      <c r="AM40" s="25">
        <v>46</v>
      </c>
      <c r="AN40" s="25">
        <v>86</v>
      </c>
    </row>
    <row r="41" spans="1:40">
      <c r="A41" s="16">
        <v>4</v>
      </c>
      <c r="B41" s="25">
        <v>452</v>
      </c>
      <c r="C41" s="3">
        <v>0.152</v>
      </c>
      <c r="D41" s="25">
        <v>206.5</v>
      </c>
      <c r="E41" s="25">
        <v>467.59999999999997</v>
      </c>
      <c r="F41" s="25">
        <v>850.5</v>
      </c>
      <c r="G41" s="3">
        <v>0.67</v>
      </c>
      <c r="H41" s="3">
        <v>0.3</v>
      </c>
      <c r="I41" s="3">
        <v>0.21</v>
      </c>
      <c r="J41" s="3">
        <v>0.28999999999999998</v>
      </c>
      <c r="K41" s="3">
        <v>0.2</v>
      </c>
      <c r="L41" s="3">
        <v>0.85</v>
      </c>
      <c r="M41" s="3">
        <v>0.99</v>
      </c>
      <c r="N41" s="3">
        <v>0.73</v>
      </c>
      <c r="O41" s="3">
        <v>0.3</v>
      </c>
      <c r="P41" s="25">
        <v>0.5</v>
      </c>
      <c r="Q41" s="25">
        <v>0.78</v>
      </c>
      <c r="R41" s="25">
        <v>0.8</v>
      </c>
      <c r="S41" s="25">
        <v>0.62</v>
      </c>
      <c r="T41" s="3">
        <v>0.73</v>
      </c>
      <c r="U41" s="25">
        <v>773</v>
      </c>
      <c r="V41" s="25">
        <v>799</v>
      </c>
      <c r="W41" s="25">
        <v>436</v>
      </c>
      <c r="X41" s="25">
        <v>654</v>
      </c>
      <c r="Y41" s="25">
        <v>420</v>
      </c>
      <c r="Z41" s="25">
        <v>703</v>
      </c>
      <c r="AA41" s="25">
        <v>133</v>
      </c>
      <c r="AB41" s="25">
        <v>384</v>
      </c>
      <c r="AC41" s="25">
        <v>865</v>
      </c>
      <c r="AD41" s="25">
        <v>624</v>
      </c>
      <c r="AE41" s="3">
        <v>0.51</v>
      </c>
      <c r="AF41" s="3">
        <v>0.21</v>
      </c>
      <c r="AG41" s="25">
        <v>38</v>
      </c>
      <c r="AH41" s="25">
        <v>105</v>
      </c>
      <c r="AI41" s="25">
        <v>19</v>
      </c>
      <c r="AJ41" s="25">
        <v>28</v>
      </c>
      <c r="AK41" s="25">
        <v>10</v>
      </c>
      <c r="AL41" s="25">
        <v>10</v>
      </c>
      <c r="AM41" s="25">
        <v>91</v>
      </c>
      <c r="AN41" s="25">
        <v>72</v>
      </c>
    </row>
    <row r="42" spans="1:40">
      <c r="A42" s="16">
        <v>5</v>
      </c>
      <c r="B42" s="25">
        <v>680</v>
      </c>
      <c r="C42" s="3">
        <v>0.26400000000000001</v>
      </c>
      <c r="D42" s="25">
        <v>242.2</v>
      </c>
      <c r="E42" s="25">
        <v>468.99999999999994</v>
      </c>
      <c r="F42" s="25">
        <v>700</v>
      </c>
      <c r="G42" s="3">
        <v>0.79</v>
      </c>
      <c r="H42" s="3">
        <v>0.26</v>
      </c>
      <c r="I42" s="3">
        <v>0.13</v>
      </c>
      <c r="J42" s="3">
        <v>0.37</v>
      </c>
      <c r="K42" s="3">
        <v>0.24</v>
      </c>
      <c r="L42" s="3">
        <v>0.96000000000000008</v>
      </c>
      <c r="M42" s="3">
        <v>0.85</v>
      </c>
      <c r="N42" s="3">
        <v>0.6</v>
      </c>
      <c r="O42" s="3">
        <v>0.4</v>
      </c>
      <c r="P42" s="25">
        <v>0.35</v>
      </c>
      <c r="Q42" s="25">
        <v>0.82</v>
      </c>
      <c r="R42" s="25">
        <v>0.42</v>
      </c>
      <c r="S42" s="25">
        <v>0.59</v>
      </c>
      <c r="T42" s="3">
        <v>0.63</v>
      </c>
      <c r="U42" s="25">
        <v>790</v>
      </c>
      <c r="V42" s="25">
        <v>846</v>
      </c>
      <c r="W42" s="25">
        <v>658</v>
      </c>
      <c r="X42" s="25">
        <v>533</v>
      </c>
      <c r="Y42" s="25">
        <v>475</v>
      </c>
      <c r="Z42" s="25">
        <v>226</v>
      </c>
      <c r="AA42" s="25">
        <v>585</v>
      </c>
      <c r="AB42" s="25">
        <v>147</v>
      </c>
      <c r="AC42" s="25">
        <v>129</v>
      </c>
      <c r="AD42" s="25">
        <v>294</v>
      </c>
      <c r="AE42" s="3">
        <v>0.96</v>
      </c>
      <c r="AF42" s="3">
        <v>0.26</v>
      </c>
      <c r="AG42" s="25">
        <v>22</v>
      </c>
      <c r="AH42" s="25">
        <v>15</v>
      </c>
      <c r="AI42" s="25">
        <v>64</v>
      </c>
      <c r="AJ42" s="25">
        <v>75</v>
      </c>
      <c r="AK42" s="25">
        <v>11</v>
      </c>
      <c r="AL42" s="25">
        <v>9</v>
      </c>
      <c r="AM42" s="25">
        <v>62</v>
      </c>
      <c r="AN42" s="25">
        <v>64</v>
      </c>
    </row>
    <row r="43" spans="1:40">
      <c r="A43" s="16">
        <v>6</v>
      </c>
      <c r="B43" s="25">
        <v>652</v>
      </c>
      <c r="C43" s="3">
        <v>0.25600000000000001</v>
      </c>
      <c r="D43" s="25">
        <v>222</v>
      </c>
      <c r="E43" s="25">
        <v>352.8</v>
      </c>
      <c r="F43" s="25">
        <v>552</v>
      </c>
      <c r="G43" s="3">
        <v>0.67</v>
      </c>
      <c r="H43" s="3">
        <v>0.24</v>
      </c>
      <c r="I43" s="3">
        <v>0.1</v>
      </c>
      <c r="J43" s="3">
        <v>0.4</v>
      </c>
      <c r="K43" s="3">
        <v>0.26</v>
      </c>
      <c r="L43" s="3">
        <v>1.1499999999999999</v>
      </c>
      <c r="M43" s="3">
        <v>1.01</v>
      </c>
      <c r="N43" s="3">
        <v>0.8</v>
      </c>
      <c r="O43" s="3">
        <v>0.53</v>
      </c>
      <c r="P43" s="25">
        <v>0.25</v>
      </c>
      <c r="Q43" s="25">
        <v>0.76</v>
      </c>
      <c r="R43" s="25">
        <v>0.68</v>
      </c>
      <c r="S43" s="25">
        <v>0.48</v>
      </c>
      <c r="T43" s="3">
        <v>0.83</v>
      </c>
      <c r="U43" s="25">
        <v>364</v>
      </c>
      <c r="V43" s="25">
        <v>252</v>
      </c>
      <c r="W43" s="25">
        <v>602</v>
      </c>
      <c r="X43" s="25">
        <v>277</v>
      </c>
      <c r="Y43" s="25">
        <v>214</v>
      </c>
      <c r="Z43" s="25">
        <v>102</v>
      </c>
      <c r="AA43" s="25">
        <v>218</v>
      </c>
      <c r="AB43" s="25">
        <v>426</v>
      </c>
      <c r="AC43" s="25">
        <v>191</v>
      </c>
      <c r="AD43" s="25">
        <v>223</v>
      </c>
      <c r="AE43" s="3">
        <v>0.7</v>
      </c>
      <c r="AF43" s="3">
        <v>0.33</v>
      </c>
      <c r="AG43" s="25">
        <v>10</v>
      </c>
      <c r="AH43" s="25">
        <v>87</v>
      </c>
      <c r="AI43" s="25">
        <v>79</v>
      </c>
      <c r="AJ43" s="25">
        <v>28</v>
      </c>
      <c r="AK43" s="25">
        <v>13</v>
      </c>
      <c r="AL43" s="25">
        <v>10</v>
      </c>
      <c r="AM43" s="25">
        <v>85</v>
      </c>
      <c r="AN43" s="25">
        <v>72</v>
      </c>
    </row>
    <row r="44" spans="1:40">
      <c r="A44" s="16">
        <v>7</v>
      </c>
      <c r="B44" s="25">
        <v>464</v>
      </c>
      <c r="C44" s="3">
        <v>0.27500000000000002</v>
      </c>
      <c r="D44" s="25">
        <v>226.79999999999998</v>
      </c>
      <c r="E44" s="25">
        <v>373.79999999999995</v>
      </c>
      <c r="F44" s="25">
        <v>626.5</v>
      </c>
      <c r="G44" s="3">
        <v>0.62</v>
      </c>
      <c r="H44" s="3">
        <v>0.43</v>
      </c>
      <c r="I44" s="3">
        <v>0.05</v>
      </c>
      <c r="J44" s="3">
        <v>0.45</v>
      </c>
      <c r="K44" s="3">
        <v>7.0000000000000007E-2</v>
      </c>
      <c r="L44" s="3">
        <v>0.84</v>
      </c>
      <c r="M44" s="3">
        <v>0.71</v>
      </c>
      <c r="N44" s="3">
        <v>0.81</v>
      </c>
      <c r="O44" s="3">
        <v>0.5</v>
      </c>
      <c r="P44" s="25">
        <v>0.57999999999999996</v>
      </c>
      <c r="Q44" s="25">
        <v>0.82</v>
      </c>
      <c r="R44" s="25">
        <v>0.55000000000000004</v>
      </c>
      <c r="S44" s="25">
        <v>0.71</v>
      </c>
      <c r="T44" s="3">
        <v>0.91</v>
      </c>
      <c r="U44" s="25">
        <v>247</v>
      </c>
      <c r="V44" s="25">
        <v>526</v>
      </c>
      <c r="W44" s="25">
        <v>876</v>
      </c>
      <c r="X44" s="25">
        <v>478</v>
      </c>
      <c r="Y44" s="25">
        <v>322</v>
      </c>
      <c r="Z44" s="25">
        <v>190</v>
      </c>
      <c r="AA44" s="25">
        <v>544</v>
      </c>
      <c r="AB44" s="25">
        <v>341</v>
      </c>
      <c r="AC44" s="25">
        <v>743</v>
      </c>
      <c r="AD44" s="25">
        <v>869</v>
      </c>
      <c r="AE44" s="3">
        <v>0.95</v>
      </c>
      <c r="AF44" s="3">
        <v>0.28000000000000003</v>
      </c>
      <c r="AG44" s="25">
        <v>123</v>
      </c>
      <c r="AH44" s="25">
        <v>65</v>
      </c>
      <c r="AI44" s="25">
        <v>87</v>
      </c>
      <c r="AJ44" s="25">
        <v>55</v>
      </c>
      <c r="AK44" s="25">
        <v>4</v>
      </c>
      <c r="AL44" s="25">
        <v>9</v>
      </c>
      <c r="AM44" s="25">
        <v>21</v>
      </c>
      <c r="AN44" s="25">
        <v>67</v>
      </c>
    </row>
    <row r="45" spans="1:40">
      <c r="A45" s="16">
        <v>8</v>
      </c>
      <c r="B45" s="25">
        <v>512</v>
      </c>
      <c r="C45" s="3">
        <v>0.22</v>
      </c>
      <c r="D45" s="25">
        <v>135.6</v>
      </c>
      <c r="E45" s="25">
        <v>345.59999999999997</v>
      </c>
      <c r="F45" s="25">
        <v>573.6</v>
      </c>
      <c r="G45" s="3">
        <v>0.61</v>
      </c>
      <c r="H45" s="3">
        <v>0.28000000000000003</v>
      </c>
      <c r="I45" s="3">
        <v>0.34</v>
      </c>
      <c r="J45" s="3">
        <v>0.16</v>
      </c>
      <c r="K45" s="3">
        <v>0.22</v>
      </c>
      <c r="L45" s="3">
        <v>1.0899999999999999</v>
      </c>
      <c r="M45" s="3">
        <v>1.02</v>
      </c>
      <c r="N45" s="3">
        <v>0.65</v>
      </c>
      <c r="O45" s="3">
        <v>0.51</v>
      </c>
      <c r="P45" s="25">
        <v>0.87</v>
      </c>
      <c r="Q45" s="25">
        <v>0.8</v>
      </c>
      <c r="R45" s="25">
        <v>0.72</v>
      </c>
      <c r="S45" s="25">
        <v>0.54</v>
      </c>
      <c r="T45" s="3">
        <v>0.96</v>
      </c>
      <c r="U45" s="25">
        <v>155</v>
      </c>
      <c r="V45" s="25">
        <v>518</v>
      </c>
      <c r="W45" s="25">
        <v>387</v>
      </c>
      <c r="X45" s="25">
        <v>714</v>
      </c>
      <c r="Y45" s="25">
        <v>372</v>
      </c>
      <c r="Z45" s="25">
        <v>230</v>
      </c>
      <c r="AA45" s="25">
        <v>496</v>
      </c>
      <c r="AB45" s="25">
        <v>137</v>
      </c>
      <c r="AC45" s="25">
        <v>102</v>
      </c>
      <c r="AD45" s="25">
        <v>320</v>
      </c>
      <c r="AE45" s="3">
        <v>0.46</v>
      </c>
      <c r="AF45" s="3">
        <v>0.24</v>
      </c>
      <c r="AG45" s="25">
        <v>111</v>
      </c>
      <c r="AH45" s="25">
        <v>136</v>
      </c>
      <c r="AI45" s="25">
        <v>102</v>
      </c>
      <c r="AJ45" s="25">
        <v>9</v>
      </c>
      <c r="AK45" s="25">
        <v>6</v>
      </c>
      <c r="AL45" s="25">
        <v>11</v>
      </c>
      <c r="AM45" s="25">
        <v>45</v>
      </c>
      <c r="AN45" s="25">
        <v>75</v>
      </c>
    </row>
    <row r="46" spans="1:40">
      <c r="A46" s="16">
        <v>9</v>
      </c>
      <c r="B46" s="25">
        <v>380</v>
      </c>
      <c r="C46" s="3">
        <v>0.26900000000000002</v>
      </c>
      <c r="D46" s="25">
        <v>87</v>
      </c>
      <c r="E46" s="25">
        <v>342</v>
      </c>
      <c r="F46" s="25">
        <v>536</v>
      </c>
      <c r="G46" s="3">
        <v>0.51</v>
      </c>
      <c r="H46" s="3">
        <v>0.44</v>
      </c>
      <c r="I46" s="3">
        <v>0.09</v>
      </c>
      <c r="J46" s="3">
        <v>0.41</v>
      </c>
      <c r="K46" s="3">
        <v>0.06</v>
      </c>
      <c r="L46" s="3">
        <v>0.96000000000000008</v>
      </c>
      <c r="M46" s="3">
        <v>0.87</v>
      </c>
      <c r="N46" s="3">
        <v>0.59</v>
      </c>
      <c r="O46" s="3">
        <v>0.52</v>
      </c>
      <c r="P46" s="25">
        <v>0.67</v>
      </c>
      <c r="Q46" s="25">
        <v>0.83</v>
      </c>
      <c r="R46" s="25">
        <v>0.56000000000000005</v>
      </c>
      <c r="S46" s="25">
        <v>0.53</v>
      </c>
      <c r="T46" s="3">
        <v>0.7</v>
      </c>
      <c r="U46" s="25">
        <v>204</v>
      </c>
      <c r="V46" s="25">
        <v>434</v>
      </c>
      <c r="W46" s="25">
        <v>534</v>
      </c>
      <c r="X46" s="25">
        <v>513</v>
      </c>
      <c r="Y46" s="25">
        <v>392</v>
      </c>
      <c r="Z46" s="25">
        <v>360</v>
      </c>
      <c r="AA46" s="25">
        <v>496</v>
      </c>
      <c r="AB46" s="25">
        <v>178</v>
      </c>
      <c r="AC46" s="25">
        <v>148</v>
      </c>
      <c r="AD46" s="25">
        <v>321</v>
      </c>
      <c r="AE46" s="3">
        <v>0.82</v>
      </c>
      <c r="AF46" s="3">
        <v>0.2</v>
      </c>
      <c r="AG46" s="25">
        <v>95</v>
      </c>
      <c r="AH46" s="25">
        <v>47</v>
      </c>
      <c r="AI46" s="25">
        <v>147</v>
      </c>
      <c r="AJ46" s="25">
        <v>56</v>
      </c>
      <c r="AK46" s="25">
        <v>7</v>
      </c>
      <c r="AL46" s="25">
        <v>9</v>
      </c>
      <c r="AM46" s="25">
        <v>15</v>
      </c>
      <c r="AN46" s="25">
        <v>67</v>
      </c>
    </row>
    <row r="47" spans="1:40">
      <c r="A47" s="16">
        <v>10</v>
      </c>
      <c r="B47" s="25">
        <v>767</v>
      </c>
      <c r="C47" s="3">
        <v>0.32800000000000001</v>
      </c>
      <c r="D47" s="25">
        <v>133</v>
      </c>
      <c r="E47" s="25">
        <v>515.19999999999993</v>
      </c>
      <c r="F47" s="25">
        <v>758.8</v>
      </c>
      <c r="G47" s="3">
        <v>0.5</v>
      </c>
      <c r="H47" s="3">
        <v>0.28000000000000003</v>
      </c>
      <c r="I47" s="3">
        <v>0.15</v>
      </c>
      <c r="J47" s="3">
        <v>0.35</v>
      </c>
      <c r="K47" s="3">
        <v>0.22</v>
      </c>
      <c r="L47" s="3">
        <v>0.88</v>
      </c>
      <c r="M47" s="3">
        <v>0.71</v>
      </c>
      <c r="N47" s="3">
        <v>0.93</v>
      </c>
      <c r="O47" s="3">
        <v>0.7</v>
      </c>
      <c r="P47" s="25">
        <v>0.43</v>
      </c>
      <c r="Q47" s="25">
        <v>0.83</v>
      </c>
      <c r="R47" s="25">
        <v>0.6</v>
      </c>
      <c r="S47" s="25">
        <v>0.47</v>
      </c>
      <c r="T47" s="3">
        <v>0.74</v>
      </c>
      <c r="U47" s="25">
        <v>871</v>
      </c>
      <c r="V47" s="25">
        <v>112</v>
      </c>
      <c r="W47" s="25">
        <v>786</v>
      </c>
      <c r="X47" s="25">
        <v>365</v>
      </c>
      <c r="Y47" s="25">
        <v>157</v>
      </c>
      <c r="Z47" s="25">
        <v>562</v>
      </c>
      <c r="AA47" s="25">
        <v>819</v>
      </c>
      <c r="AB47" s="25">
        <v>388</v>
      </c>
      <c r="AC47" s="25">
        <v>548</v>
      </c>
      <c r="AD47" s="25">
        <v>215</v>
      </c>
      <c r="AE47" s="3">
        <v>0.67</v>
      </c>
      <c r="AF47" s="3">
        <v>7.0000000000000007E-2</v>
      </c>
      <c r="AG47" s="25">
        <v>52</v>
      </c>
      <c r="AH47" s="25">
        <v>56</v>
      </c>
      <c r="AI47" s="25">
        <v>120</v>
      </c>
      <c r="AJ47" s="25">
        <v>23</v>
      </c>
      <c r="AK47" s="25">
        <v>8</v>
      </c>
      <c r="AL47" s="25">
        <v>5</v>
      </c>
      <c r="AM47" s="25">
        <v>61</v>
      </c>
      <c r="AN47" s="25">
        <v>53</v>
      </c>
    </row>
    <row r="48" spans="1:40">
      <c r="A48" s="16">
        <v>11</v>
      </c>
      <c r="B48" s="25">
        <v>638</v>
      </c>
      <c r="C48" s="3">
        <v>0.36399999999999999</v>
      </c>
      <c r="D48" s="25">
        <v>176.39999999999998</v>
      </c>
      <c r="E48" s="25">
        <v>496.99999999999994</v>
      </c>
      <c r="F48" s="25">
        <v>697.9</v>
      </c>
      <c r="G48" s="3">
        <v>0.53</v>
      </c>
      <c r="H48" s="3">
        <v>0.18</v>
      </c>
      <c r="I48" s="3">
        <v>0.17</v>
      </c>
      <c r="J48" s="3">
        <v>0.33</v>
      </c>
      <c r="K48" s="3">
        <v>0.32</v>
      </c>
      <c r="L48" s="3">
        <v>1.0999999999999999</v>
      </c>
      <c r="M48" s="3">
        <v>0.98</v>
      </c>
      <c r="N48" s="3">
        <v>0.54</v>
      </c>
      <c r="O48" s="3">
        <v>0.63</v>
      </c>
      <c r="P48" s="25">
        <v>0.16</v>
      </c>
      <c r="Q48" s="25">
        <v>0.84</v>
      </c>
      <c r="R48" s="25">
        <v>0.41</v>
      </c>
      <c r="S48" s="25">
        <v>0.79</v>
      </c>
      <c r="T48" s="3">
        <v>0.93</v>
      </c>
      <c r="U48" s="25">
        <v>128</v>
      </c>
      <c r="V48" s="25">
        <v>483</v>
      </c>
      <c r="W48" s="25">
        <v>887</v>
      </c>
      <c r="X48" s="25">
        <v>440</v>
      </c>
      <c r="Y48" s="25">
        <v>509</v>
      </c>
      <c r="Z48" s="25">
        <v>651</v>
      </c>
      <c r="AA48" s="25">
        <v>348</v>
      </c>
      <c r="AB48" s="25">
        <v>100</v>
      </c>
      <c r="AC48" s="25">
        <v>421</v>
      </c>
      <c r="AD48" s="25">
        <v>838</v>
      </c>
      <c r="AE48" s="3">
        <v>0.37</v>
      </c>
      <c r="AF48" s="3">
        <v>0.22</v>
      </c>
      <c r="AG48" s="25">
        <v>22</v>
      </c>
      <c r="AH48" s="25">
        <v>134</v>
      </c>
      <c r="AI48" s="25">
        <v>160</v>
      </c>
      <c r="AJ48" s="25">
        <v>51</v>
      </c>
      <c r="AK48" s="25">
        <v>6</v>
      </c>
      <c r="AL48" s="25">
        <v>13</v>
      </c>
      <c r="AM48" s="25">
        <v>55</v>
      </c>
      <c r="AN48" s="25">
        <v>62</v>
      </c>
    </row>
    <row r="49" spans="1:40">
      <c r="A49" s="16">
        <v>12</v>
      </c>
      <c r="B49" s="25">
        <v>548</v>
      </c>
      <c r="C49" s="3">
        <v>0.35699999999999998</v>
      </c>
      <c r="D49" s="25">
        <v>183.5</v>
      </c>
      <c r="E49" s="25">
        <v>314</v>
      </c>
      <c r="F49" s="25">
        <v>410.5</v>
      </c>
      <c r="G49" s="3">
        <v>0.8</v>
      </c>
      <c r="H49" s="3">
        <v>0.42</v>
      </c>
      <c r="I49" s="3">
        <v>0.16</v>
      </c>
      <c r="J49" s="3">
        <v>0.34</v>
      </c>
      <c r="K49" s="3">
        <v>0.08</v>
      </c>
      <c r="L49" s="3">
        <v>1.1599999999999999</v>
      </c>
      <c r="M49" s="3">
        <v>0.9</v>
      </c>
      <c r="N49" s="3">
        <v>0.54</v>
      </c>
      <c r="O49" s="3">
        <v>0.43</v>
      </c>
      <c r="P49" s="25">
        <v>0.91</v>
      </c>
      <c r="Q49" s="25">
        <v>0.79</v>
      </c>
      <c r="R49" s="25">
        <v>0.51</v>
      </c>
      <c r="S49" s="25">
        <v>0.87</v>
      </c>
      <c r="T49" s="3">
        <v>0.55000000000000004</v>
      </c>
      <c r="U49" s="25">
        <v>325</v>
      </c>
      <c r="V49" s="25">
        <v>309</v>
      </c>
      <c r="W49" s="25">
        <v>618</v>
      </c>
      <c r="X49" s="25">
        <v>361</v>
      </c>
      <c r="Y49" s="25">
        <v>392</v>
      </c>
      <c r="Z49" s="25">
        <v>896</v>
      </c>
      <c r="AA49" s="25">
        <v>859</v>
      </c>
      <c r="AB49" s="25">
        <v>812</v>
      </c>
      <c r="AC49" s="25">
        <v>809</v>
      </c>
      <c r="AD49" s="25">
        <v>838</v>
      </c>
      <c r="AE49" s="3">
        <v>0.27</v>
      </c>
      <c r="AF49" s="3">
        <v>7.0000000000000007E-2</v>
      </c>
      <c r="AG49" s="25">
        <v>32</v>
      </c>
      <c r="AH49" s="25">
        <v>32</v>
      </c>
      <c r="AI49" s="25">
        <v>75</v>
      </c>
      <c r="AJ49" s="25">
        <v>58</v>
      </c>
      <c r="AK49" s="25">
        <v>4</v>
      </c>
      <c r="AL49" s="25">
        <v>9</v>
      </c>
      <c r="AM49" s="25">
        <v>56</v>
      </c>
      <c r="AN49" s="25">
        <v>56</v>
      </c>
    </row>
    <row r="50" spans="1:40">
      <c r="A50" s="16" t="s">
        <v>48</v>
      </c>
      <c r="B50" s="25">
        <v>6401</v>
      </c>
      <c r="C50" s="3">
        <v>0.27383333333333332</v>
      </c>
      <c r="D50" s="25">
        <v>2367.8999999999996</v>
      </c>
      <c r="E50" s="25">
        <v>5010.3</v>
      </c>
      <c r="F50" s="25">
        <v>7778.6</v>
      </c>
      <c r="G50" s="3">
        <v>0.62583333333333335</v>
      </c>
      <c r="H50" s="3">
        <v>0.29833333333333328</v>
      </c>
      <c r="I50" s="3">
        <v>0.18166666666666673</v>
      </c>
      <c r="J50" s="3">
        <v>0.31833333333333336</v>
      </c>
      <c r="K50" s="3">
        <v>0.20166666666666666</v>
      </c>
      <c r="L50" s="3">
        <v>0.98250000000000004</v>
      </c>
      <c r="M50" s="3">
        <v>0.88916666666666666</v>
      </c>
      <c r="N50" s="3">
        <v>0.6875</v>
      </c>
      <c r="O50" s="3">
        <v>0.5033333333333333</v>
      </c>
      <c r="P50" s="25">
        <v>0.61333333333333329</v>
      </c>
      <c r="Q50" s="25">
        <v>0.80166666666666675</v>
      </c>
      <c r="R50" s="25">
        <v>0.56416666666666659</v>
      </c>
      <c r="S50" s="25">
        <v>0.63916666666666677</v>
      </c>
      <c r="T50" s="3">
        <v>0.82083333333333341</v>
      </c>
      <c r="U50" s="25">
        <v>4855</v>
      </c>
      <c r="V50" s="25">
        <v>6123</v>
      </c>
      <c r="W50" s="25">
        <v>6655</v>
      </c>
      <c r="X50" s="25">
        <v>5831</v>
      </c>
      <c r="Y50" s="25">
        <v>4939</v>
      </c>
      <c r="Z50" s="25">
        <v>5139</v>
      </c>
      <c r="AA50" s="25">
        <v>6147</v>
      </c>
      <c r="AB50" s="25">
        <v>4497</v>
      </c>
      <c r="AC50" s="25">
        <v>5228</v>
      </c>
      <c r="AD50" s="25">
        <v>6062</v>
      </c>
      <c r="AE50" s="3">
        <v>0.58333333333333337</v>
      </c>
      <c r="AF50" s="3">
        <v>0.1875</v>
      </c>
      <c r="AG50" s="25">
        <v>798</v>
      </c>
      <c r="AH50" s="25">
        <v>908</v>
      </c>
      <c r="AI50" s="25">
        <v>996</v>
      </c>
      <c r="AJ50" s="25">
        <v>503</v>
      </c>
      <c r="AK50" s="25">
        <v>102</v>
      </c>
      <c r="AL50" s="25">
        <v>117</v>
      </c>
      <c r="AM50" s="25">
        <v>639</v>
      </c>
      <c r="AN50" s="25">
        <v>834</v>
      </c>
    </row>
    <row r="51" spans="1:40">
      <c r="P51" s="2"/>
      <c r="Q51" s="2"/>
      <c r="R51" s="2"/>
    </row>
    <row r="52" spans="1:40">
      <c r="A52" s="15" t="s">
        <v>45</v>
      </c>
      <c r="B52" t="s">
        <v>44</v>
      </c>
      <c r="P52" s="2"/>
      <c r="Q52" s="2"/>
      <c r="R52" s="2"/>
    </row>
    <row r="53" spans="1:40">
      <c r="P53" s="2"/>
      <c r="Q53" s="2"/>
      <c r="R53" s="2"/>
    </row>
    <row r="54" spans="1:40">
      <c r="A54" s="15" t="s">
        <v>47</v>
      </c>
      <c r="B54" t="s">
        <v>49</v>
      </c>
      <c r="C54" t="s">
        <v>53</v>
      </c>
      <c r="D54" t="s">
        <v>50</v>
      </c>
      <c r="E54" t="s">
        <v>51</v>
      </c>
      <c r="F54" t="s">
        <v>52</v>
      </c>
      <c r="G54" t="s">
        <v>54</v>
      </c>
      <c r="H54" t="s">
        <v>55</v>
      </c>
      <c r="I54" t="s">
        <v>56</v>
      </c>
      <c r="J54" t="s">
        <v>57</v>
      </c>
      <c r="K54" t="s">
        <v>58</v>
      </c>
      <c r="L54" t="s">
        <v>59</v>
      </c>
      <c r="M54" t="s">
        <v>60</v>
      </c>
      <c r="N54" t="s">
        <v>61</v>
      </c>
      <c r="O54" t="s">
        <v>62</v>
      </c>
      <c r="P54" t="s">
        <v>106</v>
      </c>
      <c r="Q54" t="s">
        <v>107</v>
      </c>
      <c r="R54" t="s">
        <v>112</v>
      </c>
      <c r="S54" t="s">
        <v>113</v>
      </c>
      <c r="T54" t="s">
        <v>114</v>
      </c>
      <c r="U54" t="s">
        <v>119</v>
      </c>
      <c r="V54" t="s">
        <v>120</v>
      </c>
      <c r="W54" t="s">
        <v>121</v>
      </c>
      <c r="X54" t="s">
        <v>122</v>
      </c>
      <c r="Y54" t="s">
        <v>123</v>
      </c>
      <c r="Z54" t="s">
        <v>124</v>
      </c>
      <c r="AA54" t="s">
        <v>125</v>
      </c>
      <c r="AB54" t="s">
        <v>126</v>
      </c>
      <c r="AC54" t="s">
        <v>127</v>
      </c>
      <c r="AD54" t="s">
        <v>129</v>
      </c>
      <c r="AE54" t="s">
        <v>143</v>
      </c>
      <c r="AF54" t="s">
        <v>144</v>
      </c>
      <c r="AG54" t="s">
        <v>145</v>
      </c>
      <c r="AH54" t="s">
        <v>146</v>
      </c>
      <c r="AI54" t="s">
        <v>147</v>
      </c>
      <c r="AJ54" t="s">
        <v>148</v>
      </c>
      <c r="AK54" t="s">
        <v>149</v>
      </c>
      <c r="AL54" t="s">
        <v>150</v>
      </c>
      <c r="AM54" t="s">
        <v>151</v>
      </c>
      <c r="AN54" t="s">
        <v>152</v>
      </c>
    </row>
    <row r="55" spans="1:40">
      <c r="A55" s="16">
        <v>1</v>
      </c>
      <c r="B55" s="25">
        <v>272</v>
      </c>
      <c r="C55" s="3">
        <v>0.30400000000000005</v>
      </c>
      <c r="D55" s="25">
        <v>212.8</v>
      </c>
      <c r="E55" s="25">
        <v>311.20000000000005</v>
      </c>
      <c r="F55" s="25">
        <v>399.20000000000005</v>
      </c>
      <c r="G55" s="3">
        <v>0.52</v>
      </c>
      <c r="H55" s="3">
        <v>0.22</v>
      </c>
      <c r="I55" s="3">
        <v>0.27</v>
      </c>
      <c r="J55" s="3">
        <v>0.23</v>
      </c>
      <c r="K55" s="3">
        <v>0.28000000000000003</v>
      </c>
      <c r="L55" s="3">
        <v>1.0699999999999998</v>
      </c>
      <c r="M55" s="3">
        <v>0.68</v>
      </c>
      <c r="N55" s="3">
        <v>0.79</v>
      </c>
      <c r="O55" s="3">
        <v>0.12</v>
      </c>
      <c r="P55" s="25">
        <v>0.25</v>
      </c>
      <c r="Q55" s="25">
        <v>0.86</v>
      </c>
      <c r="R55" s="25">
        <v>0.31</v>
      </c>
      <c r="S55" s="25">
        <v>0.59</v>
      </c>
      <c r="T55" s="3">
        <v>0.93</v>
      </c>
      <c r="U55" s="25">
        <v>467</v>
      </c>
      <c r="V55" s="25">
        <v>441</v>
      </c>
      <c r="W55" s="25">
        <v>500</v>
      </c>
      <c r="X55" s="25">
        <v>642</v>
      </c>
      <c r="Y55" s="25">
        <v>272</v>
      </c>
      <c r="Z55" s="25">
        <v>878</v>
      </c>
      <c r="AA55" s="25">
        <v>246</v>
      </c>
      <c r="AB55" s="25">
        <v>187</v>
      </c>
      <c r="AC55" s="25">
        <v>536</v>
      </c>
      <c r="AD55" s="25">
        <v>849</v>
      </c>
      <c r="AE55" s="3">
        <v>0.43</v>
      </c>
      <c r="AF55" s="3">
        <v>0.26</v>
      </c>
      <c r="AG55" s="25">
        <v>22</v>
      </c>
      <c r="AH55" s="25">
        <v>134</v>
      </c>
      <c r="AI55" s="25">
        <v>160</v>
      </c>
      <c r="AJ55" s="25">
        <v>51</v>
      </c>
      <c r="AK55" s="25">
        <v>6</v>
      </c>
      <c r="AL55" s="25">
        <v>13</v>
      </c>
      <c r="AM55" s="25">
        <v>55</v>
      </c>
      <c r="AN55" s="25">
        <v>62</v>
      </c>
    </row>
    <row r="56" spans="1:40">
      <c r="A56" s="16">
        <v>2</v>
      </c>
      <c r="B56" s="25">
        <v>548</v>
      </c>
      <c r="C56" s="3">
        <v>0.30399999999999999</v>
      </c>
      <c r="D56" s="25">
        <v>72.800000000000011</v>
      </c>
      <c r="E56" s="25">
        <v>143</v>
      </c>
      <c r="F56" s="25">
        <v>216</v>
      </c>
      <c r="G56" s="3">
        <v>0.61</v>
      </c>
      <c r="H56" s="3">
        <v>0.34</v>
      </c>
      <c r="I56" s="3">
        <v>0.38</v>
      </c>
      <c r="J56" s="3">
        <v>0.12</v>
      </c>
      <c r="K56" s="3">
        <v>0.16</v>
      </c>
      <c r="L56" s="3">
        <v>0.70000000000000007</v>
      </c>
      <c r="M56" s="3">
        <v>0.92</v>
      </c>
      <c r="N56" s="3">
        <v>0.65</v>
      </c>
      <c r="O56" s="3">
        <v>0.15</v>
      </c>
      <c r="P56" s="25">
        <v>0.33</v>
      </c>
      <c r="Q56" s="25">
        <v>0.93</v>
      </c>
      <c r="R56" s="25">
        <v>0.4</v>
      </c>
      <c r="S56" s="25">
        <v>0.48</v>
      </c>
      <c r="T56" s="3">
        <v>0.9</v>
      </c>
      <c r="U56" s="25">
        <v>520</v>
      </c>
      <c r="V56" s="25">
        <v>547</v>
      </c>
      <c r="W56" s="25">
        <v>779</v>
      </c>
      <c r="X56" s="25">
        <v>688</v>
      </c>
      <c r="Y56" s="25">
        <v>421</v>
      </c>
      <c r="Z56" s="25">
        <v>161</v>
      </c>
      <c r="AA56" s="25">
        <v>293</v>
      </c>
      <c r="AB56" s="25">
        <v>849</v>
      </c>
      <c r="AC56" s="25">
        <v>419</v>
      </c>
      <c r="AD56" s="25">
        <v>169</v>
      </c>
      <c r="AE56" s="3">
        <v>0.38</v>
      </c>
      <c r="AF56" s="3">
        <v>0.13</v>
      </c>
      <c r="AG56" s="25">
        <v>32</v>
      </c>
      <c r="AH56" s="25">
        <v>32</v>
      </c>
      <c r="AI56" s="25">
        <v>75</v>
      </c>
      <c r="AJ56" s="25">
        <v>58</v>
      </c>
      <c r="AK56" s="25">
        <v>4</v>
      </c>
      <c r="AL56" s="25">
        <v>9</v>
      </c>
      <c r="AM56" s="25">
        <v>56</v>
      </c>
      <c r="AN56" s="25">
        <v>56</v>
      </c>
    </row>
    <row r="57" spans="1:40">
      <c r="A57" s="16">
        <v>3</v>
      </c>
      <c r="B57" s="25">
        <v>536</v>
      </c>
      <c r="C57" s="3">
        <v>0.222</v>
      </c>
      <c r="D57" s="25">
        <v>144.5</v>
      </c>
      <c r="E57" s="25">
        <v>294.5</v>
      </c>
      <c r="F57" s="25">
        <v>610</v>
      </c>
      <c r="G57" s="3">
        <v>0.77</v>
      </c>
      <c r="H57" s="3">
        <v>0.09</v>
      </c>
      <c r="I57" s="3">
        <v>0.11</v>
      </c>
      <c r="J57" s="3">
        <v>0.39</v>
      </c>
      <c r="K57" s="3">
        <v>0.41</v>
      </c>
      <c r="L57" s="3">
        <v>1.0999999999999999</v>
      </c>
      <c r="M57" s="3">
        <v>0.87</v>
      </c>
      <c r="N57" s="3">
        <v>0.56999999999999995</v>
      </c>
      <c r="O57" s="3">
        <v>0.23</v>
      </c>
      <c r="P57" s="25">
        <v>0.98</v>
      </c>
      <c r="Q57" s="25">
        <v>0.77</v>
      </c>
      <c r="R57" s="25">
        <v>0.45</v>
      </c>
      <c r="S57" s="25">
        <v>0.46</v>
      </c>
      <c r="T57" s="3">
        <v>0.63</v>
      </c>
      <c r="U57" s="25">
        <v>248</v>
      </c>
      <c r="V57" s="25">
        <v>363</v>
      </c>
      <c r="W57" s="25">
        <v>792</v>
      </c>
      <c r="X57" s="25">
        <v>234</v>
      </c>
      <c r="Y57" s="25">
        <v>290</v>
      </c>
      <c r="Z57" s="25">
        <v>465</v>
      </c>
      <c r="AA57" s="25">
        <v>423</v>
      </c>
      <c r="AB57" s="25">
        <v>731</v>
      </c>
      <c r="AC57" s="25">
        <v>253</v>
      </c>
      <c r="AD57" s="25">
        <v>364</v>
      </c>
      <c r="AE57" s="3">
        <v>0.72</v>
      </c>
      <c r="AF57" s="3">
        <v>0.1</v>
      </c>
      <c r="AG57" s="25">
        <v>50</v>
      </c>
      <c r="AH57" s="25">
        <v>18</v>
      </c>
      <c r="AI57" s="25">
        <v>12</v>
      </c>
      <c r="AJ57" s="25">
        <v>137</v>
      </c>
      <c r="AK57" s="25">
        <v>77</v>
      </c>
      <c r="AL57" s="25">
        <v>64</v>
      </c>
      <c r="AM57" s="25">
        <v>22</v>
      </c>
      <c r="AN57" s="25">
        <v>42</v>
      </c>
    </row>
    <row r="58" spans="1:40">
      <c r="A58" s="16">
        <v>4</v>
      </c>
      <c r="B58" s="25">
        <v>602</v>
      </c>
      <c r="C58" s="3">
        <v>0.18099999999999999</v>
      </c>
      <c r="D58" s="25">
        <v>88.5</v>
      </c>
      <c r="E58" s="25">
        <v>200.40000000000003</v>
      </c>
      <c r="F58" s="25">
        <v>364.5</v>
      </c>
      <c r="G58" s="3">
        <v>0.65</v>
      </c>
      <c r="H58" s="3">
        <v>0.36</v>
      </c>
      <c r="I58" s="3">
        <v>0.24</v>
      </c>
      <c r="J58" s="3">
        <v>0.26</v>
      </c>
      <c r="K58" s="3">
        <v>0.14000000000000001</v>
      </c>
      <c r="L58" s="3">
        <v>1.19</v>
      </c>
      <c r="M58" s="3">
        <v>0.82</v>
      </c>
      <c r="N58" s="3">
        <v>0.87</v>
      </c>
      <c r="O58" s="3">
        <v>0.12</v>
      </c>
      <c r="P58" s="25">
        <v>0.45</v>
      </c>
      <c r="Q58" s="25">
        <v>0.78</v>
      </c>
      <c r="R58" s="25">
        <v>0.5</v>
      </c>
      <c r="S58" s="25">
        <v>0.89</v>
      </c>
      <c r="T58" s="3">
        <v>0.5</v>
      </c>
      <c r="U58" s="25">
        <v>676</v>
      </c>
      <c r="V58" s="25">
        <v>218</v>
      </c>
      <c r="W58" s="25">
        <v>593</v>
      </c>
      <c r="X58" s="25">
        <v>853</v>
      </c>
      <c r="Y58" s="25">
        <v>614</v>
      </c>
      <c r="Z58" s="25">
        <v>268</v>
      </c>
      <c r="AA58" s="25">
        <v>878</v>
      </c>
      <c r="AB58" s="25">
        <v>598</v>
      </c>
      <c r="AC58" s="25">
        <v>630</v>
      </c>
      <c r="AD58" s="25">
        <v>112</v>
      </c>
      <c r="AE58" s="3">
        <v>0.59</v>
      </c>
      <c r="AF58" s="3">
        <v>0.13</v>
      </c>
      <c r="AG58" s="25">
        <v>75</v>
      </c>
      <c r="AH58" s="25">
        <v>26</v>
      </c>
      <c r="AI58" s="25">
        <v>49</v>
      </c>
      <c r="AJ58" s="25">
        <v>101</v>
      </c>
      <c r="AK58" s="25">
        <v>22</v>
      </c>
      <c r="AL58" s="25">
        <v>84</v>
      </c>
      <c r="AM58" s="25">
        <v>47</v>
      </c>
      <c r="AN58" s="25">
        <v>34</v>
      </c>
    </row>
    <row r="59" spans="1:40">
      <c r="A59" s="16">
        <v>5</v>
      </c>
      <c r="B59" s="25">
        <v>830</v>
      </c>
      <c r="C59" s="3">
        <v>0.16200000000000001</v>
      </c>
      <c r="D59" s="25">
        <v>103.80000000000001</v>
      </c>
      <c r="E59" s="25">
        <v>201.00000000000006</v>
      </c>
      <c r="F59" s="25">
        <v>300</v>
      </c>
      <c r="G59" s="3">
        <v>0.79</v>
      </c>
      <c r="H59" s="3">
        <v>0.2</v>
      </c>
      <c r="I59" s="3">
        <v>0.28000000000000003</v>
      </c>
      <c r="J59" s="3">
        <v>0.22</v>
      </c>
      <c r="K59" s="3">
        <v>0.3</v>
      </c>
      <c r="L59" s="3">
        <v>1.0899999999999999</v>
      </c>
      <c r="M59" s="3">
        <v>0.88</v>
      </c>
      <c r="N59" s="3">
        <v>0.69</v>
      </c>
      <c r="O59" s="3">
        <v>0.15</v>
      </c>
      <c r="P59" s="25">
        <v>0.96</v>
      </c>
      <c r="Q59" s="25">
        <v>0.75</v>
      </c>
      <c r="R59" s="25">
        <v>0.43</v>
      </c>
      <c r="S59" s="25">
        <v>0.56000000000000005</v>
      </c>
      <c r="T59" s="3">
        <v>0.9</v>
      </c>
      <c r="U59" s="25">
        <v>400</v>
      </c>
      <c r="V59" s="25">
        <v>259</v>
      </c>
      <c r="W59" s="25">
        <v>345</v>
      </c>
      <c r="X59" s="25">
        <v>549</v>
      </c>
      <c r="Y59" s="25">
        <v>344</v>
      </c>
      <c r="Z59" s="25">
        <v>227</v>
      </c>
      <c r="AA59" s="25">
        <v>506</v>
      </c>
      <c r="AB59" s="25">
        <v>553</v>
      </c>
      <c r="AC59" s="25">
        <v>184</v>
      </c>
      <c r="AD59" s="25">
        <v>733</v>
      </c>
      <c r="AE59" s="3">
        <v>0.62</v>
      </c>
      <c r="AF59" s="3">
        <v>0.2</v>
      </c>
      <c r="AG59" s="25">
        <v>73</v>
      </c>
      <c r="AH59" s="25">
        <v>22</v>
      </c>
      <c r="AI59" s="25">
        <v>49</v>
      </c>
      <c r="AJ59" s="25">
        <v>116</v>
      </c>
      <c r="AK59" s="25">
        <v>75</v>
      </c>
      <c r="AL59" s="25">
        <v>91</v>
      </c>
      <c r="AM59" s="25">
        <v>16</v>
      </c>
      <c r="AN59" s="25">
        <v>25</v>
      </c>
    </row>
    <row r="60" spans="1:40">
      <c r="A60" s="16">
        <v>6</v>
      </c>
      <c r="B60" s="25">
        <v>884</v>
      </c>
      <c r="C60" s="3">
        <v>0.157</v>
      </c>
      <c r="D60" s="25">
        <v>148</v>
      </c>
      <c r="E60" s="25">
        <v>235.2</v>
      </c>
      <c r="F60" s="25">
        <v>368</v>
      </c>
      <c r="G60" s="3">
        <v>0.8</v>
      </c>
      <c r="H60" s="3">
        <v>0.11</v>
      </c>
      <c r="I60" s="3">
        <v>0.27</v>
      </c>
      <c r="J60" s="3">
        <v>0.23</v>
      </c>
      <c r="K60" s="3">
        <v>0.39</v>
      </c>
      <c r="L60" s="3">
        <v>1.17</v>
      </c>
      <c r="M60" s="3">
        <v>0.94</v>
      </c>
      <c r="N60" s="3">
        <v>0.87</v>
      </c>
      <c r="O60" s="3">
        <v>0.17</v>
      </c>
      <c r="P60" s="25">
        <v>0.96</v>
      </c>
      <c r="Q60" s="25">
        <v>0.81</v>
      </c>
      <c r="R60" s="25">
        <v>0.56999999999999995</v>
      </c>
      <c r="S60" s="25">
        <v>0.42</v>
      </c>
      <c r="T60" s="3">
        <v>0.81</v>
      </c>
      <c r="U60" s="25">
        <v>174</v>
      </c>
      <c r="V60" s="25">
        <v>357</v>
      </c>
      <c r="W60" s="25">
        <v>218</v>
      </c>
      <c r="X60" s="25">
        <v>672</v>
      </c>
      <c r="Y60" s="25">
        <v>663</v>
      </c>
      <c r="Z60" s="25">
        <v>688</v>
      </c>
      <c r="AA60" s="25">
        <v>627</v>
      </c>
      <c r="AB60" s="25">
        <v>312</v>
      </c>
      <c r="AC60" s="25">
        <v>224</v>
      </c>
      <c r="AD60" s="25">
        <v>785</v>
      </c>
      <c r="AE60" s="3">
        <v>0.43</v>
      </c>
      <c r="AF60" s="3">
        <v>0.33</v>
      </c>
      <c r="AG60" s="25">
        <v>28</v>
      </c>
      <c r="AH60" s="25">
        <v>27</v>
      </c>
      <c r="AI60" s="25">
        <v>72</v>
      </c>
      <c r="AJ60" s="25">
        <v>67</v>
      </c>
      <c r="AK60" s="25">
        <v>86</v>
      </c>
      <c r="AL60" s="25">
        <v>69</v>
      </c>
      <c r="AM60" s="25">
        <v>7</v>
      </c>
      <c r="AN60" s="25">
        <v>70</v>
      </c>
    </row>
    <row r="61" spans="1:40">
      <c r="A61" s="16">
        <v>7</v>
      </c>
      <c r="B61" s="25">
        <v>626</v>
      </c>
      <c r="C61" s="3">
        <v>0.30500000000000005</v>
      </c>
      <c r="D61" s="25">
        <v>97.200000000000017</v>
      </c>
      <c r="E61" s="25">
        <v>160.20000000000005</v>
      </c>
      <c r="F61" s="25">
        <v>268.5</v>
      </c>
      <c r="G61" s="3">
        <v>0.67</v>
      </c>
      <c r="H61" s="3">
        <v>7.0000000000000007E-2</v>
      </c>
      <c r="I61" s="3">
        <v>0.24</v>
      </c>
      <c r="J61" s="3">
        <v>0.26</v>
      </c>
      <c r="K61" s="3">
        <v>0.43</v>
      </c>
      <c r="L61" s="3">
        <v>0.70000000000000007</v>
      </c>
      <c r="M61" s="3">
        <v>1</v>
      </c>
      <c r="N61" s="3">
        <v>0.65</v>
      </c>
      <c r="O61" s="3">
        <v>0.16</v>
      </c>
      <c r="P61" s="25">
        <v>0.33</v>
      </c>
      <c r="Q61" s="25">
        <v>0.78</v>
      </c>
      <c r="R61" s="25">
        <v>0.59</v>
      </c>
      <c r="S61" s="25">
        <v>0.74</v>
      </c>
      <c r="T61" s="3">
        <v>0.5</v>
      </c>
      <c r="U61" s="25">
        <v>811</v>
      </c>
      <c r="V61" s="25">
        <v>494</v>
      </c>
      <c r="W61" s="25">
        <v>645</v>
      </c>
      <c r="X61" s="25">
        <v>459</v>
      </c>
      <c r="Y61" s="25">
        <v>338</v>
      </c>
      <c r="Z61" s="25">
        <v>357</v>
      </c>
      <c r="AA61" s="25">
        <v>657</v>
      </c>
      <c r="AB61" s="25">
        <v>577</v>
      </c>
      <c r="AC61" s="25">
        <v>815</v>
      </c>
      <c r="AD61" s="25">
        <v>672</v>
      </c>
      <c r="AE61" s="3">
        <v>0.62</v>
      </c>
      <c r="AF61" s="3">
        <v>0.3</v>
      </c>
      <c r="AG61" s="25">
        <v>73</v>
      </c>
      <c r="AH61" s="25">
        <v>26</v>
      </c>
      <c r="AI61" s="25">
        <v>39</v>
      </c>
      <c r="AJ61" s="25">
        <v>78</v>
      </c>
      <c r="AK61" s="25">
        <v>112</v>
      </c>
      <c r="AL61" s="25">
        <v>110</v>
      </c>
      <c r="AM61" s="25">
        <v>47</v>
      </c>
      <c r="AN61" s="25">
        <v>71</v>
      </c>
    </row>
    <row r="62" spans="1:40">
      <c r="A62" s="16">
        <v>8</v>
      </c>
      <c r="B62" s="25">
        <v>632</v>
      </c>
      <c r="C62" s="3">
        <v>0.191</v>
      </c>
      <c r="D62" s="25">
        <v>90.4</v>
      </c>
      <c r="E62" s="25">
        <v>230.40000000000003</v>
      </c>
      <c r="F62" s="25">
        <v>382.4</v>
      </c>
      <c r="G62" s="3">
        <v>0.7</v>
      </c>
      <c r="H62" s="3">
        <v>0.03</v>
      </c>
      <c r="I62" s="3">
        <v>0.28000000000000003</v>
      </c>
      <c r="J62" s="3">
        <v>0.22</v>
      </c>
      <c r="K62" s="3">
        <v>0.47</v>
      </c>
      <c r="L62" s="3">
        <v>0.92</v>
      </c>
      <c r="M62" s="3">
        <v>0.75</v>
      </c>
      <c r="N62" s="3">
        <v>0.7</v>
      </c>
      <c r="O62" s="3">
        <v>0.18</v>
      </c>
      <c r="P62" s="25">
        <v>0.74</v>
      </c>
      <c r="Q62" s="25">
        <v>0.9</v>
      </c>
      <c r="R62" s="25">
        <v>0.36</v>
      </c>
      <c r="S62" s="25">
        <v>0.49</v>
      </c>
      <c r="T62" s="3">
        <v>0.81</v>
      </c>
      <c r="U62" s="25">
        <v>467</v>
      </c>
      <c r="V62" s="25">
        <v>568</v>
      </c>
      <c r="W62" s="25">
        <v>411</v>
      </c>
      <c r="X62" s="25">
        <v>335</v>
      </c>
      <c r="Y62" s="25">
        <v>649</v>
      </c>
      <c r="Z62" s="25">
        <v>677</v>
      </c>
      <c r="AA62" s="25">
        <v>537</v>
      </c>
      <c r="AB62" s="25">
        <v>608</v>
      </c>
      <c r="AC62" s="25">
        <v>617</v>
      </c>
      <c r="AD62" s="25">
        <v>484</v>
      </c>
      <c r="AE62" s="3">
        <v>0.78</v>
      </c>
      <c r="AF62" s="3">
        <v>0.3</v>
      </c>
      <c r="AG62" s="25">
        <v>32</v>
      </c>
      <c r="AH62" s="25">
        <v>21</v>
      </c>
      <c r="AI62" s="25">
        <v>29</v>
      </c>
      <c r="AJ62" s="25">
        <v>47</v>
      </c>
      <c r="AK62" s="25">
        <v>14</v>
      </c>
      <c r="AL62" s="25">
        <v>82</v>
      </c>
      <c r="AM62" s="25">
        <v>20</v>
      </c>
      <c r="AN62" s="25">
        <v>40</v>
      </c>
    </row>
    <row r="63" spans="1:40">
      <c r="A63" s="16">
        <v>9</v>
      </c>
      <c r="B63" s="25">
        <v>518</v>
      </c>
      <c r="C63" s="3">
        <v>0.29900000000000004</v>
      </c>
      <c r="D63" s="25">
        <v>87</v>
      </c>
      <c r="E63" s="25">
        <v>342</v>
      </c>
      <c r="F63" s="25">
        <v>536</v>
      </c>
      <c r="G63" s="3">
        <v>0.65</v>
      </c>
      <c r="H63" s="3">
        <v>0.2</v>
      </c>
      <c r="I63" s="3">
        <v>0.09</v>
      </c>
      <c r="J63" s="3">
        <v>0.41</v>
      </c>
      <c r="K63" s="3">
        <v>0.3</v>
      </c>
      <c r="L63" s="3">
        <v>1.02</v>
      </c>
      <c r="M63" s="3">
        <v>0.77</v>
      </c>
      <c r="N63" s="3">
        <v>0.57999999999999996</v>
      </c>
      <c r="O63" s="3">
        <v>0.16</v>
      </c>
      <c r="P63" s="25">
        <v>0.19</v>
      </c>
      <c r="Q63" s="25">
        <v>0.88</v>
      </c>
      <c r="R63" s="25">
        <v>0.72</v>
      </c>
      <c r="S63" s="25">
        <v>0.44</v>
      </c>
      <c r="T63" s="3">
        <v>0.87</v>
      </c>
      <c r="U63" s="25">
        <v>769</v>
      </c>
      <c r="V63" s="25">
        <v>484</v>
      </c>
      <c r="W63" s="25">
        <v>862</v>
      </c>
      <c r="X63" s="25">
        <v>833</v>
      </c>
      <c r="Y63" s="25">
        <v>654</v>
      </c>
      <c r="Z63" s="25">
        <v>284</v>
      </c>
      <c r="AA63" s="25">
        <v>253</v>
      </c>
      <c r="AB63" s="25">
        <v>439</v>
      </c>
      <c r="AC63" s="25">
        <v>450</v>
      </c>
      <c r="AD63" s="25">
        <v>491</v>
      </c>
      <c r="AE63" s="3">
        <v>0.98</v>
      </c>
      <c r="AF63" s="3">
        <v>0.3</v>
      </c>
      <c r="AG63" s="25">
        <v>74</v>
      </c>
      <c r="AH63" s="25">
        <v>10</v>
      </c>
      <c r="AI63" s="25">
        <v>55</v>
      </c>
      <c r="AJ63" s="25">
        <v>119</v>
      </c>
      <c r="AK63" s="25">
        <v>109</v>
      </c>
      <c r="AL63" s="25">
        <v>45</v>
      </c>
      <c r="AM63" s="25">
        <v>37</v>
      </c>
      <c r="AN63" s="25">
        <v>38</v>
      </c>
    </row>
    <row r="64" spans="1:40">
      <c r="A64" s="16">
        <v>10</v>
      </c>
      <c r="B64" s="25">
        <v>554</v>
      </c>
      <c r="C64" s="3">
        <v>0.35699999999999998</v>
      </c>
      <c r="D64" s="25">
        <v>57</v>
      </c>
      <c r="E64" s="25">
        <v>220.80000000000007</v>
      </c>
      <c r="F64" s="25">
        <v>325.20000000000005</v>
      </c>
      <c r="G64" s="3">
        <v>0.66</v>
      </c>
      <c r="H64" s="3">
        <v>0.28999999999999998</v>
      </c>
      <c r="I64" s="3">
        <v>0.31</v>
      </c>
      <c r="J64" s="3">
        <v>0.19</v>
      </c>
      <c r="K64" s="3">
        <v>0.21</v>
      </c>
      <c r="L64" s="3">
        <v>0.85</v>
      </c>
      <c r="M64" s="3">
        <v>0.77</v>
      </c>
      <c r="N64" s="3">
        <v>0.66</v>
      </c>
      <c r="O64" s="3">
        <v>0.21</v>
      </c>
      <c r="P64" s="25">
        <v>0.32</v>
      </c>
      <c r="Q64" s="25">
        <v>0.91</v>
      </c>
      <c r="R64" s="25">
        <v>0.47</v>
      </c>
      <c r="S64" s="25">
        <v>0.43</v>
      </c>
      <c r="T64" s="3">
        <v>0.64</v>
      </c>
      <c r="U64" s="25">
        <v>765</v>
      </c>
      <c r="V64" s="25">
        <v>375</v>
      </c>
      <c r="W64" s="25">
        <v>603</v>
      </c>
      <c r="X64" s="25">
        <v>236</v>
      </c>
      <c r="Y64" s="25">
        <v>178</v>
      </c>
      <c r="Z64" s="25">
        <v>739</v>
      </c>
      <c r="AA64" s="25">
        <v>188</v>
      </c>
      <c r="AB64" s="25">
        <v>142</v>
      </c>
      <c r="AC64" s="25">
        <v>582</v>
      </c>
      <c r="AD64" s="25">
        <v>664</v>
      </c>
      <c r="AE64" s="3">
        <v>0.96</v>
      </c>
      <c r="AF64" s="3">
        <v>0.17</v>
      </c>
      <c r="AG64" s="25">
        <v>33</v>
      </c>
      <c r="AH64" s="25">
        <v>4</v>
      </c>
      <c r="AI64" s="25">
        <v>45</v>
      </c>
      <c r="AJ64" s="25">
        <v>87</v>
      </c>
      <c r="AK64" s="25">
        <v>11</v>
      </c>
      <c r="AL64" s="25">
        <v>16</v>
      </c>
      <c r="AM64" s="25">
        <v>11</v>
      </c>
      <c r="AN64" s="25">
        <v>7</v>
      </c>
    </row>
    <row r="65" spans="1:40">
      <c r="A65" s="16">
        <v>11</v>
      </c>
      <c r="B65" s="25">
        <v>794</v>
      </c>
      <c r="C65" s="3">
        <v>0.21199999999999999</v>
      </c>
      <c r="D65" s="25">
        <v>75.600000000000023</v>
      </c>
      <c r="E65" s="25">
        <v>213.00000000000006</v>
      </c>
      <c r="F65" s="25">
        <v>299.10000000000002</v>
      </c>
      <c r="G65" s="3">
        <v>0.6</v>
      </c>
      <c r="H65" s="3">
        <v>0.21</v>
      </c>
      <c r="I65" s="3">
        <v>0.35</v>
      </c>
      <c r="J65" s="3">
        <v>0.15</v>
      </c>
      <c r="K65" s="3">
        <v>0.28999999999999998</v>
      </c>
      <c r="L65" s="3">
        <v>0.74</v>
      </c>
      <c r="M65" s="3">
        <v>0.91</v>
      </c>
      <c r="N65" s="3">
        <v>0.86</v>
      </c>
      <c r="O65" s="3">
        <v>0.21</v>
      </c>
      <c r="P65" s="25">
        <v>0.84</v>
      </c>
      <c r="Q65" s="25">
        <v>0.95</v>
      </c>
      <c r="R65" s="25">
        <v>0.61</v>
      </c>
      <c r="S65" s="25">
        <v>0.82</v>
      </c>
      <c r="T65" s="3">
        <v>0.55000000000000004</v>
      </c>
      <c r="U65" s="25">
        <v>435</v>
      </c>
      <c r="V65" s="25">
        <v>140</v>
      </c>
      <c r="W65" s="25">
        <v>181</v>
      </c>
      <c r="X65" s="25">
        <v>549</v>
      </c>
      <c r="Y65" s="25">
        <v>193</v>
      </c>
      <c r="Z65" s="25">
        <v>888</v>
      </c>
      <c r="AA65" s="25">
        <v>375</v>
      </c>
      <c r="AB65" s="25">
        <v>104</v>
      </c>
      <c r="AC65" s="25">
        <v>875</v>
      </c>
      <c r="AD65" s="25">
        <v>211</v>
      </c>
      <c r="AE65" s="3">
        <v>0.72</v>
      </c>
      <c r="AF65" s="3">
        <v>0.23</v>
      </c>
      <c r="AG65" s="25">
        <v>78</v>
      </c>
      <c r="AH65" s="25">
        <v>4</v>
      </c>
      <c r="AI65" s="25">
        <v>12</v>
      </c>
      <c r="AJ65" s="25">
        <v>99</v>
      </c>
      <c r="AK65" s="25">
        <v>37</v>
      </c>
      <c r="AL65" s="25">
        <v>57</v>
      </c>
      <c r="AM65" s="25">
        <v>51</v>
      </c>
      <c r="AN65" s="25">
        <v>9</v>
      </c>
    </row>
    <row r="66" spans="1:40">
      <c r="A66" s="16">
        <v>12</v>
      </c>
      <c r="B66" s="25">
        <v>636</v>
      </c>
      <c r="C66" s="3">
        <v>0.38600000000000001</v>
      </c>
      <c r="D66" s="25">
        <v>183.5</v>
      </c>
      <c r="E66" s="25">
        <v>314</v>
      </c>
      <c r="F66" s="25">
        <v>410.5</v>
      </c>
      <c r="G66" s="3">
        <v>0.61</v>
      </c>
      <c r="H66" s="3">
        <v>0.26</v>
      </c>
      <c r="I66" s="3">
        <v>0.2</v>
      </c>
      <c r="J66" s="3">
        <v>0.3</v>
      </c>
      <c r="K66" s="3">
        <v>0.24</v>
      </c>
      <c r="L66" s="3">
        <v>1.0999999999999999</v>
      </c>
      <c r="M66" s="3">
        <v>0.78</v>
      </c>
      <c r="N66" s="3">
        <v>0.59</v>
      </c>
      <c r="O66" s="3">
        <v>0.14000000000000001</v>
      </c>
      <c r="P66" s="25">
        <v>0.43</v>
      </c>
      <c r="Q66" s="25">
        <v>0.76</v>
      </c>
      <c r="R66" s="25">
        <v>0.55000000000000004</v>
      </c>
      <c r="S66" s="25">
        <v>0.9</v>
      </c>
      <c r="T66" s="3">
        <v>0.51</v>
      </c>
      <c r="U66" s="25">
        <v>715</v>
      </c>
      <c r="V66" s="25">
        <v>783</v>
      </c>
      <c r="W66" s="25">
        <v>831</v>
      </c>
      <c r="X66" s="25">
        <v>119</v>
      </c>
      <c r="Y66" s="25">
        <v>874</v>
      </c>
      <c r="Z66" s="25">
        <v>701</v>
      </c>
      <c r="AA66" s="25">
        <v>432</v>
      </c>
      <c r="AB66" s="25">
        <v>448</v>
      </c>
      <c r="AC66" s="25">
        <v>487</v>
      </c>
      <c r="AD66" s="25">
        <v>898</v>
      </c>
      <c r="AE66" s="3">
        <v>0.55000000000000004</v>
      </c>
      <c r="AF66" s="3">
        <v>0.24</v>
      </c>
      <c r="AG66" s="25">
        <v>33</v>
      </c>
      <c r="AH66" s="25">
        <v>8</v>
      </c>
      <c r="AI66" s="25">
        <v>35</v>
      </c>
      <c r="AJ66" s="25">
        <v>50</v>
      </c>
      <c r="AK66" s="25">
        <v>48</v>
      </c>
      <c r="AL66" s="25">
        <v>35</v>
      </c>
      <c r="AM66" s="25">
        <v>42</v>
      </c>
      <c r="AN66" s="25">
        <v>53</v>
      </c>
    </row>
    <row r="67" spans="1:40">
      <c r="A67" s="16" t="s">
        <v>48</v>
      </c>
      <c r="B67" s="25">
        <v>7432</v>
      </c>
      <c r="C67" s="3">
        <v>0.25666666666666671</v>
      </c>
      <c r="D67" s="25">
        <v>1361.1</v>
      </c>
      <c r="E67" s="25">
        <v>2865.7000000000007</v>
      </c>
      <c r="F67" s="25">
        <v>4479.3999999999996</v>
      </c>
      <c r="G67" s="3">
        <v>0.66916666666666658</v>
      </c>
      <c r="H67" s="3">
        <v>0.19833333333333333</v>
      </c>
      <c r="I67" s="3">
        <v>0.25166666666666671</v>
      </c>
      <c r="J67" s="3">
        <v>0.24833333333333329</v>
      </c>
      <c r="K67" s="3">
        <v>0.30166666666666669</v>
      </c>
      <c r="L67" s="3">
        <v>0.97083333333333333</v>
      </c>
      <c r="M67" s="3">
        <v>0.84083333333333321</v>
      </c>
      <c r="N67" s="3">
        <v>0.70666666666666667</v>
      </c>
      <c r="O67" s="3">
        <v>0.16666666666666666</v>
      </c>
      <c r="P67" s="25">
        <v>0.56500000000000006</v>
      </c>
      <c r="Q67" s="25">
        <v>0.84</v>
      </c>
      <c r="R67" s="25">
        <v>0.49666666666666659</v>
      </c>
      <c r="S67" s="25">
        <v>0.60166666666666668</v>
      </c>
      <c r="T67" s="3">
        <v>0.71250000000000002</v>
      </c>
      <c r="U67" s="25">
        <v>6447</v>
      </c>
      <c r="V67" s="25">
        <v>5029</v>
      </c>
      <c r="W67" s="25">
        <v>6760</v>
      </c>
      <c r="X67" s="25">
        <v>6169</v>
      </c>
      <c r="Y67" s="25">
        <v>5490</v>
      </c>
      <c r="Z67" s="25">
        <v>6333</v>
      </c>
      <c r="AA67" s="25">
        <v>5415</v>
      </c>
      <c r="AB67" s="25">
        <v>5548</v>
      </c>
      <c r="AC67" s="25">
        <v>6072</v>
      </c>
      <c r="AD67" s="25">
        <v>6432</v>
      </c>
      <c r="AE67" s="3">
        <v>0.64833333333333332</v>
      </c>
      <c r="AF67" s="3">
        <v>0.22416666666666671</v>
      </c>
      <c r="AG67" s="25">
        <v>603</v>
      </c>
      <c r="AH67" s="25">
        <v>332</v>
      </c>
      <c r="AI67" s="25">
        <v>632</v>
      </c>
      <c r="AJ67" s="25">
        <v>1010</v>
      </c>
      <c r="AK67" s="25">
        <v>601</v>
      </c>
      <c r="AL67" s="25">
        <v>675</v>
      </c>
      <c r="AM67" s="25">
        <v>411</v>
      </c>
      <c r="AN67" s="25">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SUMMARY REPORT</vt:lpstr>
      <vt:lpstr>STOCK CONTROL</vt:lpstr>
      <vt:lpstr>FIFO LOGISTICS</vt:lpstr>
      <vt:lpstr>Processing</vt:lpstr>
      <vt:lpstr>Data</vt:lpstr>
      <vt:lpstr>Resources</vt:lpstr>
      <vt:lpstr>Control</vt:lpstr>
      <vt:lpstr>mydata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Ivanyk</dc:creator>
  <cp:lastModifiedBy>hp</cp:lastModifiedBy>
  <dcterms:created xsi:type="dcterms:W3CDTF">2024-03-18T10:32:30Z</dcterms:created>
  <dcterms:modified xsi:type="dcterms:W3CDTF">2024-08-07T18:57:59Z</dcterms:modified>
</cp:coreProperties>
</file>