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ing814/Downloads/"/>
    </mc:Choice>
  </mc:AlternateContent>
  <xr:revisionPtr revIDLastSave="0" documentId="13_ncr:1_{7AE32F5D-03CF-C546-ADE4-D4E9A8094FB7}" xr6:coauthVersionLast="45" xr6:coauthVersionMax="46" xr10:uidLastSave="{00000000-0000-0000-0000-000000000000}"/>
  <workbookProtection workbookAlgorithmName="SHA-512" workbookHashValue="2wmzLbaJRpRmhSXw17o06vGqZxkOzNqoniKXCwIg6rvB3jOJr7AR2PKcNdnvCW36wsb8q/U6CPgSPOLdqQyNpA==" workbookSaltValue="xK5I0bU1B5bM/sO9pAL0eg==" workbookSpinCount="100000" lockStructure="1"/>
  <bookViews>
    <workbookView xWindow="0" yWindow="0" windowWidth="28800" windowHeight="18000" activeTab="2" xr2:uid="{00000000-000D-0000-FFFF-FFFF00000000}"/>
  </bookViews>
  <sheets>
    <sheet name="ID" sheetId="1" r:id="rId1"/>
    <sheet name="data" sheetId="2" state="hidden" r:id="rId2"/>
    <sheet name="Forecast" sheetId="3" r:id="rId3"/>
    <sheet name="Aggregate" sheetId="4" r:id="rId4"/>
  </sheets>
  <definedNames>
    <definedName name="solver_cvg" localSheetId="3" hidden="1">0.0001</definedName>
    <definedName name="solver_cvg" localSheetId="0" hidden="1">0.0001</definedName>
    <definedName name="solver_drv" localSheetId="3" hidden="1">1</definedName>
    <definedName name="solver_drv" localSheetId="0" hidden="1">1</definedName>
    <definedName name="solver_eng" localSheetId="3" hidden="1">1</definedName>
    <definedName name="solver_eng" localSheetId="1" hidden="1">1</definedName>
    <definedName name="solver_eng" localSheetId="2" hidden="1">1</definedName>
    <definedName name="solver_eng" localSheetId="0" hidden="1">1</definedName>
    <definedName name="solver_est" localSheetId="3" hidden="1">1</definedName>
    <definedName name="solver_est" localSheetId="0" hidden="1">1</definedName>
    <definedName name="solver_itr" localSheetId="3" hidden="1">2147483647</definedName>
    <definedName name="solver_itr" localSheetId="0" hidden="1">2147483647</definedName>
    <definedName name="solver_lhs0" localSheetId="3" hidden="1">Aggregate!$G$24</definedName>
    <definedName name="solver_lhs1" localSheetId="3" hidden="1">Aggregate!$B$61:$G$61</definedName>
    <definedName name="solver_lhs2" localSheetId="3" hidden="1">Aggregate!$G$66</definedName>
    <definedName name="solver_lhs3" localSheetId="3" hidden="1">Aggregate!$G$66</definedName>
    <definedName name="solver_lhs4" localSheetId="3" hidden="1">Aggregate!#REF!</definedName>
    <definedName name="solver_lhs5" localSheetId="3" hidden="1">Aggregate!#REF!</definedName>
    <definedName name="solver_lhs6" localSheetId="3" hidden="1">Aggregate!#REF!</definedName>
    <definedName name="solver_lhs7" localSheetId="3" hidden="1">Aggregate!#REF!</definedName>
    <definedName name="solver_lhs8" localSheetId="3" hidden="1">Aggregate!$G$24</definedName>
    <definedName name="solver_mip" localSheetId="3" hidden="1">2147483647</definedName>
    <definedName name="solver_mip" localSheetId="0" hidden="1">2147483647</definedName>
    <definedName name="solver_mni" localSheetId="3" hidden="1">30</definedName>
    <definedName name="solver_mni" localSheetId="0" hidden="1">30</definedName>
    <definedName name="solver_mrt" localSheetId="3" hidden="1">0.075</definedName>
    <definedName name="solver_mrt" localSheetId="0" hidden="1">0.075</definedName>
    <definedName name="solver_msl" localSheetId="3" hidden="1">2</definedName>
    <definedName name="solver_msl" localSheetId="0" hidden="1">2</definedName>
    <definedName name="solver_neg" localSheetId="3" hidden="1">1</definedName>
    <definedName name="solver_neg" localSheetId="1" hidden="1">1</definedName>
    <definedName name="solver_neg" localSheetId="2" hidden="1">1</definedName>
    <definedName name="solver_neg" localSheetId="0" hidden="1">1</definedName>
    <definedName name="solver_nod" localSheetId="3" hidden="1">2147483647</definedName>
    <definedName name="solver_nod" localSheetId="0" hidden="1">2147483647</definedName>
    <definedName name="solver_num" localSheetId="3" hidden="1">0</definedName>
    <definedName name="solver_num" localSheetId="1" hidden="1">0</definedName>
    <definedName name="solver_num" localSheetId="2" hidden="1">0</definedName>
    <definedName name="solver_num" localSheetId="0" hidden="1">0</definedName>
    <definedName name="solver_nwt" localSheetId="3" hidden="1">1</definedName>
    <definedName name="solver_nwt" localSheetId="0" hidden="1">1</definedName>
    <definedName name="solver_pre" localSheetId="3" hidden="1">0.000001</definedName>
    <definedName name="solver_pre" localSheetId="0" hidden="1">0.000001</definedName>
    <definedName name="solver_rbv" localSheetId="3" hidden="1">1</definedName>
    <definedName name="solver_rbv" localSheetId="0" hidden="1">1</definedName>
    <definedName name="solver_rel0" localSheetId="3" hidden="1">3</definedName>
    <definedName name="solver_rel1" localSheetId="3" hidden="1">4</definedName>
    <definedName name="solver_rel2" localSheetId="3" hidden="1">3</definedName>
    <definedName name="solver_rel3" localSheetId="3" hidden="1">3</definedName>
    <definedName name="solver_rel4" localSheetId="3" hidden="1">1</definedName>
    <definedName name="solver_rel5" localSheetId="3" hidden="1">1</definedName>
    <definedName name="solver_rel6" localSheetId="3" hidden="1">1</definedName>
    <definedName name="solver_rel7" localSheetId="3" hidden="1">1</definedName>
    <definedName name="solver_rel8" localSheetId="3" hidden="1">3</definedName>
    <definedName name="solver_rhs0" localSheetId="3" hidden="1">Aggregate!$B$12</definedName>
    <definedName name="solver_rhs1" localSheetId="3" hidden="1">integer</definedName>
    <definedName name="solver_rhs2" localSheetId="3" hidden="1">Aggregate!$B$12</definedName>
    <definedName name="solver_rhs3" localSheetId="3" hidden="1">Aggregate!$B$12</definedName>
    <definedName name="solver_rhs4" localSheetId="3" hidden="1">Aggregate!#REF!</definedName>
    <definedName name="solver_rhs5" localSheetId="3" hidden="1">Aggregate!#REF!</definedName>
    <definedName name="solver_rhs6" localSheetId="3" hidden="1">Aggregate!#REF!</definedName>
    <definedName name="solver_rhs7" localSheetId="3" hidden="1">Aggregate!#REF!</definedName>
    <definedName name="solver_rhs8" localSheetId="3" hidden="1">Aggregate!$B$12</definedName>
    <definedName name="solver_rlx" localSheetId="3" hidden="1">2</definedName>
    <definedName name="solver_rlx" localSheetId="0" hidden="1">2</definedName>
    <definedName name="solver_rsd" localSheetId="3" hidden="1">0</definedName>
    <definedName name="solver_rsd" localSheetId="0" hidden="1">0</definedName>
    <definedName name="solver_scl" localSheetId="3" hidden="1">1</definedName>
    <definedName name="solver_scl" localSheetId="0" hidden="1">1</definedName>
    <definedName name="solver_sho" localSheetId="3" hidden="1">2</definedName>
    <definedName name="solver_sho" localSheetId="0" hidden="1">2</definedName>
    <definedName name="solver_ssz" localSheetId="3" hidden="1">100</definedName>
    <definedName name="solver_ssz" localSheetId="0" hidden="1">100</definedName>
    <definedName name="solver_tim" localSheetId="3" hidden="1">2147483647</definedName>
    <definedName name="solver_tim" localSheetId="0" hidden="1">2147483647</definedName>
    <definedName name="solver_tol" localSheetId="3" hidden="1">0.01</definedName>
    <definedName name="solver_tol" localSheetId="0" hidden="1">0.01</definedName>
    <definedName name="solver_typ" localSheetId="3" hidden="1">1</definedName>
    <definedName name="solver_typ" localSheetId="1" hidden="1">1</definedName>
    <definedName name="solver_typ" localSheetId="2" hidden="1">1</definedName>
    <definedName name="solver_typ" localSheetId="0" hidden="1">1</definedName>
    <definedName name="solver_val" localSheetId="3" hidden="1">0</definedName>
    <definedName name="solver_val" localSheetId="1" hidden="1">0</definedName>
    <definedName name="solver_val" localSheetId="2" hidden="1">0</definedName>
    <definedName name="solver_val" localSheetId="0" hidden="1">0</definedName>
    <definedName name="solver_ver" localSheetId="3" hidden="1">3</definedName>
    <definedName name="solver_ver" localSheetId="1" hidden="1">3</definedName>
    <definedName name="solver_ver" localSheetId="2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2" i="2" l="1"/>
  <c r="B3" i="4" l="1"/>
  <c r="B2" i="4"/>
  <c r="B46" i="2"/>
  <c r="L3" i="2" l="1"/>
  <c r="C6" i="3" s="1"/>
  <c r="L4" i="2"/>
  <c r="C7" i="3" s="1"/>
  <c r="L5" i="2"/>
  <c r="C8" i="3" s="1"/>
  <c r="L6" i="2"/>
  <c r="C9" i="3" s="1"/>
  <c r="L7" i="2"/>
  <c r="C10" i="3" s="1"/>
  <c r="L8" i="2"/>
  <c r="C11" i="3" s="1"/>
  <c r="L9" i="2"/>
  <c r="C12" i="3" s="1"/>
  <c r="L10" i="2"/>
  <c r="C13" i="3" s="1"/>
  <c r="L11" i="2"/>
  <c r="C14" i="3" s="1"/>
  <c r="L12" i="2"/>
  <c r="C15" i="3" s="1"/>
  <c r="L13" i="2"/>
  <c r="C16" i="3" s="1"/>
  <c r="L14" i="2"/>
  <c r="C17" i="3" s="1"/>
  <c r="L15" i="2"/>
  <c r="C18" i="3" s="1"/>
  <c r="L16" i="2"/>
  <c r="C19" i="3" s="1"/>
  <c r="L17" i="2"/>
  <c r="C20" i="3" s="1"/>
  <c r="L18" i="2"/>
  <c r="C21" i="3" s="1"/>
  <c r="L19" i="2"/>
  <c r="C22" i="3" s="1"/>
  <c r="L20" i="2"/>
  <c r="C23" i="3" s="1"/>
  <c r="L21" i="2"/>
  <c r="C24" i="3" s="1"/>
  <c r="L22" i="2"/>
  <c r="C25" i="3" s="1"/>
  <c r="L23" i="2"/>
  <c r="C26" i="3" s="1"/>
  <c r="L24" i="2"/>
  <c r="C27" i="3" s="1"/>
  <c r="L25" i="2"/>
  <c r="C28" i="3" s="1"/>
  <c r="L26" i="2"/>
  <c r="C29" i="3" s="1"/>
  <c r="L27" i="2"/>
  <c r="C30" i="3" s="1"/>
  <c r="L2" i="2"/>
  <c r="C5" i="3" s="1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5" i="3"/>
  <c r="K38" i="2" l="1"/>
  <c r="K39" i="2" s="1"/>
  <c r="B38" i="2" s="1"/>
  <c r="B39" i="2" l="1"/>
  <c r="B42" i="2" l="1"/>
  <c r="B43" i="2" s="1"/>
  <c r="P1" i="2"/>
  <c r="B4" i="4"/>
  <c r="C42" i="2" l="1"/>
  <c r="D42" i="2" l="1"/>
  <c r="C43" i="2"/>
  <c r="E42" i="2" l="1"/>
  <c r="D43" i="2"/>
  <c r="F42" i="2" l="1"/>
  <c r="E43" i="2"/>
  <c r="P2" i="2"/>
  <c r="Q2" i="2" s="1"/>
  <c r="E38" i="2" s="1"/>
  <c r="F4" i="3" s="1"/>
  <c r="G42" i="2" l="1"/>
  <c r="F43" i="2"/>
  <c r="R2" i="2"/>
  <c r="P3" i="2"/>
  <c r="H42" i="2" l="1"/>
  <c r="G43" i="2"/>
  <c r="P4" i="2"/>
  <c r="Q3" i="2"/>
  <c r="E39" i="2" s="1"/>
  <c r="I42" i="2" l="1"/>
  <c r="H43" i="2"/>
  <c r="R3" i="2"/>
  <c r="P5" i="2"/>
  <c r="Q4" i="2"/>
  <c r="H38" i="2" s="1"/>
  <c r="F20" i="3" s="1"/>
  <c r="J42" i="2" l="1"/>
  <c r="I43" i="2"/>
  <c r="R4" i="2"/>
  <c r="P6" i="2"/>
  <c r="Q5" i="2"/>
  <c r="B45" i="2" s="1"/>
  <c r="H39" i="2" l="1"/>
  <c r="E4" i="3" s="1"/>
  <c r="K42" i="2"/>
  <c r="K43" i="2" s="1"/>
  <c r="J43" i="2"/>
  <c r="R5" i="2"/>
  <c r="P7" i="2"/>
  <c r="Q6" i="2"/>
  <c r="R6" i="2" s="1"/>
  <c r="F46" i="2" l="1"/>
  <c r="B1" i="4"/>
  <c r="P8" i="2"/>
  <c r="Q7" i="2"/>
  <c r="F47" i="2" s="1"/>
  <c r="B58" i="2" l="1"/>
  <c r="G58" i="2"/>
  <c r="B54" i="2"/>
  <c r="E58" i="2"/>
  <c r="D58" i="2"/>
  <c r="B16" i="4"/>
  <c r="F58" i="2"/>
  <c r="C58" i="2"/>
  <c r="R7" i="2"/>
  <c r="P9" i="2"/>
  <c r="Q8" i="2"/>
  <c r="B48" i="2" s="1"/>
  <c r="B11" i="4" l="1"/>
  <c r="F16" i="4"/>
  <c r="D16" i="4"/>
  <c r="C16" i="4"/>
  <c r="E16" i="4"/>
  <c r="R8" i="2"/>
  <c r="P10" i="2"/>
  <c r="Q9" i="2"/>
  <c r="B49" i="2" l="1"/>
  <c r="C49" i="2"/>
  <c r="D49" i="2"/>
  <c r="B5" i="4"/>
  <c r="R9" i="2"/>
  <c r="P11" i="2"/>
  <c r="Q10" i="2"/>
  <c r="B50" i="2" s="1"/>
  <c r="B6" i="4" l="1"/>
  <c r="R10" i="2"/>
  <c r="P12" i="2"/>
  <c r="Q11" i="2"/>
  <c r="R11" i="2" s="1"/>
  <c r="B51" i="2" l="1"/>
  <c r="B8" i="4"/>
  <c r="B7" i="4"/>
  <c r="P13" i="2"/>
  <c r="Q12" i="2"/>
  <c r="B52" i="2" s="1"/>
  <c r="R12" i="2" l="1"/>
  <c r="B9" i="4"/>
  <c r="P14" i="2"/>
  <c r="Q13" i="2"/>
  <c r="B53" i="2" s="1"/>
  <c r="R13" i="2" l="1"/>
  <c r="B10" i="4"/>
  <c r="P15" i="2"/>
  <c r="Q14" i="2"/>
  <c r="B55" i="2" s="1"/>
  <c r="R14" i="2" l="1"/>
  <c r="B12" i="4"/>
  <c r="P16" i="2"/>
  <c r="Q15" i="2"/>
  <c r="R15" i="2" s="1"/>
  <c r="G16" i="4" l="1"/>
  <c r="H16" i="4" s="1"/>
  <c r="H58" i="2"/>
  <c r="P17" i="2"/>
  <c r="Q16" i="2"/>
  <c r="R16" i="2" s="1"/>
  <c r="P18" i="2" l="1"/>
  <c r="Q17" i="2"/>
  <c r="R17" i="2" s="1"/>
  <c r="P19" i="2" l="1"/>
  <c r="Q18" i="2"/>
  <c r="R18" i="2" s="1"/>
  <c r="P20" i="2" l="1"/>
  <c r="Q19" i="2"/>
  <c r="R19" i="2" s="1"/>
  <c r="P21" i="2" l="1"/>
  <c r="Q20" i="2"/>
  <c r="R20" i="2" s="1"/>
  <c r="P22" i="2" l="1"/>
  <c r="Q21" i="2"/>
  <c r="R21" i="2" s="1"/>
  <c r="P23" i="2" l="1"/>
  <c r="Q22" i="2"/>
  <c r="R22" i="2" s="1"/>
  <c r="P24" i="2" l="1"/>
  <c r="Q23" i="2"/>
  <c r="R23" i="2" s="1"/>
  <c r="P25" i="2" l="1"/>
  <c r="Q24" i="2"/>
  <c r="R24" i="2" s="1"/>
  <c r="P26" i="2" l="1"/>
  <c r="Q25" i="2"/>
  <c r="R25" i="2" s="1"/>
  <c r="P27" i="2" l="1"/>
  <c r="Q26" i="2"/>
  <c r="R26" i="2" s="1"/>
  <c r="P28" i="2" l="1"/>
  <c r="Q27" i="2"/>
  <c r="R27" i="2" s="1"/>
  <c r="P29" i="2" l="1"/>
  <c r="Q28" i="2"/>
  <c r="R28" i="2" s="1"/>
  <c r="P30" i="2" l="1"/>
  <c r="Q29" i="2"/>
  <c r="R29" i="2" s="1"/>
  <c r="P31" i="2" l="1"/>
  <c r="Q30" i="2"/>
  <c r="R30" i="2" s="1"/>
  <c r="P32" i="2" l="1"/>
  <c r="Q32" i="2" s="1"/>
  <c r="R32" i="2" s="1"/>
  <c r="Q31" i="2"/>
  <c r="R31" i="2" s="1"/>
</calcChain>
</file>

<file path=xl/sharedStrings.xml><?xml version="1.0" encoding="utf-8"?>
<sst xmlns="http://schemas.openxmlformats.org/spreadsheetml/2006/main" count="107" uniqueCount="92">
  <si>
    <t>Student ID:</t>
  </si>
  <si>
    <t>← input your own Student ID</t>
  </si>
  <si>
    <t>alpha=</t>
  </si>
  <si>
    <t>delta=</t>
  </si>
  <si>
    <t>Lehmer</t>
  </si>
  <si>
    <t>Uniform</t>
  </si>
  <si>
    <t>Normal</t>
  </si>
  <si>
    <t>Beginning Inventory</t>
  </si>
  <si>
    <t>Regular hours per month</t>
  </si>
  <si>
    <t>Inventory holding cost</t>
  </si>
  <si>
    <t>Backorder cost</t>
  </si>
  <si>
    <t>Period</t>
  </si>
  <si>
    <t>Total</t>
  </si>
  <si>
    <t>Demand</t>
  </si>
  <si>
    <t>Hiring workers</t>
  </si>
  <si>
    <t>Laying off workers</t>
  </si>
  <si>
    <t>Ending Inventory (use negative for backorder)</t>
  </si>
  <si>
    <t>Total cost:</t>
  </si>
  <si>
    <t>Numbers</t>
  </si>
  <si>
    <t>productivity</t>
  </si>
  <si>
    <t>monthly hours</t>
  </si>
  <si>
    <t>stockout</t>
  </si>
  <si>
    <t>hire</t>
  </si>
  <si>
    <t>layoff</t>
  </si>
  <si>
    <t>End inv</t>
  </si>
  <si>
    <t>current workers</t>
  </si>
  <si>
    <t>Begin inv</t>
  </si>
  <si>
    <t>base</t>
  </si>
  <si>
    <t>var</t>
  </si>
  <si>
    <t>inv cost</t>
  </si>
  <si>
    <t>units</t>
  </si>
  <si>
    <t>$ per hour</t>
  </si>
  <si>
    <t>$ per unit per month</t>
  </si>
  <si>
    <t>$ per worker</t>
  </si>
  <si>
    <t>hours</t>
  </si>
  <si>
    <t>Required Ending Inventory of June</t>
  </si>
  <si>
    <t>Beginning Inventory of January</t>
  </si>
  <si>
    <t>units (at least these many units)</t>
  </si>
  <si>
    <t>Hiring cost</t>
  </si>
  <si>
    <t>Laying off cost</t>
  </si>
  <si>
    <t>Initial number of workers</t>
  </si>
  <si>
    <t>After inputing your student ID into the red cell,</t>
  </si>
  <si>
    <t>check your data for Q1 in Sheet "Forecast";</t>
  </si>
  <si>
    <t>last=</t>
  </si>
  <si>
    <t>end1-9</t>
  </si>
  <si>
    <t>check your data for Q2 in Sheet "Aggregate".</t>
  </si>
  <si>
    <t>Time</t>
  </si>
  <si>
    <t>bit-x</t>
  </si>
  <si>
    <t>bitbay</t>
  </si>
  <si>
    <t>bitfinex</t>
  </si>
  <si>
    <t>bitstamp</t>
  </si>
  <si>
    <t>cex.io</t>
  </si>
  <si>
    <t>coinbase</t>
  </si>
  <si>
    <t>gemini</t>
  </si>
  <si>
    <t>korbit</t>
  </si>
  <si>
    <t>kraken</t>
  </si>
  <si>
    <t>others</t>
  </si>
  <si>
    <t>Volume</t>
  </si>
  <si>
    <t>exchange=</t>
  </si>
  <si>
    <t>Trading Volume (BTC)</t>
  </si>
  <si>
    <t>Exponential Smoothing</t>
  </si>
  <si>
    <t>Linear Regression</t>
  </si>
  <si>
    <t>based on data from 21/9/2020 to 3/1/2021</t>
  </si>
  <si>
    <t>Week (with starting day dd/mm/yyyy)</t>
  </si>
  <si>
    <t>F0=</t>
  </si>
  <si>
    <t>exchange id=</t>
  </si>
  <si>
    <t>n=</t>
  </si>
  <si>
    <r>
      <t xml:space="preserve">with </t>
    </r>
    <r>
      <rPr>
        <i/>
        <sz val="11"/>
        <color rgb="FF0070C0"/>
        <rFont val="新細明體"/>
        <family val="2"/>
        <scheme val="minor"/>
      </rPr>
      <t>n</t>
    </r>
    <r>
      <rPr>
        <sz val="11"/>
        <color rgb="FF0070C0"/>
        <rFont val="新細明體"/>
        <family val="2"/>
        <scheme val="minor"/>
      </rPr>
      <t>=</t>
    </r>
  </si>
  <si>
    <r>
      <t xml:space="preserve">with </t>
    </r>
    <r>
      <rPr>
        <i/>
        <sz val="11"/>
        <color rgb="FF0070C0"/>
        <rFont val="Times New Roman"/>
        <family val="1"/>
      </rPr>
      <t>α</t>
    </r>
    <r>
      <rPr>
        <sz val="11"/>
        <color rgb="FF0070C0"/>
        <rFont val="新細明體"/>
        <family val="2"/>
        <scheme val="minor"/>
      </rPr>
      <t>=</t>
    </r>
  </si>
  <si>
    <t>Forecast of Trading Volume by Different Methods</t>
  </si>
  <si>
    <t>Production quantity (using prefabs)</t>
  </si>
  <si>
    <t>Labor cost</t>
  </si>
  <si>
    <t>Additional material cost (prefabs)</t>
  </si>
  <si>
    <t>Total number of workers</t>
  </si>
  <si>
    <t>Number of workers (not using prefabs)</t>
  </si>
  <si>
    <t>Number of workers (using prefabs)</t>
  </si>
  <si>
    <t>Salary</t>
  </si>
  <si>
    <t>Additional material cost of using prefabs</t>
  </si>
  <si>
    <t>$ per unit</t>
  </si>
  <si>
    <t>Required Production time (using prefabs)</t>
  </si>
  <si>
    <t>Required Production time (not using prefabs)</t>
  </si>
  <si>
    <t>---</t>
  </si>
  <si>
    <t>Production quantity (not using prefabs)</t>
  </si>
  <si>
    <t>salary</t>
  </si>
  <si>
    <t>additional prefabs</t>
  </si>
  <si>
    <t>normal prod time</t>
  </si>
  <si>
    <t>prod time prefabs</t>
  </si>
  <si>
    <t>min</t>
  </si>
  <si>
    <r>
      <t>worker</t>
    </r>
    <r>
      <rPr>
        <sz val="11"/>
        <color theme="1"/>
        <rFont val="Calibri"/>
        <family val="2"/>
      </rPr>
      <t>∙</t>
    </r>
    <r>
      <rPr>
        <sz val="11"/>
        <color theme="1"/>
        <rFont val="新細明體"/>
        <family val="2"/>
        <charset val="136"/>
        <scheme val="minor"/>
      </rPr>
      <t>minute per unit</t>
    </r>
  </si>
  <si>
    <t>worker∙minute per unit</t>
  </si>
  <si>
    <t>Simple Moving Average</t>
  </si>
  <si>
    <t>20024997D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</si>
</sst>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8">
    <font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sz val="11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  <font>
      <sz val="11"/>
      <color rgb="FF0070C0"/>
      <name val="新細明體"/>
      <family val="2"/>
      <scheme val="minor"/>
    </font>
    <font>
      <i/>
      <sz val="11"/>
      <color rgb="FF0070C0"/>
      <name val="新細明體"/>
      <family val="2"/>
      <scheme val="minor"/>
    </font>
    <font>
      <i/>
      <sz val="11"/>
      <color rgb="FF0070C0"/>
      <name val="Times New Roman"/>
      <family val="1"/>
    </font>
    <font>
      <sz val="9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52">
    <xf numFmtId="0" fontId="0" fillId="0" borderId="0" xfId="0"/>
    <xf numFmtId="0" fontId="1" fillId="0" borderId="0" xfId="0" applyFont="1"/>
    <xf numFmtId="176" fontId="0" fillId="0" borderId="0" xfId="0" applyNumberFormat="1"/>
    <xf numFmtId="0" fontId="2" fillId="0" borderId="0" xfId="1">
      <alignment vertical="center"/>
    </xf>
    <xf numFmtId="0" fontId="0" fillId="3" borderId="0" xfId="0" applyFill="1"/>
    <xf numFmtId="0" fontId="0" fillId="0" borderId="0" xfId="0" applyFill="1"/>
    <xf numFmtId="0" fontId="0" fillId="0" borderId="1" xfId="0" applyFill="1" applyBorder="1"/>
    <xf numFmtId="0" fontId="0" fillId="0" borderId="1" xfId="0" applyBorder="1"/>
    <xf numFmtId="0" fontId="2" fillId="0" borderId="4" xfId="1" applyBorder="1">
      <alignment vertical="center"/>
    </xf>
    <xf numFmtId="0" fontId="2" fillId="0" borderId="0" xfId="1" applyBorder="1">
      <alignment vertical="center"/>
    </xf>
    <xf numFmtId="0" fontId="2" fillId="0" borderId="5" xfId="1" applyBorder="1">
      <alignment vertical="center"/>
    </xf>
    <xf numFmtId="0" fontId="2" fillId="0" borderId="6" xfId="1" applyBorder="1">
      <alignment vertical="center"/>
    </xf>
    <xf numFmtId="0" fontId="2" fillId="0" borderId="1" xfId="1" applyBorder="1">
      <alignment vertical="center"/>
    </xf>
    <xf numFmtId="0" fontId="2" fillId="3" borderId="7" xfId="1" applyFill="1" applyBorder="1">
      <alignment vertical="center"/>
    </xf>
    <xf numFmtId="0" fontId="2" fillId="0" borderId="3" xfId="1" applyBorder="1">
      <alignment vertical="center"/>
    </xf>
    <xf numFmtId="0" fontId="2" fillId="2" borderId="3" xfId="1" applyFill="1" applyBorder="1">
      <alignment vertical="center"/>
    </xf>
    <xf numFmtId="0" fontId="2" fillId="0" borderId="0" xfId="1" applyFill="1">
      <alignment vertical="center"/>
    </xf>
    <xf numFmtId="0" fontId="3" fillId="0" borderId="0" xfId="1" applyFont="1">
      <alignment vertical="center"/>
    </xf>
    <xf numFmtId="0" fontId="2" fillId="0" borderId="3" xfId="1" applyFill="1" applyBorder="1">
      <alignment vertical="center"/>
    </xf>
    <xf numFmtId="0" fontId="2" fillId="0" borderId="0" xfId="1" applyFill="1" applyBorder="1">
      <alignment vertical="center"/>
    </xf>
    <xf numFmtId="0" fontId="2" fillId="4" borderId="0" xfId="1" applyFill="1">
      <alignment vertical="center"/>
    </xf>
    <xf numFmtId="0" fontId="3" fillId="4" borderId="0" xfId="1" applyFont="1" applyFill="1">
      <alignment vertical="center"/>
    </xf>
    <xf numFmtId="0" fontId="2" fillId="4" borderId="3" xfId="1" applyFill="1" applyBorder="1">
      <alignment vertical="center"/>
    </xf>
    <xf numFmtId="0" fontId="0" fillId="0" borderId="0" xfId="0" applyFill="1" applyBorder="1"/>
    <xf numFmtId="14" fontId="0" fillId="0" borderId="0" xfId="0" applyNumberFormat="1"/>
    <xf numFmtId="0" fontId="0" fillId="0" borderId="8" xfId="0" applyFill="1" applyBorder="1"/>
    <xf numFmtId="176" fontId="0" fillId="0" borderId="0" xfId="0" applyNumberFormat="1" applyFill="1" applyBorder="1"/>
    <xf numFmtId="0" fontId="0" fillId="0" borderId="0" xfId="0" applyBorder="1"/>
    <xf numFmtId="176" fontId="0" fillId="0" borderId="9" xfId="0" applyNumberFormat="1" applyFill="1" applyBorder="1"/>
    <xf numFmtId="0" fontId="0" fillId="0" borderId="10" xfId="0" applyBorder="1"/>
    <xf numFmtId="0" fontId="0" fillId="4" borderId="10" xfId="0" applyFill="1" applyBorder="1"/>
    <xf numFmtId="0" fontId="0" fillId="2" borderId="10" xfId="0" applyFill="1" applyBorder="1"/>
    <xf numFmtId="0" fontId="0" fillId="0" borderId="9" xfId="0" applyFill="1" applyBorder="1"/>
    <xf numFmtId="0" fontId="0" fillId="2" borderId="11" xfId="0" applyFill="1" applyBorder="1"/>
    <xf numFmtId="0" fontId="0" fillId="0" borderId="14" xfId="0" applyBorder="1"/>
    <xf numFmtId="0" fontId="0" fillId="0" borderId="8" xfId="0" applyBorder="1"/>
    <xf numFmtId="0" fontId="0" fillId="0" borderId="4" xfId="0" applyBorder="1"/>
    <xf numFmtId="0" fontId="0" fillId="0" borderId="6" xfId="0" applyFill="1" applyBorder="1"/>
    <xf numFmtId="14" fontId="0" fillId="0" borderId="14" xfId="0" applyNumberFormat="1" applyFill="1" applyBorder="1"/>
    <xf numFmtId="14" fontId="0" fillId="0" borderId="4" xfId="0" applyNumberFormat="1" applyFill="1" applyBorder="1"/>
    <xf numFmtId="14" fontId="0" fillId="0" borderId="6" xfId="0" applyNumberFormat="1" applyFill="1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2" fillId="0" borderId="3" xfId="1" applyBorder="1" applyAlignment="1">
      <alignment horizontal="right" vertical="center"/>
    </xf>
    <xf numFmtId="0" fontId="2" fillId="0" borderId="3" xfId="1" quotePrefix="1" applyBorder="1" applyAlignment="1">
      <alignment horizontal="center" vertical="center"/>
    </xf>
    <xf numFmtId="0" fontId="2" fillId="0" borderId="0" xfId="1" quotePrefix="1" applyFill="1" applyBorder="1" applyAlignment="1">
      <alignment horizontal="center" vertical="center"/>
    </xf>
    <xf numFmtId="0" fontId="2" fillId="0" borderId="0" xfId="1" applyFill="1" applyBorder="1" applyAlignment="1">
      <alignment horizontal="right" vertical="center"/>
    </xf>
    <xf numFmtId="0" fontId="3" fillId="0" borderId="1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3" xfId="0" applyFont="1" applyBorder="1" applyAlignment="1">
      <alignment horizontal="center"/>
    </xf>
  </cellXfs>
  <cellStyles count="2">
    <cellStyle name="一般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D11" sqref="D11"/>
    </sheetView>
  </sheetViews>
  <sheetFormatPr baseColWidth="10" defaultColWidth="9" defaultRowHeight="14"/>
  <cols>
    <col min="1" max="1" width="10.796875" customWidth="1"/>
    <col min="2" max="2" width="12" customWidth="1"/>
  </cols>
  <sheetData>
    <row r="1" spans="1:3" ht="15">
      <c r="A1" t="s">
        <v>0</v>
      </c>
      <c r="B1" s="4" t="s">
        <v>91</v>
      </c>
      <c r="C1" s="1" t="s">
        <v>1</v>
      </c>
    </row>
    <row r="6" spans="1:3">
      <c r="A6" t="s">
        <v>41</v>
      </c>
    </row>
    <row r="7" spans="1:3">
      <c r="A7" t="s">
        <v>42</v>
      </c>
    </row>
    <row r="8" spans="1:3">
      <c r="A8" t="s">
        <v>45</v>
      </c>
    </row>
  </sheetData>
  <phoneticPr fontId="7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8"/>
  <sheetViews>
    <sheetView workbookViewId="0">
      <selection activeCell="I48" sqref="I48"/>
    </sheetView>
  </sheetViews>
  <sheetFormatPr baseColWidth="10" defaultColWidth="9" defaultRowHeight="14"/>
  <cols>
    <col min="1" max="1" width="15" customWidth="1"/>
    <col min="16" max="16" width="10.59765625" customWidth="1"/>
  </cols>
  <sheetData>
    <row r="1" spans="1:18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O1" t="s">
        <v>4</v>
      </c>
      <c r="P1" t="str">
        <f>MID(ID!$B$1,4,5)</f>
        <v>24997</v>
      </c>
      <c r="Q1" t="s">
        <v>5</v>
      </c>
      <c r="R1" t="s">
        <v>6</v>
      </c>
    </row>
    <row r="2" spans="1:18">
      <c r="A2" s="24">
        <v>44095.083333333336</v>
      </c>
      <c r="B2">
        <v>51228.153899999998</v>
      </c>
      <c r="C2">
        <v>9201.9244621099897</v>
      </c>
      <c r="D2">
        <v>13547.673616399999</v>
      </c>
      <c r="E2">
        <v>35380.11386433</v>
      </c>
      <c r="F2">
        <v>1326.48624666</v>
      </c>
      <c r="G2">
        <v>51950.864447099899</v>
      </c>
      <c r="H2">
        <v>7694.9338228318002</v>
      </c>
      <c r="I2">
        <v>675.58830177994105</v>
      </c>
      <c r="J2">
        <v>41466.309049880001</v>
      </c>
      <c r="K2">
        <v>4935.6744043899998</v>
      </c>
      <c r="L2">
        <f>ROUND(SUM(B2:K2), 2)</f>
        <v>217407.72</v>
      </c>
      <c r="P2">
        <f>MOD(48271*P1,2^31-1)</f>
        <v>1206630187</v>
      </c>
      <c r="Q2">
        <f>P2/(2^31-1)</f>
        <v>0.56188096644444441</v>
      </c>
      <c r="R2">
        <f>_xlfn.NORM.INV(Q2,0,1)</f>
        <v>0.15573987224368602</v>
      </c>
    </row>
    <row r="3" spans="1:18">
      <c r="A3" s="24">
        <v>44102.083333333336</v>
      </c>
      <c r="B3">
        <v>52126.739600000001</v>
      </c>
      <c r="C3">
        <v>9340.0812228800005</v>
      </c>
      <c r="D3">
        <v>18965.480392599999</v>
      </c>
      <c r="E3">
        <v>42394.551673709997</v>
      </c>
      <c r="F3">
        <v>1563.5272729000001</v>
      </c>
      <c r="G3">
        <v>64302.514070930003</v>
      </c>
      <c r="H3">
        <v>9060.8115209921998</v>
      </c>
      <c r="I3">
        <v>533.75993834216399</v>
      </c>
      <c r="J3">
        <v>47577.361102119998</v>
      </c>
      <c r="K3">
        <v>5743.5769913800004</v>
      </c>
      <c r="L3">
        <f t="shared" ref="L3:L27" si="0">ROUND(SUM(B3:K3), 2)</f>
        <v>251608.4</v>
      </c>
      <c r="P3">
        <f t="shared" ref="P3:P32" si="1">MOD(48271*P2,2^31-1)</f>
        <v>1194282743</v>
      </c>
      <c r="Q3">
        <f t="shared" ref="Q3:Q32" si="2">P3/(2^31-1)</f>
        <v>0.55613123977376666</v>
      </c>
      <c r="R3">
        <f t="shared" ref="R3:R32" si="3">_xlfn.NORM.INV(Q3,0,1)</f>
        <v>0.14116762622340137</v>
      </c>
    </row>
    <row r="4" spans="1:18">
      <c r="A4" s="24">
        <v>44109.083333333336</v>
      </c>
      <c r="B4">
        <v>56909.625500000097</v>
      </c>
      <c r="C4">
        <v>9278.1782913400002</v>
      </c>
      <c r="D4">
        <v>18490.68928251</v>
      </c>
      <c r="E4">
        <v>41491.733586620001</v>
      </c>
      <c r="F4">
        <v>1567.3182395900001</v>
      </c>
      <c r="G4">
        <v>66329.801268449999</v>
      </c>
      <c r="H4">
        <v>9434.3182245078897</v>
      </c>
      <c r="I4">
        <v>569.15418752457094</v>
      </c>
      <c r="J4">
        <v>48028.960604319902</v>
      </c>
      <c r="K4">
        <v>5886.4373650200005</v>
      </c>
      <c r="L4">
        <f t="shared" si="0"/>
        <v>257986.22</v>
      </c>
      <c r="P4">
        <f t="shared" si="1"/>
        <v>23783638</v>
      </c>
      <c r="Q4">
        <f t="shared" si="2"/>
        <v>1.107511949309852E-2</v>
      </c>
      <c r="R4">
        <f t="shared" si="3"/>
        <v>-2.2877816669942077</v>
      </c>
    </row>
    <row r="5" spans="1:18">
      <c r="A5" s="24">
        <v>44116.083333333336</v>
      </c>
      <c r="B5">
        <v>55114.858999999997</v>
      </c>
      <c r="C5">
        <v>9987.4277948300005</v>
      </c>
      <c r="D5">
        <v>22904.325488199898</v>
      </c>
      <c r="E5">
        <v>35995.028763089998</v>
      </c>
      <c r="F5">
        <v>1606.8967585099999</v>
      </c>
      <c r="G5">
        <v>63232.659527880001</v>
      </c>
      <c r="H5">
        <v>8183.9150590882</v>
      </c>
      <c r="I5">
        <v>540.70344803865396</v>
      </c>
      <c r="J5">
        <v>46941.651706010001</v>
      </c>
      <c r="K5">
        <v>5941.8123553399992</v>
      </c>
      <c r="L5">
        <f t="shared" si="0"/>
        <v>250449.28</v>
      </c>
      <c r="P5">
        <f t="shared" si="1"/>
        <v>1303722400</v>
      </c>
      <c r="Q5">
        <f t="shared" si="2"/>
        <v>0.60709305135863512</v>
      </c>
      <c r="R5">
        <f t="shared" si="3"/>
        <v>0.27175046258728802</v>
      </c>
    </row>
    <row r="6" spans="1:18">
      <c r="A6" s="24">
        <v>44123.083333333336</v>
      </c>
      <c r="B6">
        <v>54483.344499999897</v>
      </c>
      <c r="C6">
        <v>17216.853194340001</v>
      </c>
      <c r="D6">
        <v>39182.994253810197</v>
      </c>
      <c r="E6">
        <v>67432.890275020007</v>
      </c>
      <c r="F6">
        <v>1830.7843946099999</v>
      </c>
      <c r="G6">
        <v>125095.2139165</v>
      </c>
      <c r="H6">
        <v>15876.595445636</v>
      </c>
      <c r="I6">
        <v>1222.7430219415501</v>
      </c>
      <c r="J6">
        <v>75525.743095209997</v>
      </c>
      <c r="K6">
        <v>9318.9843580799989</v>
      </c>
      <c r="L6">
        <f t="shared" si="0"/>
        <v>407186.15</v>
      </c>
      <c r="P6">
        <f t="shared" si="1"/>
        <v>2123178712</v>
      </c>
      <c r="Q6">
        <f t="shared" si="2"/>
        <v>0.98868213267469873</v>
      </c>
      <c r="R6">
        <f t="shared" si="3"/>
        <v>2.2795273738227415</v>
      </c>
    </row>
    <row r="7" spans="1:18">
      <c r="A7" s="24">
        <v>44130.041666666664</v>
      </c>
      <c r="B7">
        <v>54986.516199999998</v>
      </c>
      <c r="C7">
        <v>15103.94183263</v>
      </c>
      <c r="D7">
        <v>40578.55351392</v>
      </c>
      <c r="E7">
        <v>69451.755829779999</v>
      </c>
      <c r="F7">
        <v>1601.44414557</v>
      </c>
      <c r="G7">
        <v>119756.71266455</v>
      </c>
      <c r="H7">
        <v>16318.5336723569</v>
      </c>
      <c r="I7">
        <v>1335.92539790397</v>
      </c>
      <c r="J7">
        <v>81197.997669249802</v>
      </c>
      <c r="K7">
        <v>8842.790356290001</v>
      </c>
      <c r="L7">
        <f t="shared" si="0"/>
        <v>409174.17</v>
      </c>
      <c r="P7">
        <f t="shared" si="1"/>
        <v>1450037524</v>
      </c>
      <c r="Q7">
        <f t="shared" si="2"/>
        <v>0.67522634038479368</v>
      </c>
      <c r="R7">
        <f t="shared" si="3"/>
        <v>0.45439115249071121</v>
      </c>
    </row>
    <row r="8" spans="1:18">
      <c r="A8" s="24">
        <v>44137.041666666664</v>
      </c>
      <c r="B8">
        <v>53312.2144999999</v>
      </c>
      <c r="C8">
        <v>22106.05055598</v>
      </c>
      <c r="D8">
        <v>71338.198512660005</v>
      </c>
      <c r="E8">
        <v>92263.740460629895</v>
      </c>
      <c r="F8">
        <v>2092.5815222900001</v>
      </c>
      <c r="G8">
        <v>161938.49288077999</v>
      </c>
      <c r="H8">
        <v>15081.8373937249</v>
      </c>
      <c r="I8">
        <v>1886.7337897273001</v>
      </c>
      <c r="J8">
        <v>105754.05129325</v>
      </c>
      <c r="K8">
        <v>11282.427472729996</v>
      </c>
      <c r="L8">
        <f t="shared" si="0"/>
        <v>537056.32999999996</v>
      </c>
      <c r="P8">
        <f t="shared" si="1"/>
        <v>1826814333</v>
      </c>
      <c r="Q8">
        <f t="shared" si="2"/>
        <v>0.8506767143731363</v>
      </c>
      <c r="R8">
        <f t="shared" si="3"/>
        <v>1.0393401434514444</v>
      </c>
    </row>
    <row r="9" spans="1:18">
      <c r="A9" s="24">
        <v>44144.041666666664</v>
      </c>
      <c r="B9">
        <v>50685.330900000001</v>
      </c>
      <c r="C9">
        <v>18437.678786389999</v>
      </c>
      <c r="D9">
        <v>47212.5261528997</v>
      </c>
      <c r="E9">
        <v>81245.596659450006</v>
      </c>
      <c r="F9">
        <v>1690.1105753300001</v>
      </c>
      <c r="G9">
        <v>120813.5723873</v>
      </c>
      <c r="H9">
        <v>11264.535976618499</v>
      </c>
      <c r="I9">
        <v>1298.0913102423899</v>
      </c>
      <c r="J9">
        <v>79292.357353639803</v>
      </c>
      <c r="K9">
        <v>7755.442202459999</v>
      </c>
      <c r="L9">
        <f t="shared" si="0"/>
        <v>419695.24</v>
      </c>
      <c r="P9">
        <f t="shared" si="1"/>
        <v>33671482</v>
      </c>
      <c r="Q9">
        <f t="shared" si="2"/>
        <v>1.5679505660980711E-2</v>
      </c>
      <c r="R9">
        <f t="shared" si="3"/>
        <v>-2.1524870859212433</v>
      </c>
    </row>
    <row r="10" spans="1:18">
      <c r="A10" s="24">
        <v>44151.041666666664</v>
      </c>
      <c r="B10">
        <v>48921.592699999899</v>
      </c>
      <c r="C10">
        <v>20384.618554299999</v>
      </c>
      <c r="D10">
        <v>65425.835424709301</v>
      </c>
      <c r="E10">
        <v>88168.853818169897</v>
      </c>
      <c r="F10">
        <v>2017.09196094</v>
      </c>
      <c r="G10">
        <v>167207.67813792999</v>
      </c>
      <c r="H10">
        <v>16261.2439653979</v>
      </c>
      <c r="I10">
        <v>2910.2208809879498</v>
      </c>
      <c r="J10">
        <v>108430.52916445999</v>
      </c>
      <c r="K10">
        <v>11262.330450479998</v>
      </c>
      <c r="L10">
        <f t="shared" si="0"/>
        <v>530990</v>
      </c>
      <c r="P10">
        <f t="shared" si="1"/>
        <v>1858470490</v>
      </c>
      <c r="Q10">
        <f t="shared" si="2"/>
        <v>0.86541776119983649</v>
      </c>
      <c r="R10">
        <f t="shared" si="3"/>
        <v>1.1049887183523395</v>
      </c>
    </row>
    <row r="11" spans="1:18">
      <c r="A11" s="24">
        <v>44158.041666666664</v>
      </c>
      <c r="B11">
        <v>50423.785000000003</v>
      </c>
      <c r="C11">
        <v>18285.85824143</v>
      </c>
      <c r="D11">
        <v>91884.943496627602</v>
      </c>
      <c r="E11">
        <v>96647.847730339898</v>
      </c>
      <c r="F11">
        <v>2710.8858198799999</v>
      </c>
      <c r="G11">
        <v>193230.35315444999</v>
      </c>
      <c r="H11">
        <v>21182.474975363399</v>
      </c>
      <c r="I11">
        <v>3597.0843882866898</v>
      </c>
      <c r="J11">
        <v>113325.30356514</v>
      </c>
      <c r="K11">
        <v>12241.610037570001</v>
      </c>
      <c r="L11">
        <f t="shared" si="0"/>
        <v>603530.15</v>
      </c>
      <c r="P11">
        <f t="shared" si="1"/>
        <v>1247153012</v>
      </c>
      <c r="Q11">
        <f t="shared" si="2"/>
        <v>0.58075087730807762</v>
      </c>
      <c r="R11">
        <f t="shared" si="3"/>
        <v>0.20381477631183503</v>
      </c>
    </row>
    <row r="12" spans="1:18">
      <c r="A12" s="24">
        <v>44165.041666666664</v>
      </c>
      <c r="B12">
        <v>52703.926700000004</v>
      </c>
      <c r="C12">
        <v>18258.752425359999</v>
      </c>
      <c r="D12">
        <v>66478.742773357706</v>
      </c>
      <c r="E12">
        <v>63427.203657749902</v>
      </c>
      <c r="F12">
        <v>2416.5244804499998</v>
      </c>
      <c r="G12">
        <v>135734.15598467999</v>
      </c>
      <c r="H12">
        <v>14249.827452858301</v>
      </c>
      <c r="I12">
        <v>2053.44139654936</v>
      </c>
      <c r="J12">
        <v>91991.376288309795</v>
      </c>
      <c r="K12">
        <v>9024.841200679999</v>
      </c>
      <c r="L12">
        <f t="shared" si="0"/>
        <v>456338.79</v>
      </c>
      <c r="P12">
        <f t="shared" si="1"/>
        <v>913965901</v>
      </c>
      <c r="Q12">
        <f t="shared" si="2"/>
        <v>0.42559853821322252</v>
      </c>
      <c r="R12">
        <f t="shared" si="3"/>
        <v>-0.18759126216236988</v>
      </c>
    </row>
    <row r="13" spans="1:18">
      <c r="A13" s="24">
        <v>44172.041666666664</v>
      </c>
      <c r="B13">
        <v>56262.082999999999</v>
      </c>
      <c r="C13">
        <v>16131.10220189</v>
      </c>
      <c r="D13">
        <v>40153.493189979803</v>
      </c>
      <c r="E13">
        <v>53085.456273770003</v>
      </c>
      <c r="F13">
        <v>1962.5696708999999</v>
      </c>
      <c r="G13">
        <v>114182.55779392</v>
      </c>
      <c r="H13">
        <v>10183.955116576901</v>
      </c>
      <c r="I13">
        <v>1433.85386425668</v>
      </c>
      <c r="J13">
        <v>69615.395364659897</v>
      </c>
      <c r="K13">
        <v>6563.4557297699994</v>
      </c>
      <c r="L13">
        <f t="shared" si="0"/>
        <v>369573.92</v>
      </c>
      <c r="P13">
        <f t="shared" si="1"/>
        <v>143963203</v>
      </c>
      <c r="Q13">
        <f t="shared" si="2"/>
        <v>6.7038090465142433E-2</v>
      </c>
      <c r="R13">
        <f t="shared" si="3"/>
        <v>-1.4982196923603521</v>
      </c>
    </row>
    <row r="14" spans="1:18">
      <c r="A14" s="24">
        <v>44179.041666666664</v>
      </c>
      <c r="B14">
        <v>63552.090400000103</v>
      </c>
      <c r="C14">
        <v>19815.016231729998</v>
      </c>
      <c r="D14">
        <v>79700.846903775993</v>
      </c>
      <c r="E14">
        <v>95414.845686709799</v>
      </c>
      <c r="F14">
        <v>2495.0366347300001</v>
      </c>
      <c r="G14">
        <v>195586.228459201</v>
      </c>
      <c r="H14">
        <v>17350.080113364798</v>
      </c>
      <c r="I14">
        <v>2357.66335913593</v>
      </c>
      <c r="J14">
        <v>106496.87141551</v>
      </c>
      <c r="K14">
        <v>9547.7755265800006</v>
      </c>
      <c r="L14">
        <f t="shared" si="0"/>
        <v>592316.44999999995</v>
      </c>
      <c r="P14">
        <f t="shared" si="1"/>
        <v>2138173968</v>
      </c>
      <c r="Q14">
        <f t="shared" si="2"/>
        <v>0.99566484289041945</v>
      </c>
      <c r="R14">
        <f t="shared" si="3"/>
        <v>2.6247871776659308</v>
      </c>
    </row>
    <row r="15" spans="1:18">
      <c r="A15" s="24">
        <v>44186.041666666664</v>
      </c>
      <c r="B15">
        <v>54931.113100000002</v>
      </c>
      <c r="C15">
        <v>18369.418595319999</v>
      </c>
      <c r="D15">
        <v>82550.025626436895</v>
      </c>
      <c r="E15">
        <v>94032.866234939895</v>
      </c>
      <c r="F15">
        <v>2451.6667278</v>
      </c>
      <c r="G15">
        <v>189713.757174589</v>
      </c>
      <c r="H15">
        <v>16184.9150557716</v>
      </c>
      <c r="I15">
        <v>2868.7196894603399</v>
      </c>
      <c r="J15">
        <v>115781.03244245</v>
      </c>
      <c r="K15">
        <v>11626.194517469999</v>
      </c>
      <c r="L15">
        <f t="shared" si="0"/>
        <v>588509.71</v>
      </c>
      <c r="P15">
        <f t="shared" si="1"/>
        <v>1584050861</v>
      </c>
      <c r="Q15">
        <f t="shared" si="2"/>
        <v>0.73763116343767898</v>
      </c>
      <c r="R15">
        <f t="shared" si="3"/>
        <v>0.63605945149512533</v>
      </c>
    </row>
    <row r="16" spans="1:18">
      <c r="A16" s="24">
        <v>44193.041666666664</v>
      </c>
      <c r="B16">
        <v>54911.930999999997</v>
      </c>
      <c r="C16">
        <v>15222.871548990001</v>
      </c>
      <c r="D16">
        <v>88146.124067816898</v>
      </c>
      <c r="E16">
        <v>106252.77809976001</v>
      </c>
      <c r="F16">
        <v>2313.96730278</v>
      </c>
      <c r="G16">
        <v>239384.40466142999</v>
      </c>
      <c r="H16">
        <v>16477.7600072692</v>
      </c>
      <c r="I16">
        <v>2726.9346079065999</v>
      </c>
      <c r="J16">
        <v>130046.148019759</v>
      </c>
      <c r="K16">
        <v>12840.463575</v>
      </c>
      <c r="L16">
        <f t="shared" si="0"/>
        <v>668323.38</v>
      </c>
      <c r="P16">
        <f t="shared" si="1"/>
        <v>416376249</v>
      </c>
      <c r="Q16">
        <f t="shared" si="2"/>
        <v>0.19389030020399498</v>
      </c>
      <c r="R16">
        <f t="shared" si="3"/>
        <v>-0.86364925005567272</v>
      </c>
    </row>
    <row r="17" spans="1:18">
      <c r="A17" s="24">
        <v>44200.041666666664</v>
      </c>
      <c r="B17">
        <v>68042.261899999998</v>
      </c>
      <c r="C17">
        <v>16203.3751352</v>
      </c>
      <c r="D17">
        <v>128363.947068712</v>
      </c>
      <c r="E17">
        <v>167547.97596677</v>
      </c>
      <c r="F17">
        <v>3381.6714681200001</v>
      </c>
      <c r="G17">
        <v>351192.41277265199</v>
      </c>
      <c r="H17">
        <v>30791.385821646301</v>
      </c>
      <c r="I17">
        <v>3742.33621350257</v>
      </c>
      <c r="J17">
        <v>169553.97162683</v>
      </c>
      <c r="K17">
        <v>19178.636555590001</v>
      </c>
      <c r="L17">
        <f t="shared" si="0"/>
        <v>957997.97</v>
      </c>
      <c r="P17">
        <f t="shared" si="1"/>
        <v>598463206</v>
      </c>
      <c r="Q17">
        <f t="shared" si="2"/>
        <v>0.27868114704204777</v>
      </c>
      <c r="R17">
        <f t="shared" si="3"/>
        <v>-0.58676388659396994</v>
      </c>
    </row>
    <row r="18" spans="1:18">
      <c r="A18" s="24">
        <v>44207.041666666664</v>
      </c>
      <c r="B18">
        <v>115705.36780000001</v>
      </c>
      <c r="C18">
        <v>10929.485256870001</v>
      </c>
      <c r="D18">
        <v>134039.36681434599</v>
      </c>
      <c r="E18">
        <v>152979.74305277999</v>
      </c>
      <c r="F18">
        <v>3023.5709589200001</v>
      </c>
      <c r="G18">
        <v>334390.43634465302</v>
      </c>
      <c r="H18">
        <v>34241.1557607949</v>
      </c>
      <c r="I18">
        <v>3288.2254627734501</v>
      </c>
      <c r="J18">
        <v>174241.16584977999</v>
      </c>
      <c r="K18">
        <v>16023.25628388</v>
      </c>
      <c r="L18">
        <f t="shared" si="0"/>
        <v>978861.77</v>
      </c>
      <c r="P18">
        <f t="shared" si="1"/>
        <v>467397382</v>
      </c>
      <c r="Q18">
        <f t="shared" si="2"/>
        <v>0.21764886668773781</v>
      </c>
      <c r="R18">
        <f t="shared" si="3"/>
        <v>-0.78015825000517969</v>
      </c>
    </row>
    <row r="19" spans="1:18">
      <c r="A19" s="24">
        <v>44214.041666666664</v>
      </c>
      <c r="B19">
        <v>0.41</v>
      </c>
      <c r="C19">
        <v>8866.9608306700102</v>
      </c>
      <c r="D19">
        <v>82885.890062737701</v>
      </c>
      <c r="E19">
        <v>94651.969733249905</v>
      </c>
      <c r="F19">
        <v>1617.40162807</v>
      </c>
      <c r="G19">
        <v>209585.93279388099</v>
      </c>
      <c r="H19">
        <v>20256.3043901202</v>
      </c>
      <c r="I19">
        <v>2642.58406691247</v>
      </c>
      <c r="J19">
        <v>122136.40198624</v>
      </c>
      <c r="K19">
        <v>11037.12200841</v>
      </c>
      <c r="L19">
        <f t="shared" si="0"/>
        <v>553680.98</v>
      </c>
      <c r="P19">
        <f t="shared" si="1"/>
        <v>275831140</v>
      </c>
      <c r="Q19">
        <f t="shared" si="2"/>
        <v>0.1284438837917726</v>
      </c>
      <c r="R19">
        <f t="shared" si="3"/>
        <v>-1.1337777948376915</v>
      </c>
    </row>
    <row r="20" spans="1:18">
      <c r="A20" s="24">
        <v>44221.041666666664</v>
      </c>
      <c r="B20">
        <v>0.49170000000000003</v>
      </c>
      <c r="C20">
        <v>7545.0463587800004</v>
      </c>
      <c r="D20">
        <v>83410.4942962489</v>
      </c>
      <c r="E20">
        <v>129390.40945043</v>
      </c>
      <c r="F20">
        <v>1870.10730878</v>
      </c>
      <c r="G20">
        <v>278591.79822323198</v>
      </c>
      <c r="H20">
        <v>25856.829450466899</v>
      </c>
      <c r="I20">
        <v>2313.8423851795101</v>
      </c>
      <c r="J20">
        <v>125414.27637848</v>
      </c>
      <c r="K20">
        <v>10382.05162514</v>
      </c>
      <c r="L20">
        <f t="shared" si="0"/>
        <v>664775.35</v>
      </c>
      <c r="P20">
        <f t="shared" si="1"/>
        <v>246347540</v>
      </c>
      <c r="Q20">
        <f t="shared" si="2"/>
        <v>0.11471451265491289</v>
      </c>
      <c r="R20">
        <f t="shared" si="3"/>
        <v>-1.2018309660656352</v>
      </c>
    </row>
    <row r="21" spans="1:18">
      <c r="A21" s="24">
        <v>44228.041666666664</v>
      </c>
      <c r="B21">
        <v>28.6066</v>
      </c>
      <c r="C21">
        <v>6788.9527956900001</v>
      </c>
      <c r="D21">
        <v>49709.238095180197</v>
      </c>
      <c r="E21">
        <v>72941.022747539901</v>
      </c>
      <c r="F21">
        <v>1255.3306661700001</v>
      </c>
      <c r="G21">
        <v>186897.91819670901</v>
      </c>
      <c r="H21">
        <v>15025.6225770644</v>
      </c>
      <c r="I21">
        <v>2282.4864058418898</v>
      </c>
      <c r="J21">
        <v>88976.302670739999</v>
      </c>
      <c r="K21">
        <v>9034.9763234099992</v>
      </c>
      <c r="L21">
        <f t="shared" si="0"/>
        <v>432940.46</v>
      </c>
      <c r="P21">
        <f t="shared" si="1"/>
        <v>825149901</v>
      </c>
      <c r="Q21">
        <f t="shared" si="2"/>
        <v>0.38424036530043948</v>
      </c>
      <c r="R21">
        <f t="shared" si="3"/>
        <v>-0.29436274631412923</v>
      </c>
    </row>
    <row r="22" spans="1:18">
      <c r="A22" s="24">
        <v>44235.041666666664</v>
      </c>
      <c r="B22">
        <v>1.49E-2</v>
      </c>
      <c r="C22">
        <v>6372.2629403600004</v>
      </c>
      <c r="D22">
        <v>83787.287685761097</v>
      </c>
      <c r="E22">
        <v>88753.4017374299</v>
      </c>
      <c r="F22">
        <v>2068.7933406299999</v>
      </c>
      <c r="G22">
        <v>222733.30536919</v>
      </c>
      <c r="H22">
        <v>19112.412515038901</v>
      </c>
      <c r="I22">
        <v>2721.1902550960499</v>
      </c>
      <c r="J22">
        <v>102576.49561804</v>
      </c>
      <c r="K22">
        <v>11308.510097800001</v>
      </c>
      <c r="L22">
        <f t="shared" si="0"/>
        <v>539433.67000000004</v>
      </c>
      <c r="P22">
        <f t="shared" si="1"/>
        <v>1431670262</v>
      </c>
      <c r="Q22">
        <f t="shared" si="2"/>
        <v>0.66667341751357234</v>
      </c>
      <c r="R22">
        <f t="shared" si="3"/>
        <v>0.43074586606686471</v>
      </c>
    </row>
    <row r="23" spans="1:18">
      <c r="A23" s="24">
        <v>44242.041666666664</v>
      </c>
      <c r="B23">
        <v>6.1800000000000001E-2</v>
      </c>
      <c r="C23">
        <v>7566.7416385099996</v>
      </c>
      <c r="D23">
        <v>67922.657646611595</v>
      </c>
      <c r="E23">
        <v>68241.583313739902</v>
      </c>
      <c r="F23">
        <v>1575.9311333600001</v>
      </c>
      <c r="G23">
        <v>169753.88796694</v>
      </c>
      <c r="H23">
        <v>15649.8125318857</v>
      </c>
      <c r="I23">
        <v>2545.5469609045699</v>
      </c>
      <c r="J23">
        <v>81959.872657269996</v>
      </c>
      <c r="K23">
        <v>9101.0335707400009</v>
      </c>
      <c r="L23">
        <f t="shared" si="0"/>
        <v>424317.13</v>
      </c>
      <c r="P23">
        <f t="shared" si="1"/>
        <v>2131456542</v>
      </c>
      <c r="Q23">
        <f t="shared" si="2"/>
        <v>0.99253679765040836</v>
      </c>
      <c r="R23">
        <f t="shared" si="3"/>
        <v>2.4341597765400564</v>
      </c>
    </row>
    <row r="24" spans="1:18">
      <c r="A24" s="24">
        <v>44249.041666666664</v>
      </c>
      <c r="B24">
        <v>7.8700000000000006E-2</v>
      </c>
      <c r="C24">
        <v>6395.2273309800003</v>
      </c>
      <c r="D24">
        <v>124650.70993598</v>
      </c>
      <c r="E24">
        <v>105664.40004014999</v>
      </c>
      <c r="F24">
        <v>2385.08616699</v>
      </c>
      <c r="G24">
        <v>287888.93774855998</v>
      </c>
      <c r="H24">
        <v>25434.590150577798</v>
      </c>
      <c r="I24">
        <v>2983.2665688950801</v>
      </c>
      <c r="J24">
        <v>133280.27704871999</v>
      </c>
      <c r="K24">
        <v>14038.61588494</v>
      </c>
      <c r="L24">
        <f t="shared" si="0"/>
        <v>702721.19</v>
      </c>
      <c r="P24">
        <f t="shared" si="1"/>
        <v>1597211112</v>
      </c>
      <c r="Q24">
        <f t="shared" si="2"/>
        <v>0.74375938286248566</v>
      </c>
      <c r="R24">
        <f t="shared" si="3"/>
        <v>0.65497906295432196</v>
      </c>
    </row>
    <row r="25" spans="1:18">
      <c r="A25" s="24">
        <v>44256.041666666664</v>
      </c>
      <c r="B25">
        <v>9.69E-2</v>
      </c>
      <c r="C25">
        <v>6554.9825540900001</v>
      </c>
      <c r="D25">
        <v>54893.175539021198</v>
      </c>
      <c r="E25">
        <v>51508.557918229999</v>
      </c>
      <c r="F25">
        <v>902.81840671999998</v>
      </c>
      <c r="G25">
        <v>154552.75902918799</v>
      </c>
      <c r="H25">
        <v>14189.8235681227</v>
      </c>
      <c r="I25">
        <v>1688.4612741983201</v>
      </c>
      <c r="J25">
        <v>78408.385043489907</v>
      </c>
      <c r="K25">
        <v>6617.0957830900006</v>
      </c>
      <c r="L25">
        <f t="shared" si="0"/>
        <v>369316.16</v>
      </c>
      <c r="P25">
        <f t="shared" si="1"/>
        <v>19692758</v>
      </c>
      <c r="Q25">
        <f t="shared" si="2"/>
        <v>9.1701550451899674E-3</v>
      </c>
      <c r="R25">
        <f t="shared" si="3"/>
        <v>-2.3586749995115692</v>
      </c>
    </row>
    <row r="26" spans="1:18">
      <c r="A26" s="24">
        <v>44263.041666666664</v>
      </c>
      <c r="B26">
        <v>0.20549999999999999</v>
      </c>
      <c r="C26">
        <v>7318.6661397600001</v>
      </c>
      <c r="D26">
        <v>63357.661158791598</v>
      </c>
      <c r="E26">
        <v>53702.808437170002</v>
      </c>
      <c r="F26">
        <v>1051.4806414699999</v>
      </c>
      <c r="G26">
        <v>174149.12172812899</v>
      </c>
      <c r="H26">
        <v>12577.312816872</v>
      </c>
      <c r="I26">
        <v>1982.17610946124</v>
      </c>
      <c r="J26">
        <v>76176.732515759795</v>
      </c>
      <c r="K26">
        <v>7199.9801254999993</v>
      </c>
      <c r="L26">
        <f t="shared" si="0"/>
        <v>397516.15</v>
      </c>
      <c r="P26">
        <f t="shared" si="1"/>
        <v>1401349444</v>
      </c>
      <c r="Q26">
        <f t="shared" si="2"/>
        <v>0.65255418636489393</v>
      </c>
      <c r="R26">
        <f t="shared" si="3"/>
        <v>0.39222546894624799</v>
      </c>
    </row>
    <row r="27" spans="1:18">
      <c r="A27" s="24">
        <v>44270.041666666664</v>
      </c>
      <c r="B27">
        <v>4.2999999999999997E-2</v>
      </c>
      <c r="C27">
        <v>8354.7835445700002</v>
      </c>
      <c r="D27">
        <v>64836.995405839902</v>
      </c>
      <c r="E27">
        <v>51317.289137419903</v>
      </c>
      <c r="F27">
        <v>842.3483142</v>
      </c>
      <c r="G27">
        <v>155413.27047715901</v>
      </c>
      <c r="H27">
        <v>11247.733295702999</v>
      </c>
      <c r="I27">
        <v>2184.9210675098702</v>
      </c>
      <c r="J27">
        <v>66508.338082949806</v>
      </c>
      <c r="K27">
        <v>6240.707678849998</v>
      </c>
      <c r="L27">
        <f t="shared" si="0"/>
        <v>366946.43</v>
      </c>
      <c r="P27">
        <f t="shared" si="1"/>
        <v>951614471</v>
      </c>
      <c r="Q27">
        <f t="shared" si="2"/>
        <v>0.4431300197928818</v>
      </c>
      <c r="R27">
        <f t="shared" si="3"/>
        <v>-0.14303816523796162</v>
      </c>
    </row>
    <row r="28" spans="1:18">
      <c r="P28">
        <f t="shared" si="1"/>
        <v>706920311</v>
      </c>
      <c r="Q28">
        <f t="shared" si="2"/>
        <v>0.32918542219753627</v>
      </c>
      <c r="R28">
        <f t="shared" si="3"/>
        <v>-0.44216357200276107</v>
      </c>
    </row>
    <row r="29" spans="1:18">
      <c r="P29">
        <f t="shared" si="1"/>
        <v>235181451</v>
      </c>
      <c r="Q29">
        <f t="shared" si="2"/>
        <v>0.10951489727455885</v>
      </c>
      <c r="R29">
        <f t="shared" si="3"/>
        <v>-1.2291120587619493</v>
      </c>
    </row>
    <row r="30" spans="1:18">
      <c r="P30">
        <f t="shared" si="1"/>
        <v>845263179</v>
      </c>
      <c r="Q30">
        <f t="shared" si="2"/>
        <v>0.39360634023025926</v>
      </c>
      <c r="R30">
        <f t="shared" si="3"/>
        <v>-0.26993185408982595</v>
      </c>
    </row>
    <row r="31" spans="1:18">
      <c r="P31">
        <f t="shared" si="1"/>
        <v>1657104156</v>
      </c>
      <c r="Q31">
        <f t="shared" si="2"/>
        <v>0.77164925484529201</v>
      </c>
      <c r="R31">
        <f t="shared" si="3"/>
        <v>0.74428927160640967</v>
      </c>
    </row>
    <row r="32" spans="1:18">
      <c r="P32">
        <f t="shared" si="1"/>
        <v>603830820</v>
      </c>
      <c r="Q32">
        <f t="shared" si="2"/>
        <v>0.28118063708822272</v>
      </c>
      <c r="R32">
        <f t="shared" si="3"/>
        <v>-0.57933778587842388</v>
      </c>
    </row>
    <row r="38" spans="1:11">
      <c r="A38" t="s">
        <v>65</v>
      </c>
      <c r="B38" t="str">
        <f>IF( K39, K38, 10 )</f>
        <v>7</v>
      </c>
      <c r="D38" t="s">
        <v>2</v>
      </c>
      <c r="E38">
        <f>ROUND(0.1+0.4*Q2,2)</f>
        <v>0.32</v>
      </c>
      <c r="G38" t="s">
        <v>64</v>
      </c>
      <c r="H38">
        <f>ROUND(    AVERAGE(L2:L17) * (1 + 1.3*Q4),     2)</f>
        <v>476649.22</v>
      </c>
      <c r="J38" t="s">
        <v>43</v>
      </c>
      <c r="K38" t="str">
        <f>MID(ID!$B$1,8,1)</f>
        <v>7</v>
      </c>
    </row>
    <row r="39" spans="1:11">
      <c r="A39" t="s">
        <v>58</v>
      </c>
      <c r="B39" s="5" t="str">
        <f ca="1">OFFSET($A$1, 0, B38, 1, 1)</f>
        <v>gemini</v>
      </c>
      <c r="D39" t="s">
        <v>3</v>
      </c>
      <c r="E39">
        <f>ROUND(0.2+0.3*Q3,2)</f>
        <v>0.37</v>
      </c>
      <c r="G39" t="s">
        <v>66</v>
      </c>
      <c r="H39">
        <f>3+INT(Q5*4)</f>
        <v>5</v>
      </c>
      <c r="J39" t="s">
        <v>44</v>
      </c>
      <c r="K39" t="b">
        <f>OR(K38="1", K38="2", K38="3", K38="4", K38="5", K38="6", K38="7", K38="8", K38="9")</f>
        <v>1</v>
      </c>
    </row>
    <row r="41" spans="1:11">
      <c r="A41" t="s">
        <v>4</v>
      </c>
    </row>
    <row r="42" spans="1:11">
      <c r="A42" t="str">
        <f>MID(ID!$B$1,3,4)</f>
        <v>0249</v>
      </c>
      <c r="B42">
        <f>MOD(48271*A42,2^31-1)</f>
        <v>12019479</v>
      </c>
      <c r="C42">
        <f t="shared" ref="C42:K42" si="4">MOD(48271*B42,2^31-1)</f>
        <v>371686119</v>
      </c>
      <c r="D42">
        <f t="shared" si="4"/>
        <v>1582263211</v>
      </c>
      <c r="E42">
        <f t="shared" si="4"/>
        <v>24068979</v>
      </c>
      <c r="F42">
        <f t="shared" si="4"/>
        <v>45032282</v>
      </c>
      <c r="G42">
        <f t="shared" si="4"/>
        <v>499833658</v>
      </c>
      <c r="H42">
        <f t="shared" si="4"/>
        <v>491731273</v>
      </c>
      <c r="I42">
        <f t="shared" si="4"/>
        <v>223528692</v>
      </c>
      <c r="J42">
        <f t="shared" si="4"/>
        <v>995649004</v>
      </c>
      <c r="K42">
        <f t="shared" si="4"/>
        <v>289052224</v>
      </c>
    </row>
    <row r="43" spans="1:11">
      <c r="A43" t="s">
        <v>5</v>
      </c>
      <c r="B43">
        <f>B42/(2^31-1)</f>
        <v>5.5970060665146478E-3</v>
      </c>
      <c r="C43">
        <f t="shared" ref="C43:K43" si="5">C42/(2^31-1)</f>
        <v>0.17307983672855415</v>
      </c>
      <c r="D43">
        <f t="shared" si="5"/>
        <v>0.73679872403703572</v>
      </c>
      <c r="E43">
        <f t="shared" si="5"/>
        <v>1.120799175054207E-2</v>
      </c>
      <c r="F43">
        <f t="shared" si="5"/>
        <v>2.0969790416289956E-2</v>
      </c>
      <c r="G43">
        <f t="shared" si="5"/>
        <v>0.23275318473240042</v>
      </c>
      <c r="H43">
        <f t="shared" si="5"/>
        <v>0.2289802177012806</v>
      </c>
      <c r="I43">
        <f t="shared" si="5"/>
        <v>0.10408865851540522</v>
      </c>
      <c r="J43">
        <f t="shared" si="5"/>
        <v>0.4636351971252054</v>
      </c>
      <c r="K43">
        <f t="shared" si="5"/>
        <v>0.13460043078968323</v>
      </c>
    </row>
    <row r="45" spans="1:11">
      <c r="A45" t="s">
        <v>25</v>
      </c>
      <c r="B45">
        <f>20+INT(Q5/0.1)</f>
        <v>26</v>
      </c>
      <c r="E45" t="s">
        <v>18</v>
      </c>
    </row>
    <row r="46" spans="1:11">
      <c r="A46" t="s">
        <v>19</v>
      </c>
      <c r="B46">
        <f>60/I46</f>
        <v>1.5</v>
      </c>
      <c r="E46" t="s">
        <v>27</v>
      </c>
      <c r="F46">
        <f>(B45+Q6/0.15) /3</f>
        <v>10.86373807261044</v>
      </c>
      <c r="H46" t="s">
        <v>85</v>
      </c>
      <c r="I46">
        <v>40</v>
      </c>
      <c r="J46" t="s">
        <v>87</v>
      </c>
    </row>
    <row r="47" spans="1:11">
      <c r="A47" t="s">
        <v>20</v>
      </c>
      <c r="B47">
        <v>200</v>
      </c>
      <c r="E47" t="s">
        <v>28</v>
      </c>
      <c r="F47">
        <f>(10+Q7/0.3) /3</f>
        <v>4.0835848226497706</v>
      </c>
      <c r="H47" t="s">
        <v>86</v>
      </c>
      <c r="I47">
        <v>30</v>
      </c>
      <c r="J47" t="s">
        <v>87</v>
      </c>
    </row>
    <row r="48" spans="1:11">
      <c r="A48" t="s">
        <v>83</v>
      </c>
      <c r="B48">
        <f>5+INT(Q8/0.1)</f>
        <v>13</v>
      </c>
    </row>
    <row r="49" spans="1:8">
      <c r="A49" t="s">
        <v>84</v>
      </c>
      <c r="B49">
        <f>_xlfn.CEILING.MATH(    MAX(  (0.5+Q9/2)*B48*0.3,  $B$48*($I$46-$I$47)/60*(1+Q9/2) )  )</f>
        <v>3</v>
      </c>
      <c r="C49">
        <f>MAX((0.5+Q9/2)*B48*0.3)</f>
        <v>1.9805750360389121</v>
      </c>
      <c r="D49">
        <f>$B$48*($I$46-$I$47)/60*(1+Q9/2)</f>
        <v>2.1836527977993954</v>
      </c>
    </row>
    <row r="50" spans="1:8">
      <c r="A50" t="s">
        <v>29</v>
      </c>
      <c r="B50" s="3">
        <f>ROUNDUP(B48/B46*(Q10+0.5), 1)</f>
        <v>11.9</v>
      </c>
    </row>
    <row r="51" spans="1:8">
      <c r="A51" t="s">
        <v>21</v>
      </c>
      <c r="B51" s="3">
        <f>MAX(B50,B49) + ROUNDUP(B49/1.2*Q11, 1)</f>
        <v>13.4</v>
      </c>
    </row>
    <row r="52" spans="1:8">
      <c r="A52" t="s">
        <v>22</v>
      </c>
      <c r="B52" s="3">
        <f>ROUND(B$47*B$48*(0.2+Q12/2),-2)</f>
        <v>1100</v>
      </c>
    </row>
    <row r="53" spans="1:8">
      <c r="A53" t="s">
        <v>23</v>
      </c>
      <c r="B53" s="3">
        <f>ROUND(B$47*B$48*(0.3+Q13/2),-2)</f>
        <v>900</v>
      </c>
    </row>
    <row r="54" spans="1:8">
      <c r="A54" t="s">
        <v>26</v>
      </c>
      <c r="B54" s="16">
        <f>ROUND(B58*0.02,-2)</f>
        <v>200</v>
      </c>
    </row>
    <row r="55" spans="1:8">
      <c r="A55" t="s">
        <v>24</v>
      </c>
      <c r="B55" s="16">
        <f>ROUND(F58*(0.01+Q14/20),-2)</f>
        <v>600</v>
      </c>
    </row>
    <row r="57" spans="1:8">
      <c r="A57" s="3" t="s">
        <v>11</v>
      </c>
      <c r="B57" s="3">
        <v>1</v>
      </c>
      <c r="C57" s="3">
        <v>2</v>
      </c>
      <c r="D57" s="3">
        <v>3</v>
      </c>
      <c r="E57" s="3">
        <v>4</v>
      </c>
      <c r="F57" s="3">
        <v>5</v>
      </c>
      <c r="G57" s="3">
        <v>6</v>
      </c>
      <c r="H57" s="3" t="s">
        <v>12</v>
      </c>
    </row>
    <row r="58" spans="1:8">
      <c r="A58" s="3" t="s">
        <v>13</v>
      </c>
      <c r="B58" s="3">
        <f>ROUND(($F$46+$F$47*B43)*3*$B$46*$B$47, -2)</f>
        <v>9800</v>
      </c>
      <c r="C58" s="3">
        <f t="shared" ref="C58:F58" si="6">ROUND(($F$46+$F$47*C43)*3*$B$46*$B$47, -2)</f>
        <v>10400</v>
      </c>
      <c r="D58" s="3">
        <f t="shared" si="6"/>
        <v>12500</v>
      </c>
      <c r="E58" s="3">
        <f t="shared" si="6"/>
        <v>9800</v>
      </c>
      <c r="F58" s="3">
        <f t="shared" si="6"/>
        <v>9900</v>
      </c>
      <c r="G58" s="3">
        <f>ROUND(($F$46+$F$47*G43)*3*$B$46*$B$47, -2)</f>
        <v>10600</v>
      </c>
      <c r="H58" s="3">
        <f>SUM(B58:G58)</f>
        <v>63000</v>
      </c>
    </row>
  </sheetData>
  <phoneticPr fontId="7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0"/>
  <sheetViews>
    <sheetView tabSelected="1" zoomScaleNormal="100" workbookViewId="0">
      <selection activeCell="E5" sqref="E5"/>
    </sheetView>
  </sheetViews>
  <sheetFormatPr baseColWidth="10" defaultColWidth="9" defaultRowHeight="14"/>
  <cols>
    <col min="1" max="1" width="32.59765625" customWidth="1"/>
    <col min="2" max="2" width="13.59765625" customWidth="1"/>
    <col min="3" max="3" width="20.3984375" customWidth="1"/>
    <col min="4" max="4" width="21" customWidth="1"/>
    <col min="5" max="5" width="22.3984375" customWidth="1"/>
    <col min="6" max="6" width="21.59765625" customWidth="1"/>
    <col min="7" max="7" width="35.59765625" customWidth="1"/>
  </cols>
  <sheetData>
    <row r="1" spans="1:8">
      <c r="A1" s="34"/>
      <c r="B1" s="25"/>
      <c r="C1" s="35"/>
      <c r="D1" s="35"/>
      <c r="E1" s="49" t="s">
        <v>69</v>
      </c>
      <c r="F1" s="50"/>
      <c r="G1" s="51"/>
      <c r="H1" s="5"/>
    </row>
    <row r="2" spans="1:8">
      <c r="A2" s="36"/>
      <c r="B2" s="27"/>
      <c r="C2" s="27"/>
      <c r="D2" s="27"/>
      <c r="E2" s="41" t="s">
        <v>90</v>
      </c>
      <c r="F2" s="41" t="s">
        <v>60</v>
      </c>
      <c r="G2" s="41" t="s">
        <v>61</v>
      </c>
      <c r="H2" s="5"/>
    </row>
    <row r="3" spans="1:8">
      <c r="A3" s="36"/>
      <c r="B3" s="27"/>
      <c r="C3" s="27"/>
      <c r="D3" s="27"/>
      <c r="E3" s="42" t="s">
        <v>67</v>
      </c>
      <c r="F3" s="42" t="s">
        <v>68</v>
      </c>
      <c r="G3" s="42" t="s">
        <v>62</v>
      </c>
    </row>
    <row r="4" spans="1:8">
      <c r="A4" s="37" t="s">
        <v>63</v>
      </c>
      <c r="B4" s="6" t="s">
        <v>11</v>
      </c>
      <c r="C4" s="6" t="s">
        <v>59</v>
      </c>
      <c r="D4" s="6"/>
      <c r="E4" s="43">
        <f>data!H39</f>
        <v>5</v>
      </c>
      <c r="F4" s="43">
        <f>data!E38</f>
        <v>0.32</v>
      </c>
      <c r="G4" s="44"/>
      <c r="H4" s="27"/>
    </row>
    <row r="5" spans="1:8">
      <c r="A5" s="38">
        <f>data!A2</f>
        <v>44095.083333333336</v>
      </c>
      <c r="B5" s="27">
        <v>-15</v>
      </c>
      <c r="C5" s="25">
        <f>data!L2</f>
        <v>217407.72</v>
      </c>
      <c r="D5" s="26"/>
      <c r="E5" s="29"/>
      <c r="F5" s="28"/>
      <c r="G5" s="32"/>
      <c r="H5" s="26"/>
    </row>
    <row r="6" spans="1:8">
      <c r="A6" s="39">
        <f>data!A3</f>
        <v>44102.083333333336</v>
      </c>
      <c r="B6" s="27">
        <v>-14</v>
      </c>
      <c r="C6" s="23">
        <f>data!L3</f>
        <v>251608.4</v>
      </c>
      <c r="D6" s="26"/>
      <c r="E6" s="29"/>
      <c r="F6" s="29"/>
      <c r="G6" s="29"/>
      <c r="H6" s="27"/>
    </row>
    <row r="7" spans="1:8">
      <c r="A7" s="39">
        <f>data!A4</f>
        <v>44109.083333333336</v>
      </c>
      <c r="B7" s="27">
        <v>-13</v>
      </c>
      <c r="C7" s="23">
        <f>data!L4</f>
        <v>257986.22</v>
      </c>
      <c r="D7" s="26"/>
      <c r="E7" s="29"/>
      <c r="F7" s="29"/>
      <c r="G7" s="29"/>
      <c r="H7" s="2"/>
    </row>
    <row r="8" spans="1:8">
      <c r="A8" s="39">
        <f>data!A5</f>
        <v>44116.083333333336</v>
      </c>
      <c r="B8" s="27">
        <v>-12</v>
      </c>
      <c r="C8" s="23">
        <f>data!L5</f>
        <v>250449.28</v>
      </c>
      <c r="D8" s="26"/>
      <c r="E8" s="29"/>
      <c r="F8" s="29"/>
      <c r="G8" s="29"/>
    </row>
    <row r="9" spans="1:8">
      <c r="A9" s="39">
        <f>data!A6</f>
        <v>44123.083333333336</v>
      </c>
      <c r="B9" s="27">
        <v>-11</v>
      </c>
      <c r="C9" s="23">
        <f>data!L6</f>
        <v>407186.15</v>
      </c>
      <c r="D9" s="26"/>
      <c r="E9" s="29"/>
      <c r="F9" s="29"/>
      <c r="G9" s="29"/>
    </row>
    <row r="10" spans="1:8">
      <c r="A10" s="39">
        <f>data!A7</f>
        <v>44130.041666666664</v>
      </c>
      <c r="B10" s="27">
        <v>-10</v>
      </c>
      <c r="C10" s="23">
        <f>data!L7</f>
        <v>409174.17</v>
      </c>
      <c r="D10" s="26"/>
      <c r="E10" s="29"/>
      <c r="F10" s="29"/>
      <c r="G10" s="29"/>
    </row>
    <row r="11" spans="1:8">
      <c r="A11" s="39">
        <f>data!A8</f>
        <v>44137.041666666664</v>
      </c>
      <c r="B11" s="27">
        <v>-9</v>
      </c>
      <c r="C11" s="23">
        <f>data!L8</f>
        <v>537056.32999999996</v>
      </c>
      <c r="D11" s="26"/>
      <c r="E11" s="29"/>
      <c r="F11" s="29"/>
      <c r="G11" s="29"/>
    </row>
    <row r="12" spans="1:8">
      <c r="A12" s="39">
        <f>data!A9</f>
        <v>44144.041666666664</v>
      </c>
      <c r="B12" s="27">
        <v>-8</v>
      </c>
      <c r="C12" s="23">
        <f>data!L9</f>
        <v>419695.24</v>
      </c>
      <c r="D12" s="26"/>
      <c r="E12" s="29"/>
      <c r="F12" s="29"/>
      <c r="G12" s="29"/>
    </row>
    <row r="13" spans="1:8">
      <c r="A13" s="39">
        <f>data!A10</f>
        <v>44151.041666666664</v>
      </c>
      <c r="B13" s="27">
        <v>-7</v>
      </c>
      <c r="C13" s="23">
        <f>data!L10</f>
        <v>530990</v>
      </c>
      <c r="D13" s="26"/>
      <c r="E13" s="29"/>
      <c r="F13" s="29"/>
      <c r="G13" s="29"/>
    </row>
    <row r="14" spans="1:8">
      <c r="A14" s="39">
        <f>data!A11</f>
        <v>44158.041666666664</v>
      </c>
      <c r="B14" s="27">
        <v>-6</v>
      </c>
      <c r="C14" s="23">
        <f>data!L11</f>
        <v>603530.15</v>
      </c>
      <c r="D14" s="26"/>
      <c r="E14" s="29"/>
      <c r="F14" s="29"/>
      <c r="G14" s="29"/>
    </row>
    <row r="15" spans="1:8">
      <c r="A15" s="39">
        <f>data!A12</f>
        <v>44165.041666666664</v>
      </c>
      <c r="B15" s="27">
        <v>-5</v>
      </c>
      <c r="C15" s="23">
        <f>data!L12</f>
        <v>456338.79</v>
      </c>
      <c r="D15" s="26"/>
      <c r="E15" s="29"/>
      <c r="F15" s="29"/>
      <c r="G15" s="29"/>
    </row>
    <row r="16" spans="1:8">
      <c r="A16" s="39">
        <f>data!A13</f>
        <v>44172.041666666664</v>
      </c>
      <c r="B16" s="27">
        <v>-4</v>
      </c>
      <c r="C16" s="23">
        <f>data!L13</f>
        <v>369573.92</v>
      </c>
      <c r="D16" s="26"/>
      <c r="E16" s="29"/>
      <c r="F16" s="29"/>
      <c r="G16" s="29"/>
    </row>
    <row r="17" spans="1:7">
      <c r="A17" s="39">
        <f>data!A14</f>
        <v>44179.041666666664</v>
      </c>
      <c r="B17" s="27">
        <v>-3</v>
      </c>
      <c r="C17" s="23">
        <f>data!L14</f>
        <v>592316.44999999995</v>
      </c>
      <c r="D17" s="26"/>
      <c r="E17" s="29"/>
      <c r="F17" s="29"/>
      <c r="G17" s="29"/>
    </row>
    <row r="18" spans="1:7">
      <c r="A18" s="39">
        <f>data!A15</f>
        <v>44186.041666666664</v>
      </c>
      <c r="B18" s="27">
        <v>-2</v>
      </c>
      <c r="C18" s="23">
        <f>data!L15</f>
        <v>588509.71</v>
      </c>
      <c r="D18" s="26"/>
      <c r="E18" s="29"/>
      <c r="F18" s="29"/>
      <c r="G18" s="29"/>
    </row>
    <row r="19" spans="1:7">
      <c r="A19" s="39">
        <f>data!A16</f>
        <v>44193.041666666664</v>
      </c>
      <c r="B19" s="27">
        <v>-1</v>
      </c>
      <c r="C19" s="23">
        <f>data!L16</f>
        <v>668323.38</v>
      </c>
      <c r="D19" s="26"/>
      <c r="E19" s="29"/>
      <c r="F19" s="29"/>
      <c r="G19" s="29"/>
    </row>
    <row r="20" spans="1:7">
      <c r="A20" s="40">
        <f>data!A17</f>
        <v>44200.041666666664</v>
      </c>
      <c r="B20" s="7">
        <v>0</v>
      </c>
      <c r="C20" s="6">
        <f>data!L17</f>
        <v>957997.97</v>
      </c>
      <c r="D20" s="27"/>
      <c r="E20" s="29"/>
      <c r="F20" s="30">
        <f>data!H38</f>
        <v>476649.22</v>
      </c>
      <c r="G20" s="29"/>
    </row>
    <row r="21" spans="1:7">
      <c r="A21" s="39">
        <f>data!A18</f>
        <v>44207.041666666664</v>
      </c>
      <c r="B21" s="27">
        <v>1</v>
      </c>
      <c r="C21" s="23">
        <f>data!L18</f>
        <v>978861.77</v>
      </c>
      <c r="D21" s="27"/>
      <c r="E21" s="31"/>
      <c r="F21" s="31"/>
      <c r="G21" s="31"/>
    </row>
    <row r="22" spans="1:7">
      <c r="A22" s="39">
        <f>data!A19</f>
        <v>44214.041666666664</v>
      </c>
      <c r="B22" s="27">
        <v>2</v>
      </c>
      <c r="C22" s="23">
        <f>data!L19</f>
        <v>553680.98</v>
      </c>
      <c r="D22" s="27"/>
      <c r="E22" s="31"/>
      <c r="F22" s="31"/>
      <c r="G22" s="31"/>
    </row>
    <row r="23" spans="1:7">
      <c r="A23" s="39">
        <f>data!A20</f>
        <v>44221.041666666664</v>
      </c>
      <c r="B23" s="27">
        <v>3</v>
      </c>
      <c r="C23" s="23">
        <f>data!L20</f>
        <v>664775.35</v>
      </c>
      <c r="D23" s="27"/>
      <c r="E23" s="31"/>
      <c r="F23" s="31"/>
      <c r="G23" s="31"/>
    </row>
    <row r="24" spans="1:7">
      <c r="A24" s="39">
        <f>data!A21</f>
        <v>44228.041666666664</v>
      </c>
      <c r="B24" s="27">
        <v>4</v>
      </c>
      <c r="C24" s="23">
        <f>data!L21</f>
        <v>432940.46</v>
      </c>
      <c r="D24" s="27"/>
      <c r="E24" s="31"/>
      <c r="F24" s="31"/>
      <c r="G24" s="31"/>
    </row>
    <row r="25" spans="1:7">
      <c r="A25" s="39">
        <f>data!A22</f>
        <v>44235.041666666664</v>
      </c>
      <c r="B25" s="27">
        <v>5</v>
      </c>
      <c r="C25" s="23">
        <f>data!L22</f>
        <v>539433.67000000004</v>
      </c>
      <c r="D25" s="27"/>
      <c r="E25" s="31"/>
      <c r="F25" s="31"/>
      <c r="G25" s="31"/>
    </row>
    <row r="26" spans="1:7">
      <c r="A26" s="39">
        <f>data!A23</f>
        <v>44242.041666666664</v>
      </c>
      <c r="B26" s="27">
        <v>6</v>
      </c>
      <c r="C26" s="23">
        <f>data!L23</f>
        <v>424317.13</v>
      </c>
      <c r="D26" s="27"/>
      <c r="E26" s="31"/>
      <c r="F26" s="31"/>
      <c r="G26" s="31"/>
    </row>
    <row r="27" spans="1:7">
      <c r="A27" s="39">
        <f>data!A24</f>
        <v>44249.041666666664</v>
      </c>
      <c r="B27" s="27">
        <v>7</v>
      </c>
      <c r="C27" s="23">
        <f>data!L24</f>
        <v>702721.19</v>
      </c>
      <c r="D27" s="27"/>
      <c r="E27" s="31"/>
      <c r="F27" s="31"/>
      <c r="G27" s="31"/>
    </row>
    <row r="28" spans="1:7">
      <c r="A28" s="39">
        <f>data!A25</f>
        <v>44256.041666666664</v>
      </c>
      <c r="B28" s="27">
        <v>8</v>
      </c>
      <c r="C28" s="23">
        <f>data!L25</f>
        <v>369316.16</v>
      </c>
      <c r="D28" s="27"/>
      <c r="E28" s="31"/>
      <c r="F28" s="31"/>
      <c r="G28" s="31"/>
    </row>
    <row r="29" spans="1:7">
      <c r="A29" s="39">
        <f>data!A26</f>
        <v>44263.041666666664</v>
      </c>
      <c r="B29" s="27">
        <v>9</v>
      </c>
      <c r="C29" s="23">
        <f>data!L26</f>
        <v>397516.15</v>
      </c>
      <c r="D29" s="27"/>
      <c r="E29" s="31"/>
      <c r="F29" s="31"/>
      <c r="G29" s="31"/>
    </row>
    <row r="30" spans="1:7">
      <c r="A30" s="40">
        <f>data!A27</f>
        <v>44270.041666666664</v>
      </c>
      <c r="B30" s="7">
        <v>10</v>
      </c>
      <c r="C30" s="6">
        <f>data!L27</f>
        <v>366946.43</v>
      </c>
      <c r="D30" s="7"/>
      <c r="E30" s="33"/>
      <c r="F30" s="33"/>
      <c r="G30" s="33"/>
    </row>
  </sheetData>
  <mergeCells count="1">
    <mergeCell ref="E1:G1"/>
  </mergeCells>
  <phoneticPr fontId="7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5"/>
  <sheetViews>
    <sheetView workbookViewId="0">
      <selection activeCell="F11" sqref="F11"/>
    </sheetView>
  </sheetViews>
  <sheetFormatPr baseColWidth="10" defaultColWidth="9" defaultRowHeight="14"/>
  <cols>
    <col min="1" max="1" width="39" style="3" customWidth="1"/>
    <col min="2" max="16384" width="9" style="3"/>
  </cols>
  <sheetData>
    <row r="1" spans="1:8">
      <c r="A1" s="3" t="s">
        <v>40</v>
      </c>
      <c r="B1" s="20">
        <f>data!B45</f>
        <v>26</v>
      </c>
    </row>
    <row r="2" spans="1:8" ht="15">
      <c r="A2" s="3" t="s">
        <v>80</v>
      </c>
      <c r="B2" s="20">
        <f>data!I46</f>
        <v>40</v>
      </c>
      <c r="C2" s="3" t="s">
        <v>88</v>
      </c>
    </row>
    <row r="3" spans="1:8">
      <c r="A3" s="3" t="s">
        <v>79</v>
      </c>
      <c r="B3" s="20">
        <f>data!I47</f>
        <v>30</v>
      </c>
      <c r="C3" s="3" t="s">
        <v>89</v>
      </c>
    </row>
    <row r="4" spans="1:8">
      <c r="A4" s="3" t="s">
        <v>8</v>
      </c>
      <c r="B4" s="20">
        <f>data!B47</f>
        <v>200</v>
      </c>
      <c r="C4" s="3" t="s">
        <v>34</v>
      </c>
    </row>
    <row r="5" spans="1:8">
      <c r="A5" s="3" t="s">
        <v>76</v>
      </c>
      <c r="B5" s="20">
        <f>data!B48</f>
        <v>13</v>
      </c>
      <c r="C5" s="3" t="s">
        <v>31</v>
      </c>
    </row>
    <row r="6" spans="1:8">
      <c r="A6" s="3" t="s">
        <v>77</v>
      </c>
      <c r="B6" s="20">
        <f>data!B49</f>
        <v>3</v>
      </c>
      <c r="C6" s="3" t="s">
        <v>78</v>
      </c>
    </row>
    <row r="7" spans="1:8">
      <c r="A7" s="3" t="s">
        <v>9</v>
      </c>
      <c r="B7" s="20">
        <f>data!B50</f>
        <v>11.9</v>
      </c>
      <c r="C7" s="3" t="s">
        <v>32</v>
      </c>
    </row>
    <row r="8" spans="1:8">
      <c r="A8" s="3" t="s">
        <v>10</v>
      </c>
      <c r="B8" s="20">
        <f>data!B51</f>
        <v>13.4</v>
      </c>
      <c r="C8" s="3" t="s">
        <v>32</v>
      </c>
    </row>
    <row r="9" spans="1:8">
      <c r="A9" s="3" t="s">
        <v>14</v>
      </c>
      <c r="B9" s="20">
        <f>data!B52</f>
        <v>1100</v>
      </c>
      <c r="C9" s="3" t="s">
        <v>33</v>
      </c>
    </row>
    <row r="10" spans="1:8">
      <c r="A10" s="3" t="s">
        <v>15</v>
      </c>
      <c r="B10" s="20">
        <f>data!B53</f>
        <v>900</v>
      </c>
      <c r="C10" s="3" t="s">
        <v>33</v>
      </c>
    </row>
    <row r="11" spans="1:8">
      <c r="A11" s="3" t="s">
        <v>36</v>
      </c>
      <c r="B11" s="20">
        <f>data!B54</f>
        <v>200</v>
      </c>
      <c r="C11" s="3" t="s">
        <v>30</v>
      </c>
    </row>
    <row r="12" spans="1:8">
      <c r="A12" s="17" t="s">
        <v>35</v>
      </c>
      <c r="B12" s="21">
        <f>data!B55</f>
        <v>600</v>
      </c>
      <c r="C12" s="17" t="s">
        <v>37</v>
      </c>
    </row>
    <row r="13" spans="1:8">
      <c r="A13" s="17"/>
      <c r="B13" s="17"/>
      <c r="C13" s="17"/>
    </row>
    <row r="15" spans="1:8">
      <c r="A15" s="14" t="s">
        <v>11</v>
      </c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 t="s">
        <v>12</v>
      </c>
    </row>
    <row r="16" spans="1:8">
      <c r="A16" s="14" t="s">
        <v>13</v>
      </c>
      <c r="B16" s="22">
        <f>data!B$58</f>
        <v>9800</v>
      </c>
      <c r="C16" s="22">
        <f>data!C$58</f>
        <v>10400</v>
      </c>
      <c r="D16" s="22">
        <f>data!D$58</f>
        <v>12500</v>
      </c>
      <c r="E16" s="22">
        <f>data!E$58</f>
        <v>9800</v>
      </c>
      <c r="F16" s="22">
        <f>data!F$58</f>
        <v>9900</v>
      </c>
      <c r="G16" s="22">
        <f>data!G$58</f>
        <v>10600</v>
      </c>
      <c r="H16" s="14">
        <f>SUM(B16:G16)</f>
        <v>63000</v>
      </c>
    </row>
    <row r="17" spans="1:8">
      <c r="A17" s="14" t="s">
        <v>73</v>
      </c>
      <c r="B17" s="18"/>
      <c r="C17" s="18"/>
      <c r="D17" s="18"/>
      <c r="E17" s="18"/>
      <c r="F17" s="18"/>
      <c r="G17" s="18"/>
      <c r="H17" s="46" t="s">
        <v>81</v>
      </c>
    </row>
    <row r="18" spans="1:8">
      <c r="A18" s="45" t="s">
        <v>74</v>
      </c>
      <c r="B18" s="15"/>
      <c r="C18" s="15"/>
      <c r="D18" s="15"/>
      <c r="E18" s="15"/>
      <c r="F18" s="15"/>
      <c r="G18" s="15"/>
      <c r="H18" s="46" t="s">
        <v>81</v>
      </c>
    </row>
    <row r="19" spans="1:8">
      <c r="A19" s="45" t="s">
        <v>75</v>
      </c>
      <c r="B19" s="15"/>
      <c r="C19" s="15"/>
      <c r="D19" s="15"/>
      <c r="E19" s="15"/>
      <c r="F19" s="15"/>
      <c r="G19" s="15"/>
      <c r="H19" s="46" t="s">
        <v>81</v>
      </c>
    </row>
    <row r="20" spans="1:8">
      <c r="A20" s="8"/>
      <c r="B20" s="9"/>
      <c r="C20" s="9"/>
      <c r="D20" s="9"/>
      <c r="E20" s="9"/>
      <c r="F20" s="9"/>
      <c r="G20" s="9"/>
      <c r="H20" s="10"/>
    </row>
    <row r="21" spans="1:8">
      <c r="A21" s="14" t="s">
        <v>7</v>
      </c>
      <c r="B21" s="18"/>
      <c r="C21" s="18"/>
      <c r="D21" s="18"/>
      <c r="E21" s="18"/>
      <c r="F21" s="18"/>
      <c r="G21" s="18"/>
      <c r="H21" s="46" t="s">
        <v>81</v>
      </c>
    </row>
    <row r="22" spans="1:8">
      <c r="A22" s="14" t="s">
        <v>82</v>
      </c>
      <c r="B22" s="18"/>
      <c r="C22" s="18"/>
      <c r="D22" s="18"/>
      <c r="E22" s="18"/>
      <c r="F22" s="18"/>
      <c r="G22" s="18"/>
      <c r="H22" s="14"/>
    </row>
    <row r="23" spans="1:8">
      <c r="A23" s="14" t="s">
        <v>70</v>
      </c>
      <c r="B23" s="18"/>
      <c r="C23" s="18"/>
      <c r="D23" s="18"/>
      <c r="E23" s="18"/>
      <c r="F23" s="18"/>
      <c r="G23" s="18"/>
      <c r="H23" s="14"/>
    </row>
    <row r="24" spans="1:8">
      <c r="A24" s="14" t="s">
        <v>16</v>
      </c>
      <c r="B24" s="18"/>
      <c r="C24" s="18"/>
      <c r="D24" s="18"/>
      <c r="E24" s="18"/>
      <c r="F24" s="18"/>
      <c r="G24" s="18"/>
      <c r="H24" s="46" t="s">
        <v>81</v>
      </c>
    </row>
    <row r="25" spans="1:8">
      <c r="A25" s="8"/>
      <c r="B25" s="19"/>
      <c r="C25" s="19"/>
      <c r="D25" s="19"/>
      <c r="E25" s="19"/>
      <c r="F25" s="19"/>
      <c r="G25" s="19"/>
      <c r="H25" s="10"/>
    </row>
    <row r="26" spans="1:8">
      <c r="A26" s="14" t="s">
        <v>38</v>
      </c>
      <c r="B26" s="18"/>
      <c r="C26" s="18"/>
      <c r="D26" s="18"/>
      <c r="E26" s="18"/>
      <c r="F26" s="18"/>
      <c r="G26" s="18"/>
      <c r="H26" s="14"/>
    </row>
    <row r="27" spans="1:8">
      <c r="A27" s="14" t="s">
        <v>39</v>
      </c>
      <c r="B27" s="18"/>
      <c r="C27" s="18"/>
      <c r="D27" s="18"/>
      <c r="E27" s="18"/>
      <c r="F27" s="18"/>
      <c r="G27" s="18"/>
      <c r="H27" s="14"/>
    </row>
    <row r="28" spans="1:8">
      <c r="A28" s="14" t="s">
        <v>71</v>
      </c>
      <c r="B28" s="18"/>
      <c r="C28" s="18"/>
      <c r="D28" s="18"/>
      <c r="E28" s="18"/>
      <c r="F28" s="18"/>
      <c r="G28" s="18"/>
      <c r="H28" s="14"/>
    </row>
    <row r="29" spans="1:8">
      <c r="A29" s="14" t="s">
        <v>72</v>
      </c>
      <c r="B29" s="18"/>
      <c r="C29" s="18"/>
      <c r="D29" s="18"/>
      <c r="E29" s="18"/>
      <c r="F29" s="18"/>
      <c r="G29" s="18"/>
      <c r="H29" s="14"/>
    </row>
    <row r="30" spans="1:8">
      <c r="A30" s="14" t="s">
        <v>9</v>
      </c>
      <c r="B30" s="18"/>
      <c r="C30" s="18"/>
      <c r="D30" s="18"/>
      <c r="E30" s="18"/>
      <c r="F30" s="18"/>
      <c r="G30" s="18"/>
      <c r="H30" s="14"/>
    </row>
    <row r="31" spans="1:8">
      <c r="A31" s="14" t="s">
        <v>10</v>
      </c>
      <c r="B31" s="18"/>
      <c r="C31" s="18"/>
      <c r="D31" s="18"/>
      <c r="E31" s="18"/>
      <c r="F31" s="18"/>
      <c r="G31" s="18"/>
      <c r="H31" s="14"/>
    </row>
    <row r="32" spans="1:8">
      <c r="A32" s="8"/>
      <c r="B32" s="9"/>
      <c r="C32" s="9"/>
      <c r="D32" s="9"/>
      <c r="E32" s="9"/>
      <c r="F32" s="9"/>
      <c r="G32" s="9"/>
      <c r="H32" s="10"/>
    </row>
    <row r="33" spans="1:8">
      <c r="A33" s="11"/>
      <c r="B33" s="12"/>
      <c r="C33" s="12"/>
      <c r="D33" s="12"/>
      <c r="E33" s="12"/>
      <c r="F33" s="12"/>
      <c r="G33" s="12" t="s">
        <v>17</v>
      </c>
      <c r="H33" s="13"/>
    </row>
    <row r="35" spans="1:8">
      <c r="A35" s="19"/>
      <c r="B35" s="19"/>
      <c r="C35" s="19"/>
      <c r="D35" s="19"/>
      <c r="E35" s="19"/>
      <c r="F35" s="19"/>
      <c r="G35" s="19"/>
      <c r="H35" s="19"/>
    </row>
    <row r="36" spans="1:8">
      <c r="A36" s="19"/>
      <c r="B36" s="19"/>
      <c r="C36" s="19"/>
      <c r="D36" s="19"/>
      <c r="E36" s="19"/>
      <c r="F36" s="19"/>
      <c r="G36" s="19"/>
      <c r="H36" s="19"/>
    </row>
    <row r="37" spans="1:8">
      <c r="A37" s="19"/>
      <c r="B37" s="19"/>
      <c r="C37" s="19"/>
      <c r="D37" s="19"/>
      <c r="E37" s="19"/>
      <c r="F37" s="19"/>
      <c r="G37" s="19"/>
      <c r="H37" s="19"/>
    </row>
    <row r="38" spans="1:8">
      <c r="A38" s="19"/>
      <c r="B38" s="19"/>
      <c r="C38" s="19"/>
      <c r="D38" s="19"/>
      <c r="E38" s="19"/>
      <c r="F38" s="19"/>
      <c r="G38" s="19"/>
      <c r="H38" s="47"/>
    </row>
    <row r="39" spans="1:8">
      <c r="A39" s="48"/>
      <c r="B39" s="19"/>
      <c r="C39" s="19"/>
      <c r="D39" s="19"/>
      <c r="E39" s="19"/>
      <c r="F39" s="19"/>
      <c r="G39" s="19"/>
      <c r="H39" s="47"/>
    </row>
    <row r="40" spans="1:8">
      <c r="A40" s="48"/>
      <c r="B40" s="19"/>
      <c r="C40" s="19"/>
      <c r="D40" s="19"/>
      <c r="E40" s="19"/>
      <c r="F40" s="19"/>
      <c r="G40" s="19"/>
      <c r="H40" s="47"/>
    </row>
    <row r="41" spans="1:8">
      <c r="A41" s="19"/>
      <c r="B41" s="19"/>
      <c r="C41" s="19"/>
      <c r="D41" s="19"/>
      <c r="E41" s="19"/>
      <c r="F41" s="19"/>
      <c r="G41" s="19"/>
      <c r="H41" s="19"/>
    </row>
    <row r="42" spans="1:8">
      <c r="A42" s="19"/>
      <c r="B42" s="19"/>
      <c r="C42" s="19"/>
      <c r="D42" s="19"/>
      <c r="E42" s="19"/>
      <c r="F42" s="19"/>
      <c r="G42" s="19"/>
      <c r="H42" s="47"/>
    </row>
    <row r="43" spans="1:8">
      <c r="A43" s="19"/>
      <c r="B43" s="19"/>
      <c r="C43" s="19"/>
      <c r="D43" s="19"/>
      <c r="E43" s="19"/>
      <c r="F43" s="19"/>
      <c r="G43" s="19"/>
      <c r="H43" s="19"/>
    </row>
    <row r="44" spans="1:8">
      <c r="A44" s="19"/>
      <c r="B44" s="19"/>
      <c r="C44" s="19"/>
      <c r="D44" s="19"/>
      <c r="E44" s="19"/>
      <c r="F44" s="19"/>
      <c r="G44" s="19"/>
      <c r="H44" s="19"/>
    </row>
    <row r="45" spans="1:8">
      <c r="A45" s="19"/>
      <c r="B45" s="19"/>
      <c r="C45" s="19"/>
      <c r="D45" s="19"/>
      <c r="E45" s="19"/>
      <c r="F45" s="19"/>
      <c r="G45" s="19"/>
      <c r="H45" s="47"/>
    </row>
    <row r="46" spans="1:8">
      <c r="A46" s="19"/>
      <c r="B46" s="19"/>
      <c r="C46" s="19"/>
      <c r="D46" s="19"/>
      <c r="E46" s="19"/>
      <c r="F46" s="19"/>
      <c r="G46" s="19"/>
      <c r="H46" s="19"/>
    </row>
    <row r="47" spans="1:8">
      <c r="A47" s="19"/>
      <c r="B47" s="19"/>
      <c r="C47" s="19"/>
      <c r="D47" s="19"/>
      <c r="E47" s="19"/>
      <c r="F47" s="19"/>
      <c r="G47" s="19"/>
      <c r="H47" s="19"/>
    </row>
    <row r="48" spans="1:8">
      <c r="A48" s="19"/>
      <c r="B48" s="19"/>
      <c r="C48" s="19"/>
      <c r="D48" s="19"/>
      <c r="E48" s="19"/>
      <c r="F48" s="19"/>
      <c r="G48" s="19"/>
      <c r="H48" s="19"/>
    </row>
    <row r="49" spans="1:8">
      <c r="A49" s="19"/>
      <c r="B49" s="19"/>
      <c r="C49" s="19"/>
      <c r="D49" s="19"/>
      <c r="E49" s="19"/>
      <c r="F49" s="19"/>
      <c r="G49" s="19"/>
      <c r="H49" s="19"/>
    </row>
    <row r="50" spans="1:8">
      <c r="A50" s="19"/>
      <c r="B50" s="19"/>
      <c r="C50" s="19"/>
      <c r="D50" s="19"/>
      <c r="E50" s="19"/>
      <c r="F50" s="19"/>
      <c r="G50" s="19"/>
      <c r="H50" s="19"/>
    </row>
    <row r="51" spans="1:8">
      <c r="A51" s="19"/>
      <c r="B51" s="19"/>
      <c r="C51" s="19"/>
      <c r="D51" s="19"/>
      <c r="E51" s="19"/>
      <c r="F51" s="19"/>
      <c r="G51" s="19"/>
      <c r="H51" s="19"/>
    </row>
    <row r="52" spans="1:8">
      <c r="A52" s="19"/>
      <c r="B52" s="19"/>
      <c r="C52" s="19"/>
      <c r="D52" s="19"/>
      <c r="E52" s="19"/>
      <c r="F52" s="19"/>
      <c r="G52" s="19"/>
      <c r="H52" s="19"/>
    </row>
    <row r="53" spans="1:8">
      <c r="A53" s="19"/>
      <c r="B53" s="19"/>
      <c r="C53" s="19"/>
      <c r="D53" s="19"/>
      <c r="E53" s="19"/>
      <c r="F53" s="19"/>
      <c r="G53" s="19"/>
      <c r="H53" s="19"/>
    </row>
    <row r="54" spans="1:8">
      <c r="A54" s="19"/>
      <c r="B54" s="19"/>
      <c r="C54" s="19"/>
      <c r="D54" s="19"/>
      <c r="E54" s="19"/>
      <c r="F54" s="19"/>
      <c r="G54" s="19"/>
      <c r="H54" s="19"/>
    </row>
    <row r="56" spans="1:8">
      <c r="A56" s="19"/>
      <c r="B56" s="19"/>
      <c r="C56" s="19"/>
      <c r="D56" s="19"/>
      <c r="E56" s="19"/>
      <c r="F56" s="19"/>
      <c r="G56" s="19"/>
      <c r="H56" s="19"/>
    </row>
    <row r="57" spans="1:8">
      <c r="A57" s="19"/>
      <c r="B57" s="19"/>
      <c r="C57" s="19"/>
      <c r="D57" s="19"/>
      <c r="E57" s="19"/>
      <c r="F57" s="19"/>
      <c r="G57" s="19"/>
      <c r="H57" s="19"/>
    </row>
    <row r="58" spans="1:8">
      <c r="A58" s="19"/>
      <c r="B58" s="19"/>
      <c r="C58" s="19"/>
      <c r="D58" s="19"/>
      <c r="E58" s="19"/>
      <c r="F58" s="19"/>
      <c r="G58" s="19"/>
      <c r="H58" s="19"/>
    </row>
    <row r="59" spans="1:8">
      <c r="A59" s="19"/>
      <c r="B59" s="19"/>
      <c r="C59" s="19"/>
      <c r="D59" s="19"/>
      <c r="E59" s="19"/>
      <c r="F59" s="19"/>
      <c r="G59" s="19"/>
      <c r="H59" s="47"/>
    </row>
    <row r="60" spans="1:8">
      <c r="A60" s="48"/>
      <c r="B60" s="19"/>
      <c r="C60" s="19"/>
      <c r="D60" s="19"/>
      <c r="E60" s="19"/>
      <c r="F60" s="19"/>
      <c r="G60" s="19"/>
      <c r="H60" s="47"/>
    </row>
    <row r="61" spans="1:8">
      <c r="A61" s="48"/>
      <c r="B61" s="19"/>
      <c r="C61" s="19"/>
      <c r="D61" s="19"/>
      <c r="E61" s="19"/>
      <c r="F61" s="19"/>
      <c r="G61" s="19"/>
      <c r="H61" s="47"/>
    </row>
    <row r="62" spans="1:8">
      <c r="A62" s="19"/>
      <c r="B62" s="19"/>
      <c r="C62" s="19"/>
      <c r="D62" s="19"/>
      <c r="E62" s="19"/>
      <c r="F62" s="19"/>
      <c r="G62" s="19"/>
      <c r="H62" s="19"/>
    </row>
    <row r="63" spans="1:8">
      <c r="A63" s="19"/>
      <c r="B63" s="19"/>
      <c r="C63" s="19"/>
      <c r="D63" s="19"/>
      <c r="E63" s="19"/>
      <c r="F63" s="19"/>
      <c r="G63" s="19"/>
      <c r="H63" s="47"/>
    </row>
    <row r="64" spans="1:8">
      <c r="A64" s="19"/>
      <c r="B64" s="19"/>
      <c r="C64" s="19"/>
      <c r="D64" s="19"/>
      <c r="E64" s="19"/>
      <c r="F64" s="19"/>
      <c r="G64" s="19"/>
      <c r="H64" s="19"/>
    </row>
    <row r="65" spans="1:8">
      <c r="A65" s="19"/>
      <c r="B65" s="19"/>
      <c r="C65" s="19"/>
      <c r="D65" s="19"/>
      <c r="E65" s="19"/>
      <c r="F65" s="19"/>
      <c r="G65" s="19"/>
      <c r="H65" s="19"/>
    </row>
    <row r="66" spans="1:8">
      <c r="A66" s="19"/>
      <c r="B66" s="19"/>
      <c r="C66" s="19"/>
      <c r="D66" s="19"/>
      <c r="E66" s="19"/>
      <c r="F66" s="19"/>
      <c r="G66" s="19"/>
      <c r="H66" s="47"/>
    </row>
    <row r="67" spans="1:8">
      <c r="A67" s="19"/>
      <c r="B67" s="19"/>
      <c r="C67" s="19"/>
      <c r="D67" s="19"/>
      <c r="E67" s="19"/>
      <c r="F67" s="19"/>
      <c r="G67" s="19"/>
      <c r="H67" s="19"/>
    </row>
    <row r="68" spans="1:8">
      <c r="A68" s="19"/>
      <c r="B68" s="19"/>
      <c r="C68" s="19"/>
      <c r="D68" s="19"/>
      <c r="E68" s="19"/>
      <c r="F68" s="19"/>
      <c r="G68" s="19"/>
      <c r="H68" s="19"/>
    </row>
    <row r="69" spans="1:8">
      <c r="A69" s="19"/>
      <c r="B69" s="19"/>
      <c r="C69" s="19"/>
      <c r="D69" s="19"/>
      <c r="E69" s="19"/>
      <c r="F69" s="19"/>
      <c r="G69" s="19"/>
      <c r="H69" s="19"/>
    </row>
    <row r="70" spans="1:8">
      <c r="A70" s="19"/>
      <c r="B70" s="19"/>
      <c r="C70" s="19"/>
      <c r="D70" s="19"/>
      <c r="E70" s="19"/>
      <c r="F70" s="19"/>
      <c r="G70" s="19"/>
      <c r="H70" s="19"/>
    </row>
    <row r="71" spans="1:8">
      <c r="A71" s="19"/>
      <c r="B71" s="19"/>
      <c r="C71" s="19"/>
      <c r="D71" s="19"/>
      <c r="E71" s="19"/>
      <c r="F71" s="19"/>
      <c r="G71" s="19"/>
      <c r="H71" s="19"/>
    </row>
    <row r="72" spans="1:8">
      <c r="A72" s="19"/>
      <c r="B72" s="19"/>
      <c r="C72" s="19"/>
      <c r="D72" s="19"/>
      <c r="E72" s="19"/>
      <c r="F72" s="19"/>
      <c r="G72" s="19"/>
      <c r="H72" s="19"/>
    </row>
    <row r="73" spans="1:8">
      <c r="A73" s="19"/>
      <c r="B73" s="19"/>
      <c r="C73" s="19"/>
      <c r="D73" s="19"/>
      <c r="E73" s="19"/>
      <c r="F73" s="19"/>
      <c r="G73" s="19"/>
      <c r="H73" s="19"/>
    </row>
    <row r="74" spans="1:8">
      <c r="A74" s="19"/>
      <c r="B74" s="19"/>
      <c r="C74" s="19"/>
      <c r="D74" s="19"/>
      <c r="E74" s="19"/>
      <c r="F74" s="19"/>
      <c r="G74" s="19"/>
      <c r="H74" s="19"/>
    </row>
    <row r="75" spans="1:8">
      <c r="A75" s="19"/>
      <c r="B75" s="19"/>
      <c r="C75" s="19"/>
      <c r="D75" s="19"/>
      <c r="E75" s="19"/>
      <c r="F75" s="19"/>
      <c r="G75" s="19"/>
      <c r="H75" s="19"/>
    </row>
  </sheetData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ID</vt:lpstr>
      <vt:lpstr>data</vt:lpstr>
      <vt:lpstr>Forecast</vt:lpstr>
      <vt:lpstr>Aggregate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Shining WU</dc:creator>
  <cp:lastModifiedBy>Microsoft Office User</cp:lastModifiedBy>
  <dcterms:created xsi:type="dcterms:W3CDTF">2020-04-12T16:28:50Z</dcterms:created>
  <dcterms:modified xsi:type="dcterms:W3CDTF">2021-04-07T18:36:30Z</dcterms:modified>
</cp:coreProperties>
</file>