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htu\Documents\"/>
    </mc:Choice>
  </mc:AlternateContent>
  <bookViews>
    <workbookView xWindow="0" yWindow="0" windowWidth="20490" windowHeight="7800" activeTab="2"/>
  </bookViews>
  <sheets>
    <sheet name="Danh sách hóa đơn" sheetId="1" r:id="rId1"/>
    <sheet name="Thí sinh dự thi" sheetId="5" r:id="rId2"/>
    <sheet name="Sheet9" sheetId="9" r:id="rId3"/>
  </sheets>
  <definedNames>
    <definedName name="_xlnm._FilterDatabase" localSheetId="0" hidden="1">'Danh sách hóa đơn'!$B$4:$J$11</definedName>
    <definedName name="_xlnm._FilterDatabase" localSheetId="2" hidden="1">Sheet9!$B$4:$K$12</definedName>
    <definedName name="_xlnm._FilterDatabase" localSheetId="1" hidden="1">'Thí sinh dự thi'!$B$5:$J$13</definedName>
    <definedName name="_xlnm.Criteria" localSheetId="0">'Danh sách hóa đơn'!$D$35:$D$36</definedName>
    <definedName name="_xlnm.Criteria" localSheetId="2">Sheet9!$C$22:$C$23</definedName>
    <definedName name="_xlnm.Criteria" localSheetId="1">'Thí sinh dự thi'!$D$22:$D$23</definedName>
    <definedName name="_xlnm.Extract" localSheetId="0">'Danh sách hóa đơn'!$B$38:$J$38</definedName>
    <definedName name="_xlnm.Extract" localSheetId="2">Sheet9!$B$24:$K$24</definedName>
    <definedName name="_xlnm.Extract" localSheetId="1">'Thí sinh dự thi'!$B$25:$J$25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1" i="9" l="1"/>
  <c r="E11" i="9"/>
  <c r="E8" i="9"/>
  <c r="E6" i="9"/>
  <c r="J6" i="9" s="1"/>
  <c r="E7" i="9"/>
  <c r="E9" i="9"/>
  <c r="J9" i="9" s="1"/>
  <c r="E12" i="9"/>
  <c r="J12" i="9" s="1"/>
  <c r="E5" i="9"/>
  <c r="E10" i="9"/>
  <c r="J10" i="9" s="1"/>
  <c r="G5" i="5"/>
  <c r="F11" i="9"/>
  <c r="I11" i="9" s="1"/>
  <c r="F8" i="9"/>
  <c r="G8" i="9" s="1"/>
  <c r="F6" i="9"/>
  <c r="I6" i="9" s="1"/>
  <c r="F7" i="9"/>
  <c r="I7" i="9" s="1"/>
  <c r="F9" i="9"/>
  <c r="I9" i="9" s="1"/>
  <c r="F12" i="9"/>
  <c r="G12" i="9" s="1"/>
  <c r="F5" i="9"/>
  <c r="I5" i="9" s="1"/>
  <c r="F10" i="9"/>
  <c r="I10" i="9" s="1"/>
  <c r="G19" i="5"/>
  <c r="G18" i="5"/>
  <c r="C7" i="5"/>
  <c r="D7" i="5" s="1"/>
  <c r="E7" i="5"/>
  <c r="F7" i="5" s="1"/>
  <c r="I7" i="5"/>
  <c r="J7" i="5" s="1"/>
  <c r="I10" i="5"/>
  <c r="J10" i="5" s="1"/>
  <c r="I11" i="5"/>
  <c r="J11" i="5" s="1"/>
  <c r="I13" i="5"/>
  <c r="J13" i="5" s="1"/>
  <c r="I9" i="5"/>
  <c r="J9" i="5" s="1"/>
  <c r="I12" i="5"/>
  <c r="J12" i="5" s="1"/>
  <c r="I8" i="5"/>
  <c r="J8" i="5" s="1"/>
  <c r="E10" i="5"/>
  <c r="F10" i="5" s="1"/>
  <c r="E11" i="5"/>
  <c r="F11" i="5" s="1"/>
  <c r="E13" i="5"/>
  <c r="F13" i="5" s="1"/>
  <c r="E9" i="5"/>
  <c r="F9" i="5" s="1"/>
  <c r="E12" i="5"/>
  <c r="F12" i="5" s="1"/>
  <c r="E8" i="5"/>
  <c r="F8" i="5" s="1"/>
  <c r="C12" i="5"/>
  <c r="D12" i="5" s="1"/>
  <c r="C10" i="5"/>
  <c r="D10" i="5" s="1"/>
  <c r="C11" i="5"/>
  <c r="D11" i="5" s="1"/>
  <c r="C13" i="5"/>
  <c r="D13" i="5" s="1"/>
  <c r="C9" i="5"/>
  <c r="D9" i="5" s="1"/>
  <c r="C8" i="5"/>
  <c r="D8" i="5" s="1"/>
  <c r="F11" i="1"/>
  <c r="F8" i="1"/>
  <c r="I8" i="1" s="1"/>
  <c r="F10" i="1"/>
  <c r="I10" i="1" s="1"/>
  <c r="F6" i="1"/>
  <c r="F5" i="1"/>
  <c r="F9" i="1"/>
  <c r="I9" i="1" s="1"/>
  <c r="F7" i="1"/>
  <c r="D8" i="1"/>
  <c r="E8" i="1" s="1"/>
  <c r="D10" i="1"/>
  <c r="E10" i="1" s="1"/>
  <c r="G10" i="1" s="1"/>
  <c r="D6" i="1"/>
  <c r="E6" i="1" s="1"/>
  <c r="G6" i="1" s="1"/>
  <c r="D5" i="1"/>
  <c r="E5" i="1" s="1"/>
  <c r="G5" i="1" s="1"/>
  <c r="H5" i="1" s="1"/>
  <c r="D9" i="1"/>
  <c r="E9" i="1" s="1"/>
  <c r="G9" i="1" s="1"/>
  <c r="D7" i="1"/>
  <c r="E7" i="1" s="1"/>
  <c r="G7" i="1" s="1"/>
  <c r="D11" i="1"/>
  <c r="E11" i="1" s="1"/>
  <c r="G11" i="1" s="1"/>
  <c r="J7" i="9" l="1"/>
  <c r="J5" i="9"/>
  <c r="K6" i="9"/>
  <c r="K11" i="9"/>
  <c r="I12" i="9"/>
  <c r="K12" i="9" s="1"/>
  <c r="I8" i="9"/>
  <c r="K9" i="9"/>
  <c r="K10" i="9"/>
  <c r="K7" i="9"/>
  <c r="K5" i="9"/>
  <c r="H8" i="9"/>
  <c r="G9" i="9"/>
  <c r="G11" i="9"/>
  <c r="H9" i="9"/>
  <c r="H11" i="9"/>
  <c r="H12" i="9"/>
  <c r="G10" i="9"/>
  <c r="G7" i="9"/>
  <c r="I19" i="9" s="1"/>
  <c r="H10" i="9"/>
  <c r="H7" i="9"/>
  <c r="G5" i="9"/>
  <c r="G6" i="9"/>
  <c r="H5" i="9"/>
  <c r="H6" i="9"/>
  <c r="H9" i="1"/>
  <c r="J9" i="1" s="1"/>
  <c r="G8" i="1"/>
  <c r="H8" i="1" s="1"/>
  <c r="J8" i="1" s="1"/>
  <c r="I5" i="1"/>
  <c r="J5" i="1" s="1"/>
  <c r="H11" i="1"/>
  <c r="H7" i="1"/>
  <c r="H10" i="1"/>
  <c r="J10" i="1" s="1"/>
  <c r="H6" i="1"/>
  <c r="I7" i="1"/>
  <c r="I17" i="9" l="1"/>
  <c r="J8" i="9"/>
  <c r="K8" i="9" s="1"/>
  <c r="I18" i="9" s="1"/>
  <c r="H19" i="9"/>
  <c r="H17" i="9"/>
  <c r="H18" i="9"/>
  <c r="J7" i="1"/>
  <c r="I15" i="1" s="1"/>
  <c r="I11" i="1"/>
  <c r="J11" i="1" s="1"/>
  <c r="J15" i="1" s="1"/>
  <c r="I6" i="1"/>
  <c r="J6" i="1" s="1"/>
  <c r="H15" i="1" s="1"/>
</calcChain>
</file>

<file path=xl/sharedStrings.xml><?xml version="1.0" encoding="utf-8"?>
<sst xmlns="http://schemas.openxmlformats.org/spreadsheetml/2006/main" count="200" uniqueCount="110">
  <si>
    <t>STT</t>
  </si>
  <si>
    <t>Mã hóa đơn</t>
  </si>
  <si>
    <t>Mã SP</t>
  </si>
  <si>
    <t>Tên SP</t>
  </si>
  <si>
    <t>Số lượng</t>
  </si>
  <si>
    <t>Đơn giá</t>
  </si>
  <si>
    <t>Thành tiền</t>
  </si>
  <si>
    <t>Giảm giá</t>
  </si>
  <si>
    <t>Tổng cộng</t>
  </si>
  <si>
    <t>NOT-5</t>
  </si>
  <si>
    <t>KIS-3</t>
  </si>
  <si>
    <t>KIS-1</t>
  </si>
  <si>
    <t>BDE-6</t>
  </si>
  <si>
    <t>BDE-7</t>
  </si>
  <si>
    <t>KIS-2</t>
  </si>
  <si>
    <t>KIS-4</t>
  </si>
  <si>
    <t>Giá bán</t>
  </si>
  <si>
    <t>BDE</t>
  </si>
  <si>
    <t>KIS</t>
  </si>
  <si>
    <t>NOT</t>
  </si>
  <si>
    <t>Bitdefender</t>
  </si>
  <si>
    <t>Kaspersky</t>
  </si>
  <si>
    <t>Norton</t>
  </si>
  <si>
    <t>Danh sách hóa đơn (1)</t>
  </si>
  <si>
    <t>Danh mục SP (2)</t>
  </si>
  <si>
    <t>Bảng thống kê (3)</t>
  </si>
  <si>
    <t>LEFT</t>
  </si>
  <si>
    <r>
      <t xml:space="preserve">b) </t>
    </r>
    <r>
      <rPr>
        <b/>
        <sz val="11"/>
        <color theme="1"/>
        <rFont val="Calibri"/>
        <family val="2"/>
        <scheme val="minor"/>
      </rPr>
      <t>Tên SP</t>
    </r>
    <r>
      <rPr>
        <sz val="11"/>
        <color theme="1"/>
        <rFont val="Calibri"/>
        <family val="2"/>
        <scheme val="minor"/>
      </rPr>
      <t xml:space="preserve"> dựa vào Mã SP và tra ở bảng (2)</t>
    </r>
  </si>
  <si>
    <r>
      <t xml:space="preserve">a) </t>
    </r>
    <r>
      <rPr>
        <b/>
        <sz val="11"/>
        <color theme="1"/>
        <rFont val="Calibri"/>
        <family val="2"/>
        <scheme val="minor"/>
      </rPr>
      <t>Mã SP</t>
    </r>
    <r>
      <rPr>
        <sz val="11"/>
        <color theme="1"/>
        <rFont val="Calibri"/>
        <family val="2"/>
        <scheme val="minor"/>
      </rPr>
      <t xml:space="preserve"> dựa vào 3 ký tự đầu của Mã hóa đơn</t>
    </r>
  </si>
  <si>
    <r>
      <t xml:space="preserve">c) </t>
    </r>
    <r>
      <rPr>
        <b/>
        <sz val="11"/>
        <color theme="1"/>
        <rFont val="Calibri"/>
        <family val="2"/>
        <scheme val="minor"/>
      </rPr>
      <t>Số lượng</t>
    </r>
    <r>
      <rPr>
        <sz val="11"/>
        <color theme="1"/>
        <rFont val="Calibri"/>
        <family val="2"/>
        <scheme val="minor"/>
      </rPr>
      <t xml:space="preserve"> dựa vào kí tự cuối của mã hóa đơn và chuyển thành số</t>
    </r>
  </si>
  <si>
    <r>
      <t xml:space="preserve">d) </t>
    </r>
    <r>
      <rPr>
        <b/>
        <sz val="11"/>
        <color theme="1"/>
        <rFont val="Calibri"/>
        <family val="2"/>
        <scheme val="minor"/>
      </rPr>
      <t>Đơn giá</t>
    </r>
    <r>
      <rPr>
        <sz val="11"/>
        <color theme="1"/>
        <rFont val="Calibri"/>
        <family val="2"/>
        <scheme val="minor"/>
      </rPr>
      <t xml:space="preserve"> dựa vào tên SP và tra trong bảng (2)</t>
    </r>
  </si>
  <si>
    <r>
      <t xml:space="preserve">g) </t>
    </r>
    <r>
      <rPr>
        <b/>
        <sz val="11"/>
        <color theme="1"/>
        <rFont val="Calibri"/>
        <family val="2"/>
        <scheme val="minor"/>
      </rPr>
      <t>Tổng cộng</t>
    </r>
    <r>
      <rPr>
        <sz val="11"/>
        <color theme="1"/>
        <rFont val="Calibri"/>
        <family val="2"/>
        <scheme val="minor"/>
      </rPr>
      <t xml:space="preserve"> = Thành tiền - Giảm giá</t>
    </r>
  </si>
  <si>
    <r>
      <t xml:space="preserve">f) </t>
    </r>
    <r>
      <rPr>
        <b/>
        <sz val="11"/>
        <color theme="1"/>
        <rFont val="Calibri"/>
        <family val="2"/>
        <scheme val="minor"/>
      </rPr>
      <t>Giảm giá</t>
    </r>
    <r>
      <rPr>
        <sz val="11"/>
        <color theme="1"/>
        <rFont val="Calibri"/>
        <family val="2"/>
        <scheme val="minor"/>
      </rPr>
      <t xml:space="preserve"> là 10% của thành tiền nếu số lượng từ  5 trở lên, ngược lại không giảm</t>
    </r>
  </si>
  <si>
    <r>
      <t xml:space="preserve">e) </t>
    </r>
    <r>
      <rPr>
        <b/>
        <sz val="11"/>
        <color theme="1"/>
        <rFont val="Calibri"/>
        <family val="2"/>
        <scheme val="minor"/>
      </rPr>
      <t xml:space="preserve">Thành tiền </t>
    </r>
    <r>
      <rPr>
        <sz val="11"/>
        <color theme="1"/>
        <rFont val="Calibri"/>
        <family val="2"/>
        <scheme val="minor"/>
      </rPr>
      <t>= Đơn giá * Số lượng</t>
    </r>
  </si>
  <si>
    <t>VLOOLUP</t>
  </si>
  <si>
    <t>IF</t>
  </si>
  <si>
    <t>MID , FIND, LEN</t>
  </si>
  <si>
    <t>Tính tổng cộng của từng loại sản phẩm bảng (3)</t>
  </si>
  <si>
    <t>Sắp xếp bảng tănng dần theo tên sản phẩm, nếu trùng thì giảm dần theo số lượng</t>
  </si>
  <si>
    <t>Vẽ biểu đồ cột dựa vào số liệu trong bảng (3)</t>
  </si>
  <si>
    <t>Rút trích từ bảng (1) các thông tin hóa đơn của sản phẩm Kaspersky</t>
  </si>
  <si>
    <t>Định dạng cột Đơn giá, thành tiền, giảm giá tổng cộng nghìn đồng</t>
  </si>
  <si>
    <t>=Kaspersky</t>
  </si>
  <si>
    <t>Ngày thi 09/04/2017</t>
  </si>
  <si>
    <t>MSTS</t>
  </si>
  <si>
    <t>Loại chứng chỉ</t>
  </si>
  <si>
    <t>Tên chứng chỉ</t>
  </si>
  <si>
    <t>Giờ thi</t>
  </si>
  <si>
    <t>Loại thí sinh</t>
  </si>
  <si>
    <t>Điểm</t>
  </si>
  <si>
    <t>Điểm trung bình</t>
  </si>
  <si>
    <t>Cấp chứng chỉ</t>
  </si>
  <si>
    <t>Lý thuyết</t>
  </si>
  <si>
    <t>Thực hành</t>
  </si>
  <si>
    <t>BKCB001A</t>
  </si>
  <si>
    <t>BKCB002A</t>
  </si>
  <si>
    <t>BKCB006A</t>
  </si>
  <si>
    <t>BKCB004B</t>
  </si>
  <si>
    <t>Danh sách dự thi (1)</t>
  </si>
  <si>
    <t>Mã loại</t>
  </si>
  <si>
    <t>Tên loại</t>
  </si>
  <si>
    <t>Chứng chỉ</t>
  </si>
  <si>
    <t>Số chứng chỉ được cấp</t>
  </si>
  <si>
    <t>Loại chứng chỉ (2)</t>
  </si>
  <si>
    <t>Thống kê (3)</t>
  </si>
  <si>
    <t>CB</t>
  </si>
  <si>
    <t>NC</t>
  </si>
  <si>
    <t>Nâng cao</t>
  </si>
  <si>
    <t>Cơ bản</t>
  </si>
  <si>
    <t>BKNC003A</t>
  </si>
  <si>
    <t>BKNC005B</t>
  </si>
  <si>
    <t>BKNC007B</t>
  </si>
  <si>
    <t>=Cơ bản</t>
  </si>
  <si>
    <t>Chiều</t>
  </si>
  <si>
    <t>Tự do</t>
  </si>
  <si>
    <t>X</t>
  </si>
  <si>
    <t>Sáng</t>
  </si>
  <si>
    <t>Học viên</t>
  </si>
  <si>
    <t/>
  </si>
  <si>
    <t>BẢNG DANH SÁCH KHÁCH HÀNG (1)</t>
  </si>
  <si>
    <t>Mã khách</t>
  </si>
  <si>
    <t>Ngày đến</t>
  </si>
  <si>
    <t>Thứ</t>
  </si>
  <si>
    <t>Mã dịch vụ</t>
  </si>
  <si>
    <t>Tên dịch vụ</t>
  </si>
  <si>
    <t>Mã HD</t>
  </si>
  <si>
    <t>Phí dịch vụ</t>
  </si>
  <si>
    <t>Phụ thu</t>
  </si>
  <si>
    <t>Tổng tiền</t>
  </si>
  <si>
    <t>DNSC0703</t>
  </si>
  <si>
    <t>HNSC1803</t>
  </si>
  <si>
    <t>HNNC0103</t>
  </si>
  <si>
    <t>NTCD1606</t>
  </si>
  <si>
    <t>DNCD0905</t>
  </si>
  <si>
    <t>NTNC1604</t>
  </si>
  <si>
    <t>DNSC1004</t>
  </si>
  <si>
    <t>HNCD2903</t>
  </si>
  <si>
    <t>BẢNG DỊCH VỤ (2)</t>
  </si>
  <si>
    <t>BẢNG THỐNG KÊ (3)</t>
  </si>
  <si>
    <t>CD</t>
  </si>
  <si>
    <t>SC</t>
  </si>
  <si>
    <t>Cài đặt</t>
  </si>
  <si>
    <t>Nâng cấp</t>
  </si>
  <si>
    <t>Sửa chữa</t>
  </si>
  <si>
    <t>=HN*</t>
  </si>
  <si>
    <t>Chủ Nhật</t>
  </si>
  <si>
    <t>CD_Chủ Nhật_2903</t>
  </si>
  <si>
    <t>NC_Chủ Nhật_0103</t>
  </si>
  <si>
    <t>Thứ Tư</t>
  </si>
  <si>
    <t>SC_Thứ Tư_1803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</si>
</sst>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6" formatCode="#,##0\ [$đồng]\ "/>
    <numFmt numFmtId="167" formatCode="0.0\ [$điểm]"/>
    <numFmt numFmtId="169" formatCode="dd/mm/yyyy"/>
    <numFmt numFmtId="172" formatCode="[$-42A]dddd"/>
    <numFmt numFmtId="175" formatCode="#,###\ [$vnd]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1" fillId="0" borderId="4" xfId="0" applyFont="1" applyBorder="1"/>
    <xf numFmtId="0" fontId="0" fillId="0" borderId="9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0" fillId="0" borderId="5" xfId="0" applyBorder="1"/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0" fillId="0" borderId="14" xfId="0" applyBorder="1" applyAlignment="1">
      <alignment horizontal="center"/>
    </xf>
    <xf numFmtId="3" fontId="0" fillId="0" borderId="16" xfId="0" applyNumberForma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3" fontId="0" fillId="0" borderId="26" xfId="0" applyNumberFormat="1" applyBorder="1" applyAlignment="1">
      <alignment horizontal="center"/>
    </xf>
    <xf numFmtId="0" fontId="0" fillId="0" borderId="8" xfId="0" applyBorder="1"/>
    <xf numFmtId="0" fontId="0" fillId="0" borderId="0" xfId="0" applyAlignment="1">
      <alignment horizontal="right" vertical="center"/>
    </xf>
    <xf numFmtId="0" fontId="0" fillId="0" borderId="0" xfId="0" applyAlignment="1">
      <alignment horizontal="right"/>
    </xf>
    <xf numFmtId="166" fontId="0" fillId="0" borderId="9" xfId="0" applyNumberFormat="1" applyBorder="1" applyAlignment="1">
      <alignment horizontal="center" vertical="center"/>
    </xf>
    <xf numFmtId="166" fontId="0" fillId="0" borderId="16" xfId="0" applyNumberFormat="1" applyBorder="1" applyAlignment="1">
      <alignment horizontal="center" vertical="center"/>
    </xf>
    <xf numFmtId="166" fontId="0" fillId="0" borderId="13" xfId="0" applyNumberFormat="1" applyBorder="1" applyAlignment="1">
      <alignment horizontal="center" vertical="center"/>
    </xf>
    <xf numFmtId="166" fontId="0" fillId="0" borderId="17" xfId="0" applyNumberFormat="1" applyBorder="1" applyAlignment="1">
      <alignment horizontal="center" vertical="center"/>
    </xf>
    <xf numFmtId="0" fontId="0" fillId="0" borderId="0" xfId="0" quotePrefix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7" fontId="0" fillId="0" borderId="0" xfId="0" applyNumberFormat="1" applyBorder="1" applyAlignment="1">
      <alignment horizontal="right" vertical="center"/>
    </xf>
    <xf numFmtId="167" fontId="0" fillId="0" borderId="0" xfId="0" applyNumberFormat="1" applyBorder="1" applyAlignment="1">
      <alignment horizontal="center" vertical="center"/>
    </xf>
    <xf numFmtId="167" fontId="0" fillId="0" borderId="7" xfId="0" applyNumberFormat="1" applyBorder="1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0" xfId="0" quotePrefix="1" applyAlignment="1">
      <alignment horizontal="left" vertical="center"/>
    </xf>
    <xf numFmtId="0" fontId="0" fillId="0" borderId="0" xfId="0" applyBorder="1"/>
    <xf numFmtId="0" fontId="1" fillId="0" borderId="18" xfId="0" applyFont="1" applyBorder="1"/>
    <xf numFmtId="0" fontId="1" fillId="0" borderId="19" xfId="0" applyFont="1" applyBorder="1" applyAlignment="1">
      <alignment horizontal="center"/>
    </xf>
    <xf numFmtId="0" fontId="1" fillId="0" borderId="27" xfId="0" applyFont="1" applyBorder="1" applyAlignment="1">
      <alignment horizontal="center" vertical="center"/>
    </xf>
    <xf numFmtId="0" fontId="1" fillId="0" borderId="24" xfId="0" applyFont="1" applyBorder="1"/>
    <xf numFmtId="166" fontId="0" fillId="0" borderId="25" xfId="0" applyNumberFormat="1" applyBorder="1"/>
    <xf numFmtId="167" fontId="0" fillId="0" borderId="7" xfId="0" applyNumberFormat="1" applyBorder="1" applyAlignment="1">
      <alignment horizontal="center" vertical="center"/>
    </xf>
    <xf numFmtId="0" fontId="1" fillId="0" borderId="0" xfId="0" applyFont="1" applyBorder="1"/>
    <xf numFmtId="0" fontId="1" fillId="0" borderId="5" xfId="0" applyFont="1" applyBorder="1"/>
    <xf numFmtId="169" fontId="0" fillId="0" borderId="0" xfId="0" quotePrefix="1" applyNumberFormat="1" applyBorder="1"/>
    <xf numFmtId="172" fontId="0" fillId="0" borderId="0" xfId="0" quotePrefix="1" applyNumberFormat="1" applyBorder="1"/>
    <xf numFmtId="169" fontId="0" fillId="0" borderId="7" xfId="0" quotePrefix="1" applyNumberFormat="1" applyBorder="1"/>
    <xf numFmtId="172" fontId="0" fillId="0" borderId="7" xfId="0" quotePrefix="1" applyNumberFormat="1" applyBorder="1"/>
    <xf numFmtId="175" fontId="0" fillId="0" borderId="5" xfId="0" applyNumberFormat="1" applyBorder="1"/>
    <xf numFmtId="175" fontId="0" fillId="0" borderId="8" xfId="0" applyNumberFormat="1" applyBorder="1"/>
  </cellXfs>
  <cellStyles count="1">
    <cellStyle name="Normal" xfId="0" builtinId="0"/>
  </cellStyles>
  <dxfs count="27">
    <dxf>
      <numFmt numFmtId="166" formatCode="#,##0\ [$đồng]\ 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166" formatCode="#,##0\ [$đồng]\ 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166" formatCode="#,##0\ [$đồng]\ 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medium">
          <color indexed="64"/>
        </left>
        <top style="thin">
          <color indexed="64"/>
        </top>
        <bottom style="medium">
          <color indexed="64"/>
        </bottom>
      </border>
    </dxf>
    <dxf>
      <numFmt numFmtId="166" formatCode="#,##0\ [$đồng]\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66" formatCode="#,##0\ [$đồng]\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6" formatCode="#,##0\ [$đồng]\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6" formatCode="#,##0\ [$đồng]\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" formatCode="#,##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medium">
          <color indexed="64"/>
        </left>
        <right style="medium">
          <color indexed="64"/>
        </right>
        <top style="thin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'Danh sách hóa đơn'!$H$14</c:f>
              <c:strCache>
                <c:ptCount val="1"/>
                <c:pt idx="0">
                  <c:v>Bitdefender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'Danh sách hóa đơn'!$H$15</c:f>
              <c:numCache>
                <c:formatCode>#,##0\ [$đồng]\ </c:formatCode>
                <c:ptCount val="1"/>
                <c:pt idx="0">
                  <c:v>4563000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6E-4317-89C3-3FAAD398C893}"/>
            </c:ext>
          </c:extLst>
        </c:ser>
        <c:ser>
          <c:idx val="1"/>
          <c:order val="1"/>
          <c:tx>
            <c:strRef>
              <c:f>'Danh sách hóa đơn'!$I$14</c:f>
              <c:strCache>
                <c:ptCount val="1"/>
                <c:pt idx="0">
                  <c:v>Kaspersky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'Danh sách hóa đơn'!$I$15</c:f>
              <c:numCache>
                <c:formatCode>#,##0\ [$đồng]\ </c:formatCode>
                <c:ptCount val="1"/>
                <c:pt idx="0">
                  <c:v>3900000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6E-4317-89C3-3FAAD398C893}"/>
            </c:ext>
          </c:extLst>
        </c:ser>
        <c:ser>
          <c:idx val="2"/>
          <c:order val="2"/>
          <c:tx>
            <c:strRef>
              <c:f>'Danh sách hóa đơn'!$J$14</c:f>
              <c:strCache>
                <c:ptCount val="1"/>
                <c:pt idx="0">
                  <c:v>Norton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'Danh sách hóa đơn'!$J$15</c:f>
              <c:numCache>
                <c:formatCode>#,##0\ [$đồng]\ </c:formatCode>
                <c:ptCount val="1"/>
                <c:pt idx="0">
                  <c:v>2610000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6E-4317-89C3-3FAAD398C89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10652671"/>
        <c:axId val="1110663071"/>
      </c:barChart>
      <c:catAx>
        <c:axId val="111065267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0663071"/>
        <c:crosses val="autoZero"/>
        <c:auto val="1"/>
        <c:lblAlgn val="ctr"/>
        <c:lblOffset val="100"/>
        <c:noMultiLvlLbl val="0"/>
      </c:catAx>
      <c:valAx>
        <c:axId val="1110663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[$đồng]\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0652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615629569936002"/>
          <c:y val="7.407407407407407E-2"/>
          <c:w val="0.80104204192213457"/>
          <c:h val="0.8416746864975212"/>
        </c:manualLayout>
      </c:layout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Sheet9!$G$17:$G$19</c:f>
              <c:strCache>
                <c:ptCount val="3"/>
                <c:pt idx="0">
                  <c:v>Cài đặt</c:v>
                </c:pt>
                <c:pt idx="1">
                  <c:v>Nâng cấp</c:v>
                </c:pt>
                <c:pt idx="2">
                  <c:v>Sửa chữa</c:v>
                </c:pt>
              </c:strCache>
            </c:strRef>
          </c:cat>
          <c:val>
            <c:numRef>
              <c:f>Sheet9!$I$17:$I$19</c:f>
              <c:numCache>
                <c:formatCode>#,###\ [$vnd]</c:formatCode>
                <c:ptCount val="3"/>
                <c:pt idx="0">
                  <c:v>158000</c:v>
                </c:pt>
                <c:pt idx="1">
                  <c:v>565000</c:v>
                </c:pt>
                <c:pt idx="2">
                  <c:v>476000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CC-4E0C-A0A6-CAAAB01432B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89432991"/>
        <c:axId val="1289434239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Sheet9!$G$17:$G$19</c15:sqref>
                        </c15:formulaRef>
                      </c:ext>
                    </c:extLst>
                    <c:strCache>
                      <c:ptCount val="3"/>
                      <c:pt idx="0">
                        <c:v>Cài đặt</c:v>
                      </c:pt>
                      <c:pt idx="1">
                        <c:v>Nâng cấp</c:v>
                      </c:pt>
                      <c:pt idx="2">
                        <c:v>Sửa chữa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Sheet9!$H$17:$H$19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3</c:v>
                      </c:pt>
                      <c:pt idx="1">
                        <c:v>2</c:v>
                      </c:pt>
                      <c:pt idx="2">
                        <c:v>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17CC-4E0C-A0A6-CAAAB01432B3}"/>
                  </c:ext>
                </c:extLst>
              </c15:ser>
            </c15:filteredBarSeries>
          </c:ext>
        </c:extLst>
      </c:barChart>
      <c:catAx>
        <c:axId val="1289432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9434239"/>
        <c:crosses val="autoZero"/>
        <c:auto val="1"/>
        <c:lblAlgn val="ctr"/>
        <c:lblOffset val="100"/>
        <c:noMultiLvlLbl val="0"/>
      </c:catAx>
      <c:valAx>
        <c:axId val="1289434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#\ [$vnd]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94329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g"/><Relationship Id="rId1" Type="http://schemas.openxmlformats.org/officeDocument/2006/relationships/image" Target="../media/image3.jp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5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1418</xdr:colOff>
      <xdr:row>18</xdr:row>
      <xdr:rowOff>27214</xdr:rowOff>
    </xdr:from>
    <xdr:to>
      <xdr:col>17</xdr:col>
      <xdr:colOff>368861</xdr:colOff>
      <xdr:row>33</xdr:row>
      <xdr:rowOff>85844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6200000">
          <a:off x="9925753" y="2403736"/>
          <a:ext cx="2916130" cy="5184372"/>
        </a:xfrm>
        <a:prstGeom prst="rect">
          <a:avLst/>
        </a:prstGeom>
      </xdr:spPr>
    </xdr:pic>
    <xdr:clientData/>
  </xdr:twoCellAnchor>
  <xdr:twoCellAnchor editAs="oneCell">
    <xdr:from>
      <xdr:col>11</xdr:col>
      <xdr:colOff>45273</xdr:colOff>
      <xdr:row>2</xdr:row>
      <xdr:rowOff>19010</xdr:rowOff>
    </xdr:from>
    <xdr:to>
      <xdr:col>17</xdr:col>
      <xdr:colOff>361310</xdr:colOff>
      <xdr:row>16</xdr:row>
      <xdr:rowOff>127185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6200000">
          <a:off x="9985127" y="-736023"/>
          <a:ext cx="2833686" cy="5132966"/>
        </a:xfrm>
        <a:prstGeom prst="rect">
          <a:avLst/>
        </a:prstGeom>
      </xdr:spPr>
    </xdr:pic>
    <xdr:clientData/>
  </xdr:twoCellAnchor>
  <xdr:twoCellAnchor>
    <xdr:from>
      <xdr:col>10</xdr:col>
      <xdr:colOff>590550</xdr:colOff>
      <xdr:row>35</xdr:row>
      <xdr:rowOff>47625</xdr:rowOff>
    </xdr:from>
    <xdr:to>
      <xdr:col>16</xdr:col>
      <xdr:colOff>361950</xdr:colOff>
      <xdr:row>49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498488</xdr:colOff>
      <xdr:row>28</xdr:row>
      <xdr:rowOff>54429</xdr:rowOff>
    </xdr:from>
    <xdr:to>
      <xdr:col>22</xdr:col>
      <xdr:colOff>267864</xdr:colOff>
      <xdr:row>54</xdr:row>
      <xdr:rowOff>130629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6200000">
          <a:off x="11149148" y="4398841"/>
          <a:ext cx="5029200" cy="7117233"/>
        </a:xfrm>
        <a:prstGeom prst="rect">
          <a:avLst/>
        </a:prstGeom>
      </xdr:spPr>
    </xdr:pic>
    <xdr:clientData/>
  </xdr:twoCellAnchor>
  <xdr:twoCellAnchor editAs="oneCell">
    <xdr:from>
      <xdr:col>10</xdr:col>
      <xdr:colOff>522705</xdr:colOff>
      <xdr:row>0</xdr:row>
      <xdr:rowOff>138546</xdr:rowOff>
    </xdr:from>
    <xdr:to>
      <xdr:col>22</xdr:col>
      <xdr:colOff>434135</xdr:colOff>
      <xdr:row>26</xdr:row>
      <xdr:rowOff>176646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6200000">
          <a:off x="7662002" y="-939387"/>
          <a:ext cx="5029200" cy="718506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20733</xdr:colOff>
      <xdr:row>0</xdr:row>
      <xdr:rowOff>168088</xdr:rowOff>
    </xdr:from>
    <xdr:to>
      <xdr:col>21</xdr:col>
      <xdr:colOff>336178</xdr:colOff>
      <xdr:row>41</xdr:row>
      <xdr:rowOff>487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6398841" y="1105180"/>
          <a:ext cx="7676029" cy="5801845"/>
        </a:xfrm>
        <a:prstGeom prst="rect">
          <a:avLst/>
        </a:prstGeom>
      </xdr:spPr>
    </xdr:pic>
    <xdr:clientData/>
  </xdr:twoCellAnchor>
  <xdr:twoCellAnchor>
    <xdr:from>
      <xdr:col>1</xdr:col>
      <xdr:colOff>56030</xdr:colOff>
      <xdr:row>34</xdr:row>
      <xdr:rowOff>19878</xdr:rowOff>
    </xdr:from>
    <xdr:to>
      <xdr:col>6</xdr:col>
      <xdr:colOff>610965</xdr:colOff>
      <xdr:row>48</xdr:row>
      <xdr:rowOff>96078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e2" displayName="Table2" ref="B4:J11" totalsRowShown="0" headerRowDxfId="19" dataDxfId="20" headerRowBorderDxfId="25" tableBorderDxfId="26" totalsRowBorderDxfId="24">
  <sortState ref="B5:J11">
    <sortCondition ref="E5:E11"/>
    <sortCondition descending="1" ref="F5:F11"/>
  </sortState>
  <tableColumns count="9">
    <tableColumn id="1" name="STT" dataDxfId="23"/>
    <tableColumn id="2" name="Mã hóa đơn" dataDxfId="22"/>
    <tableColumn id="3" name="Mã SP" dataDxfId="21">
      <calculatedColumnFormula>LEFT(C5, 3)</calculatedColumnFormula>
    </tableColumn>
    <tableColumn id="4" name="Tên SP" dataDxfId="12">
      <calculatedColumnFormula>VLOOKUP(Table2[[#This Row],[Mã SP]],Table4[#All], 2)</calculatedColumnFormula>
    </tableColumn>
    <tableColumn id="5" name="Số lượng" dataDxfId="11">
      <calculatedColumnFormula>MID(Table2[[#This Row],[Mã hóa đơn]], FIND("-", Table2[[#This Row],[Mã hóa đơn]]) + 1, LEN(Table2[[#This Row],[Mã hóa đơn]])) + 0</calculatedColumnFormula>
    </tableColumn>
    <tableColumn id="6" name="Đơn giá" dataDxfId="10">
      <calculatedColumnFormula>VLOOKUP(Table2[[#This Row],[Tên SP]], Table4[#All], 3)</calculatedColumnFormula>
    </tableColumn>
    <tableColumn id="7" name="Thành tiền" dataDxfId="9">
      <calculatedColumnFormula>Table2[[#This Row],[Số lượng]]*Table2[[#This Row],[Đơn giá]]</calculatedColumnFormula>
    </tableColumn>
    <tableColumn id="8" name="Giảm giá" dataDxfId="8">
      <calculatedColumnFormula>IF(Table2[[#This Row],[Số lượng]] &gt;= 5, 0.1 * Table2[[#This Row],[Thành tiền]], 0)</calculatedColumnFormula>
    </tableColumn>
    <tableColumn id="9" name="Tổng cộng" dataDxfId="7">
      <calculatedColumnFormula>Table2[[#This Row],[Thành tiền]]-Table2[[#This Row],[Giảm giá]]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B14:D17" totalsRowShown="0" headerRowBorderDxfId="17" tableBorderDxfId="18" totalsRowBorderDxfId="16">
  <tableColumns count="3">
    <tableColumn id="1" name="Mã SP" dataDxfId="15"/>
    <tableColumn id="2" name="Tên SP" dataDxfId="14"/>
    <tableColumn id="3" name="Giá bán" dataDxfId="1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8" name="Table8" displayName="Table8" ref="G14:J15" totalsRowShown="0" headerRowBorderDxfId="5" tableBorderDxfId="6" totalsRowBorderDxfId="4">
  <autoFilter ref="G14:J15"/>
  <tableColumns count="4">
    <tableColumn id="1" name="Tên SP" dataDxfId="3"/>
    <tableColumn id="2" name="Bitdefender" dataDxfId="2">
      <calculatedColumnFormula>SUMIF($E$5:$E$11, H14, $J$5:$J$11)</calculatedColumnFormula>
    </tableColumn>
    <tableColumn id="3" name="Kaspersky" dataDxfId="1">
      <calculatedColumnFormula>SUMIF($E$5:$E$11, I14, $J$5:$J$11)</calculatedColumnFormula>
    </tableColumn>
    <tableColumn id="4" name="Norton" dataDxfId="0">
      <calculatedColumnFormula>SUMIF($E$5:$E$11, J14, $J$5:$J$11)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42"/>
  <sheetViews>
    <sheetView topLeftCell="B25" zoomScale="85" zoomScaleNormal="85" workbookViewId="0">
      <selection activeCell="R33" sqref="R33"/>
    </sheetView>
  </sheetViews>
  <sheetFormatPr defaultRowHeight="15" x14ac:dyDescent="0.25"/>
  <cols>
    <col min="3" max="3" width="14" customWidth="1"/>
    <col min="4" max="6" width="12.42578125" customWidth="1"/>
    <col min="7" max="7" width="13.85546875" bestFit="1" customWidth="1"/>
    <col min="8" max="9" width="15.42578125" bestFit="1" customWidth="1"/>
    <col min="10" max="10" width="15.42578125" style="2" bestFit="1" customWidth="1"/>
    <col min="11" max="18" width="12" style="1" customWidth="1"/>
  </cols>
  <sheetData>
    <row r="1" spans="2:18" x14ac:dyDescent="0.25">
      <c r="K1" s="2"/>
      <c r="L1" s="2"/>
      <c r="M1" s="2"/>
      <c r="N1" s="2"/>
      <c r="O1" s="2"/>
      <c r="P1" s="2"/>
      <c r="Q1" s="2"/>
      <c r="R1" s="2"/>
    </row>
    <row r="2" spans="2:18" ht="15.75" thickBot="1" x14ac:dyDescent="0.3">
      <c r="K2" s="2"/>
      <c r="L2" s="2"/>
      <c r="M2" s="2"/>
      <c r="N2" s="2"/>
      <c r="O2" s="2"/>
      <c r="P2" s="2"/>
      <c r="Q2" s="2"/>
      <c r="R2" s="2"/>
    </row>
    <row r="3" spans="2:18" ht="17.25" customHeight="1" x14ac:dyDescent="0.25">
      <c r="B3" s="34" t="s">
        <v>23</v>
      </c>
      <c r="C3" s="35"/>
      <c r="D3" s="35"/>
      <c r="E3" s="35"/>
      <c r="F3" s="35"/>
      <c r="G3" s="35"/>
      <c r="H3" s="35"/>
      <c r="I3" s="35"/>
      <c r="J3" s="36"/>
    </row>
    <row r="4" spans="2:18" x14ac:dyDescent="0.25">
      <c r="B4" s="30" t="s">
        <v>0</v>
      </c>
      <c r="C4" s="31" t="s">
        <v>1</v>
      </c>
      <c r="D4" s="31" t="s">
        <v>2</v>
      </c>
      <c r="E4" s="31" t="s">
        <v>3</v>
      </c>
      <c r="F4" s="31" t="s">
        <v>4</v>
      </c>
      <c r="G4" s="31" t="s">
        <v>5</v>
      </c>
      <c r="H4" s="31" t="s">
        <v>6</v>
      </c>
      <c r="I4" s="31" t="s">
        <v>7</v>
      </c>
      <c r="J4" s="32" t="s">
        <v>8</v>
      </c>
    </row>
    <row r="5" spans="2:18" x14ac:dyDescent="0.25">
      <c r="B5" s="28">
        <v>5</v>
      </c>
      <c r="C5" s="22" t="s">
        <v>13</v>
      </c>
      <c r="D5" s="22" t="str">
        <f>LEFT(C5, 3)</f>
        <v>BDE</v>
      </c>
      <c r="E5" s="22" t="str">
        <f>VLOOKUP(Table2[[#This Row],[Mã SP]],Table4[#All], 2)</f>
        <v>Bitdefender</v>
      </c>
      <c r="F5" s="22">
        <f>MID(Table2[[#This Row],[Mã hóa đơn]], FIND("-", Table2[[#This Row],[Mã hóa đơn]]) + 1, LEN(Table2[[#This Row],[Mã hóa đơn]])) + 0</f>
        <v>7</v>
      </c>
      <c r="G5" s="46">
        <f>VLOOKUP(Table2[[#This Row],[Tên SP]], Table4[#All], 3)</f>
        <v>390000</v>
      </c>
      <c r="H5" s="46">
        <f>Table2[[#This Row],[Số lượng]]*Table2[[#This Row],[Đơn giá]]</f>
        <v>2730000</v>
      </c>
      <c r="I5" s="46">
        <f>IF(Table2[[#This Row],[Số lượng]] &gt;= 5, 0.1 * Table2[[#This Row],[Thành tiền]], 0)</f>
        <v>273000</v>
      </c>
      <c r="J5" s="47">
        <f>Table2[[#This Row],[Thành tiền]]-Table2[[#This Row],[Giảm giá]]</f>
        <v>2457000</v>
      </c>
    </row>
    <row r="6" spans="2:18" x14ac:dyDescent="0.25">
      <c r="B6" s="28">
        <v>4</v>
      </c>
      <c r="C6" s="22" t="s">
        <v>12</v>
      </c>
      <c r="D6" s="22" t="str">
        <f>LEFT(C6, 3)</f>
        <v>BDE</v>
      </c>
      <c r="E6" s="22" t="str">
        <f>VLOOKUP(Table2[[#This Row],[Mã SP]],Table4[#All], 2)</f>
        <v>Bitdefender</v>
      </c>
      <c r="F6" s="22">
        <f>MID(Table2[[#This Row],[Mã hóa đơn]], FIND("-", Table2[[#This Row],[Mã hóa đơn]]) + 1, LEN(Table2[[#This Row],[Mã hóa đơn]])) + 0</f>
        <v>6</v>
      </c>
      <c r="G6" s="46">
        <f>VLOOKUP(Table2[[#This Row],[Tên SP]], Table4[#All], 3)</f>
        <v>390000</v>
      </c>
      <c r="H6" s="46">
        <f>Table2[[#This Row],[Số lượng]]*Table2[[#This Row],[Đơn giá]]</f>
        <v>2340000</v>
      </c>
      <c r="I6" s="46">
        <f>IF(Table2[[#This Row],[Số lượng]] &gt;= 5, 0.1 * Table2[[#This Row],[Thành tiền]], 0)</f>
        <v>234000</v>
      </c>
      <c r="J6" s="47">
        <f>Table2[[#This Row],[Thành tiền]]-Table2[[#This Row],[Giảm giá]]</f>
        <v>2106000</v>
      </c>
    </row>
    <row r="7" spans="2:18" x14ac:dyDescent="0.25">
      <c r="B7" s="28">
        <v>7</v>
      </c>
      <c r="C7" s="22" t="s">
        <v>15</v>
      </c>
      <c r="D7" s="22" t="str">
        <f>LEFT(C7, 3)</f>
        <v>KIS</v>
      </c>
      <c r="E7" s="22" t="str">
        <f>VLOOKUP(Table2[[#This Row],[Mã SP]],Table4[#All], 2)</f>
        <v>Kaspersky</v>
      </c>
      <c r="F7" s="22">
        <f>MID(Table2[[#This Row],[Mã hóa đơn]], FIND("-", Table2[[#This Row],[Mã hóa đơn]]) + 1, LEN(Table2[[#This Row],[Mã hóa đơn]])) + 0</f>
        <v>4</v>
      </c>
      <c r="G7" s="46">
        <f>VLOOKUP(Table2[[#This Row],[Tên SP]], Table4[#All], 3)</f>
        <v>390000</v>
      </c>
      <c r="H7" s="46">
        <f>Table2[[#This Row],[Số lượng]]*Table2[[#This Row],[Đơn giá]]</f>
        <v>1560000</v>
      </c>
      <c r="I7" s="46">
        <f>IF(Table2[[#This Row],[Số lượng]] &gt;= 5, 0.1 * Table2[[#This Row],[Thành tiền]], 0)</f>
        <v>0</v>
      </c>
      <c r="J7" s="47">
        <f>Table2[[#This Row],[Thành tiền]]-Table2[[#This Row],[Giảm giá]]</f>
        <v>1560000</v>
      </c>
    </row>
    <row r="8" spans="2:18" x14ac:dyDescent="0.25">
      <c r="B8" s="28">
        <v>2</v>
      </c>
      <c r="C8" s="22" t="s">
        <v>10</v>
      </c>
      <c r="D8" s="22" t="str">
        <f>LEFT(C8, 3)</f>
        <v>KIS</v>
      </c>
      <c r="E8" s="22" t="str">
        <f>VLOOKUP(Table2[[#This Row],[Mã SP]],Table4[#All], 2)</f>
        <v>Kaspersky</v>
      </c>
      <c r="F8" s="22">
        <f>MID(Table2[[#This Row],[Mã hóa đơn]], FIND("-", Table2[[#This Row],[Mã hóa đơn]]) + 1, LEN(Table2[[#This Row],[Mã hóa đơn]])) + 0</f>
        <v>3</v>
      </c>
      <c r="G8" s="46">
        <f>VLOOKUP(Table2[[#This Row],[Tên SP]], Table4[#All], 3)</f>
        <v>390000</v>
      </c>
      <c r="H8" s="46">
        <f>Table2[[#This Row],[Số lượng]]*Table2[[#This Row],[Đơn giá]]</f>
        <v>1170000</v>
      </c>
      <c r="I8" s="46">
        <f>IF(Table2[[#This Row],[Số lượng]] &gt;= 5, 0.1 * Table2[[#This Row],[Thành tiền]], 0)</f>
        <v>0</v>
      </c>
      <c r="J8" s="47">
        <f>Table2[[#This Row],[Thành tiền]]-Table2[[#This Row],[Giảm giá]]</f>
        <v>1170000</v>
      </c>
    </row>
    <row r="9" spans="2:18" x14ac:dyDescent="0.25">
      <c r="B9" s="28">
        <v>6</v>
      </c>
      <c r="C9" s="22" t="s">
        <v>14</v>
      </c>
      <c r="D9" s="22" t="str">
        <f>LEFT(C9, 3)</f>
        <v>KIS</v>
      </c>
      <c r="E9" s="22" t="str">
        <f>VLOOKUP(Table2[[#This Row],[Mã SP]],Table4[#All], 2)</f>
        <v>Kaspersky</v>
      </c>
      <c r="F9" s="22">
        <f>MID(Table2[[#This Row],[Mã hóa đơn]], FIND("-", Table2[[#This Row],[Mã hóa đơn]]) + 1, LEN(Table2[[#This Row],[Mã hóa đơn]])) + 0</f>
        <v>2</v>
      </c>
      <c r="G9" s="46">
        <f>VLOOKUP(Table2[[#This Row],[Tên SP]], Table4[#All], 3)</f>
        <v>390000</v>
      </c>
      <c r="H9" s="46">
        <f>Table2[[#This Row],[Số lượng]]*Table2[[#This Row],[Đơn giá]]</f>
        <v>780000</v>
      </c>
      <c r="I9" s="46">
        <f>IF(Table2[[#This Row],[Số lượng]] &gt;= 5, 0.1 * Table2[[#This Row],[Thành tiền]], 0)</f>
        <v>0</v>
      </c>
      <c r="J9" s="47">
        <f>Table2[[#This Row],[Thành tiền]]-Table2[[#This Row],[Giảm giá]]</f>
        <v>780000</v>
      </c>
    </row>
    <row r="10" spans="2:18" x14ac:dyDescent="0.25">
      <c r="B10" s="28">
        <v>3</v>
      </c>
      <c r="C10" s="22" t="s">
        <v>11</v>
      </c>
      <c r="D10" s="22" t="str">
        <f>LEFT(C10, 3)</f>
        <v>KIS</v>
      </c>
      <c r="E10" s="22" t="str">
        <f>VLOOKUP(Table2[[#This Row],[Mã SP]],Table4[#All], 2)</f>
        <v>Kaspersky</v>
      </c>
      <c r="F10" s="22">
        <f>MID(Table2[[#This Row],[Mã hóa đơn]], FIND("-", Table2[[#This Row],[Mã hóa đơn]]) + 1, LEN(Table2[[#This Row],[Mã hóa đơn]])) + 0</f>
        <v>1</v>
      </c>
      <c r="G10" s="46">
        <f>VLOOKUP(Table2[[#This Row],[Tên SP]], Table4[#All], 3)</f>
        <v>390000</v>
      </c>
      <c r="H10" s="46">
        <f>Table2[[#This Row],[Số lượng]]*Table2[[#This Row],[Đơn giá]]</f>
        <v>390000</v>
      </c>
      <c r="I10" s="46">
        <f>IF(Table2[[#This Row],[Số lượng]] &gt;= 5, 0.1 * Table2[[#This Row],[Thành tiền]], 0)</f>
        <v>0</v>
      </c>
      <c r="J10" s="47">
        <f>Table2[[#This Row],[Thành tiền]]-Table2[[#This Row],[Giảm giá]]</f>
        <v>390000</v>
      </c>
    </row>
    <row r="11" spans="2:18" ht="15.75" thickBot="1" x14ac:dyDescent="0.3">
      <c r="B11" s="29">
        <v>1</v>
      </c>
      <c r="C11" s="23" t="s">
        <v>9</v>
      </c>
      <c r="D11" s="22" t="str">
        <f>LEFT(C11, 3)</f>
        <v>NOT</v>
      </c>
      <c r="E11" s="23" t="str">
        <f>VLOOKUP(Table2[[#This Row],[Mã SP]],Table4[#All], 2)</f>
        <v>Norton</v>
      </c>
      <c r="F11" s="22">
        <f>MID(Table2[[#This Row],[Mã hóa đơn]], FIND("-", Table2[[#This Row],[Mã hóa đơn]]) + 1, LEN(Table2[[#This Row],[Mã hóa đơn]])) + 0</f>
        <v>5</v>
      </c>
      <c r="G11" s="48">
        <f>VLOOKUP(Table2[[#This Row],[Tên SP]], Table4[#All], 3)</f>
        <v>580000</v>
      </c>
      <c r="H11" s="48">
        <f>Table2[[#This Row],[Số lượng]]*Table2[[#This Row],[Đơn giá]]</f>
        <v>2900000</v>
      </c>
      <c r="I11" s="48">
        <f>IF(Table2[[#This Row],[Số lượng]] &gt;= 5, 0.1 * Table2[[#This Row],[Thành tiền]], 0)</f>
        <v>290000</v>
      </c>
      <c r="J11" s="49">
        <f>Table2[[#This Row],[Thành tiền]]-Table2[[#This Row],[Giảm giá]]</f>
        <v>2610000</v>
      </c>
    </row>
    <row r="12" spans="2:18" ht="15.75" thickBot="1" x14ac:dyDescent="0.3"/>
    <row r="13" spans="2:18" x14ac:dyDescent="0.25">
      <c r="B13" s="25" t="s">
        <v>24</v>
      </c>
      <c r="C13" s="26"/>
      <c r="D13" s="27"/>
      <c r="G13" s="25" t="s">
        <v>25</v>
      </c>
      <c r="H13" s="26"/>
      <c r="I13" s="26"/>
      <c r="J13" s="27"/>
    </row>
    <row r="14" spans="2:18" x14ac:dyDescent="0.25">
      <c r="B14" s="30" t="s">
        <v>2</v>
      </c>
      <c r="C14" s="31" t="s">
        <v>3</v>
      </c>
      <c r="D14" s="39" t="s">
        <v>16</v>
      </c>
      <c r="G14" s="69" t="s">
        <v>3</v>
      </c>
      <c r="H14" s="70" t="s">
        <v>20</v>
      </c>
      <c r="I14" s="70" t="s">
        <v>21</v>
      </c>
      <c r="J14" s="71" t="s">
        <v>22</v>
      </c>
    </row>
    <row r="15" spans="2:18" x14ac:dyDescent="0.25">
      <c r="B15" s="37" t="s">
        <v>17</v>
      </c>
      <c r="C15" s="24" t="s">
        <v>20</v>
      </c>
      <c r="D15" s="38">
        <v>390000</v>
      </c>
      <c r="G15" s="72" t="s">
        <v>8</v>
      </c>
      <c r="H15" s="73">
        <f>SUMIF($E$5:$E$11, H14, $J$5:$J$11)</f>
        <v>4563000</v>
      </c>
      <c r="I15" s="73">
        <f t="shared" ref="I15:J15" si="0">SUMIF($E$5:$E$11, I14, $J$5:$J$11)</f>
        <v>3900000</v>
      </c>
      <c r="J15" s="73">
        <f t="shared" si="0"/>
        <v>2610000</v>
      </c>
    </row>
    <row r="16" spans="2:18" x14ac:dyDescent="0.25">
      <c r="B16" s="37" t="s">
        <v>18</v>
      </c>
      <c r="C16" s="24" t="s">
        <v>21</v>
      </c>
      <c r="D16" s="38">
        <v>580000</v>
      </c>
    </row>
    <row r="17" spans="2:9" x14ac:dyDescent="0.25">
      <c r="B17" s="40" t="s">
        <v>19</v>
      </c>
      <c r="C17" s="41" t="s">
        <v>22</v>
      </c>
      <c r="D17" s="42">
        <v>440000</v>
      </c>
    </row>
    <row r="19" spans="2:9" x14ac:dyDescent="0.25">
      <c r="B19">
        <v>2</v>
      </c>
      <c r="C19" t="s">
        <v>28</v>
      </c>
      <c r="I19" s="44" t="s">
        <v>26</v>
      </c>
    </row>
    <row r="20" spans="2:9" x14ac:dyDescent="0.25">
      <c r="C20" t="s">
        <v>27</v>
      </c>
      <c r="I20" s="45" t="s">
        <v>34</v>
      </c>
    </row>
    <row r="21" spans="2:9" x14ac:dyDescent="0.25">
      <c r="C21" t="s">
        <v>29</v>
      </c>
      <c r="I21" s="45" t="s">
        <v>36</v>
      </c>
    </row>
    <row r="22" spans="2:9" x14ac:dyDescent="0.25">
      <c r="C22" t="s">
        <v>30</v>
      </c>
      <c r="I22" s="45" t="s">
        <v>34</v>
      </c>
    </row>
    <row r="23" spans="2:9" x14ac:dyDescent="0.25">
      <c r="C23" t="s">
        <v>33</v>
      </c>
      <c r="I23" s="45"/>
    </row>
    <row r="24" spans="2:9" x14ac:dyDescent="0.25">
      <c r="C24" t="s">
        <v>32</v>
      </c>
      <c r="I24" s="45" t="s">
        <v>35</v>
      </c>
    </row>
    <row r="25" spans="2:9" x14ac:dyDescent="0.25">
      <c r="C25" t="s">
        <v>31</v>
      </c>
      <c r="I25" s="45"/>
    </row>
    <row r="27" spans="2:9" x14ac:dyDescent="0.25">
      <c r="B27">
        <v>3</v>
      </c>
      <c r="C27" t="s">
        <v>37</v>
      </c>
    </row>
    <row r="28" spans="2:9" x14ac:dyDescent="0.25">
      <c r="B28">
        <v>4</v>
      </c>
      <c r="C28" t="s">
        <v>38</v>
      </c>
    </row>
    <row r="29" spans="2:9" x14ac:dyDescent="0.25">
      <c r="B29">
        <v>5</v>
      </c>
      <c r="C29" t="s">
        <v>39</v>
      </c>
    </row>
    <row r="30" spans="2:9" x14ac:dyDescent="0.25">
      <c r="B30">
        <v>6</v>
      </c>
      <c r="C30" t="s">
        <v>41</v>
      </c>
    </row>
    <row r="31" spans="2:9" x14ac:dyDescent="0.25">
      <c r="B31">
        <v>7</v>
      </c>
      <c r="C31" t="s">
        <v>40</v>
      </c>
    </row>
    <row r="35" spans="2:10" x14ac:dyDescent="0.25">
      <c r="D35" t="s">
        <v>3</v>
      </c>
    </row>
    <row r="36" spans="2:10" x14ac:dyDescent="0.25">
      <c r="D36" s="50" t="s">
        <v>42</v>
      </c>
    </row>
    <row r="38" spans="2:10" x14ac:dyDescent="0.25">
      <c r="B38" s="30" t="s">
        <v>0</v>
      </c>
      <c r="C38" s="31" t="s">
        <v>1</v>
      </c>
      <c r="D38" s="31" t="s">
        <v>2</v>
      </c>
      <c r="E38" s="31" t="s">
        <v>3</v>
      </c>
      <c r="F38" s="31" t="s">
        <v>4</v>
      </c>
      <c r="G38" s="31" t="s">
        <v>5</v>
      </c>
      <c r="H38" s="31" t="s">
        <v>6</v>
      </c>
      <c r="I38" s="31" t="s">
        <v>7</v>
      </c>
      <c r="J38" s="32" t="s">
        <v>8</v>
      </c>
    </row>
    <row r="39" spans="2:10" x14ac:dyDescent="0.25">
      <c r="B39" s="28">
        <v>2</v>
      </c>
      <c r="C39" s="22" t="s">
        <v>10</v>
      </c>
      <c r="D39" s="22" t="s">
        <v>18</v>
      </c>
      <c r="E39" s="22" t="s">
        <v>21</v>
      </c>
      <c r="F39" s="22">
        <v>3</v>
      </c>
      <c r="G39" s="46">
        <v>390000</v>
      </c>
      <c r="H39" s="46">
        <v>1170000</v>
      </c>
      <c r="I39" s="46">
        <v>0</v>
      </c>
      <c r="J39" s="47">
        <v>1170000</v>
      </c>
    </row>
    <row r="40" spans="2:10" x14ac:dyDescent="0.25">
      <c r="B40" s="28">
        <v>3</v>
      </c>
      <c r="C40" s="22" t="s">
        <v>11</v>
      </c>
      <c r="D40" s="22" t="s">
        <v>18</v>
      </c>
      <c r="E40" s="22" t="s">
        <v>21</v>
      </c>
      <c r="F40" s="22">
        <v>1</v>
      </c>
      <c r="G40" s="46">
        <v>390000</v>
      </c>
      <c r="H40" s="46">
        <v>390000</v>
      </c>
      <c r="I40" s="46">
        <v>0</v>
      </c>
      <c r="J40" s="47">
        <v>390000</v>
      </c>
    </row>
    <row r="41" spans="2:10" x14ac:dyDescent="0.25">
      <c r="B41" s="28">
        <v>6</v>
      </c>
      <c r="C41" s="22" t="s">
        <v>14</v>
      </c>
      <c r="D41" s="22" t="s">
        <v>18</v>
      </c>
      <c r="E41" s="22" t="s">
        <v>21</v>
      </c>
      <c r="F41" s="22">
        <v>2</v>
      </c>
      <c r="G41" s="46">
        <v>390000</v>
      </c>
      <c r="H41" s="46">
        <v>780000</v>
      </c>
      <c r="I41" s="46">
        <v>0</v>
      </c>
      <c r="J41" s="47">
        <v>780000</v>
      </c>
    </row>
    <row r="42" spans="2:10" ht="15.75" thickBot="1" x14ac:dyDescent="0.3">
      <c r="B42" s="29">
        <v>7</v>
      </c>
      <c r="C42" s="23" t="s">
        <v>15</v>
      </c>
      <c r="D42" s="22" t="s">
        <v>18</v>
      </c>
      <c r="E42" s="23" t="s">
        <v>21</v>
      </c>
      <c r="F42" s="22">
        <v>4</v>
      </c>
      <c r="G42" s="48">
        <v>390000</v>
      </c>
      <c r="H42" s="48">
        <v>1560000</v>
      </c>
      <c r="I42" s="48">
        <v>0</v>
      </c>
      <c r="J42" s="49">
        <v>1560000</v>
      </c>
    </row>
  </sheetData>
  <mergeCells count="3">
    <mergeCell ref="B3:J3"/>
    <mergeCell ref="B13:D13"/>
    <mergeCell ref="G13:J13"/>
  </mergeCells>
  <pageMargins left="0.7" right="0.7" top="0.75" bottom="0.75" header="0.3" footer="0.3"/>
  <pageSetup orientation="portrait" r:id="rId1"/>
  <drawing r:id="rId2"/>
  <tableParts count="3"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3"/>
  <sheetViews>
    <sheetView zoomScaleNormal="100" workbookViewId="0">
      <selection activeCell="G18" sqref="G18:H18"/>
    </sheetView>
  </sheetViews>
  <sheetFormatPr defaultRowHeight="15" x14ac:dyDescent="0.25"/>
  <cols>
    <col min="2" max="2" width="18.7109375" style="2" bestFit="1" customWidth="1"/>
    <col min="3" max="3" width="13.42578125" style="2" bestFit="1" customWidth="1"/>
    <col min="4" max="4" width="17.42578125" style="2" bestFit="1" customWidth="1"/>
    <col min="5" max="5" width="7.85546875" style="2" customWidth="1"/>
    <col min="6" max="6" width="15" style="2" bestFit="1" customWidth="1"/>
    <col min="7" max="7" width="12.85546875" style="2" customWidth="1"/>
    <col min="8" max="8" width="13.42578125" style="2" bestFit="1" customWidth="1"/>
    <col min="9" max="9" width="18.5703125" style="2" bestFit="1" customWidth="1"/>
    <col min="10" max="10" width="17.28515625" style="2" bestFit="1" customWidth="1"/>
  </cols>
  <sheetData>
    <row r="2" spans="2:10" ht="15.75" thickBot="1" x14ac:dyDescent="0.3"/>
    <row r="3" spans="2:10" x14ac:dyDescent="0.25">
      <c r="B3" s="3" t="s">
        <v>58</v>
      </c>
      <c r="C3" s="51"/>
      <c r="D3" s="51"/>
      <c r="E3" s="51"/>
      <c r="F3" s="51"/>
      <c r="G3" s="51"/>
      <c r="H3" s="51"/>
      <c r="I3" s="51"/>
      <c r="J3" s="52"/>
    </row>
    <row r="4" spans="2:10" x14ac:dyDescent="0.25">
      <c r="B4" s="53" t="s">
        <v>43</v>
      </c>
      <c r="C4" s="54"/>
      <c r="D4" s="54"/>
      <c r="E4" s="54"/>
      <c r="F4" s="54"/>
      <c r="G4" s="54"/>
      <c r="H4" s="54"/>
      <c r="I4" s="54"/>
      <c r="J4" s="55"/>
    </row>
    <row r="5" spans="2:10" x14ac:dyDescent="0.25">
      <c r="B5" s="56" t="s">
        <v>44</v>
      </c>
      <c r="C5" s="57" t="s">
        <v>45</v>
      </c>
      <c r="D5" s="57" t="s">
        <v>46</v>
      </c>
      <c r="E5" s="57" t="s">
        <v>47</v>
      </c>
      <c r="F5" s="57" t="s">
        <v>48</v>
      </c>
      <c r="G5" s="57" t="str">
        <f>'Thí sinh dự thi'!D7</f>
        <v>Cơ bản</v>
      </c>
      <c r="H5" s="57"/>
      <c r="I5" s="57" t="s">
        <v>50</v>
      </c>
      <c r="J5" s="58" t="s">
        <v>51</v>
      </c>
    </row>
    <row r="6" spans="2:10" x14ac:dyDescent="0.25">
      <c r="B6" s="56"/>
      <c r="C6" s="57"/>
      <c r="D6" s="57"/>
      <c r="E6" s="57"/>
      <c r="F6" s="57"/>
      <c r="G6" s="7" t="s">
        <v>52</v>
      </c>
      <c r="H6" s="7" t="s">
        <v>53</v>
      </c>
      <c r="I6" s="57"/>
      <c r="J6" s="58"/>
    </row>
    <row r="7" spans="2:10" x14ac:dyDescent="0.25">
      <c r="B7" s="9" t="s">
        <v>57</v>
      </c>
      <c r="C7" s="10" t="str">
        <f>MID(B7, 3, 2)</f>
        <v>CB</v>
      </c>
      <c r="D7" s="10" t="str">
        <f>VLOOKUP(C7,$B$18:$C$19, 2)</f>
        <v>Cơ bản</v>
      </c>
      <c r="E7" s="10" t="str">
        <f>IF(RIGHT(B7, 1) = "A", "Sáng", "Chiều")</f>
        <v>Chiều</v>
      </c>
      <c r="F7" s="10" t="str">
        <f>IF(E7="Chiều", "Tự do", "Học viên")</f>
        <v>Tự do</v>
      </c>
      <c r="G7" s="63">
        <v>6</v>
      </c>
      <c r="H7" s="63">
        <v>8</v>
      </c>
      <c r="I7" s="64">
        <f>AVERAGE(G7:H7)</f>
        <v>7</v>
      </c>
      <c r="J7" s="11" t="str">
        <f>IF(AND(G7&gt;= 5, H7&gt;=5, I7&gt;=5), "X", "")</f>
        <v>X</v>
      </c>
    </row>
    <row r="8" spans="2:10" x14ac:dyDescent="0.25">
      <c r="B8" s="9" t="s">
        <v>54</v>
      </c>
      <c r="C8" s="10" t="str">
        <f>MID(B8, 3, 2)</f>
        <v>CB</v>
      </c>
      <c r="D8" s="10" t="str">
        <f>VLOOKUP(C8,$B$18:$C$19, 2)</f>
        <v>Cơ bản</v>
      </c>
      <c r="E8" s="10" t="str">
        <f>IF(RIGHT(B8, 1) = "A", "Sáng", "Chiều")</f>
        <v>Sáng</v>
      </c>
      <c r="F8" s="10" t="str">
        <f>IF(E8="Chiều", "Tự do", "Học viên")</f>
        <v>Học viên</v>
      </c>
      <c r="G8" s="63">
        <v>5</v>
      </c>
      <c r="H8" s="63">
        <v>8</v>
      </c>
      <c r="I8" s="64">
        <f>AVERAGE(G8:H8)</f>
        <v>6.5</v>
      </c>
      <c r="J8" s="11" t="str">
        <f>IF(AND(G8&gt;= 5, H8&gt;=5, I8&gt;=5), "X", "")</f>
        <v>X</v>
      </c>
    </row>
    <row r="9" spans="2:10" x14ac:dyDescent="0.25">
      <c r="B9" s="9" t="s">
        <v>56</v>
      </c>
      <c r="C9" s="10" t="str">
        <f>MID(B9, 3, 2)</f>
        <v>CB</v>
      </c>
      <c r="D9" s="10" t="str">
        <f>VLOOKUP(C9,$B$18:$C$19, 2)</f>
        <v>Cơ bản</v>
      </c>
      <c r="E9" s="10" t="str">
        <f>IF(RIGHT(B9, 1) = "A", "Sáng", "Chiều")</f>
        <v>Sáng</v>
      </c>
      <c r="F9" s="10" t="str">
        <f>IF(E9="Chiều", "Tự do", "Học viên")</f>
        <v>Học viên</v>
      </c>
      <c r="G9" s="63">
        <v>7</v>
      </c>
      <c r="H9" s="63">
        <v>6</v>
      </c>
      <c r="I9" s="64">
        <f>AVERAGE(G9:H9)</f>
        <v>6.5</v>
      </c>
      <c r="J9" s="11" t="str">
        <f>IF(AND(G9&gt;= 5, H9&gt;=5, I9&gt;=5), "X", "")</f>
        <v>X</v>
      </c>
    </row>
    <row r="10" spans="2:10" x14ac:dyDescent="0.25">
      <c r="B10" s="9" t="s">
        <v>55</v>
      </c>
      <c r="C10" s="10" t="str">
        <f>MID(B10, 3, 2)</f>
        <v>CB</v>
      </c>
      <c r="D10" s="10" t="str">
        <f>VLOOKUP(C10,$B$18:$C$19, 2)</f>
        <v>Cơ bản</v>
      </c>
      <c r="E10" s="10" t="str">
        <f>IF(RIGHT(B10, 1) = "A", "Sáng", "Chiều")</f>
        <v>Sáng</v>
      </c>
      <c r="F10" s="10" t="str">
        <f>IF(E10="Chiều", "Tự do", "Học viên")</f>
        <v>Học viên</v>
      </c>
      <c r="G10" s="63">
        <v>4</v>
      </c>
      <c r="H10" s="63">
        <v>6</v>
      </c>
      <c r="I10" s="64">
        <f>AVERAGE(G10:H10)</f>
        <v>5</v>
      </c>
      <c r="J10" s="11" t="str">
        <f>IF(AND(G10&gt;= 5, H10&gt;=5, I10&gt;=5), "X", "")</f>
        <v/>
      </c>
    </row>
    <row r="11" spans="2:10" x14ac:dyDescent="0.25">
      <c r="B11" s="9" t="s">
        <v>69</v>
      </c>
      <c r="C11" s="10" t="str">
        <f>MID(B11, 3, 2)</f>
        <v>NC</v>
      </c>
      <c r="D11" s="10" t="str">
        <f>VLOOKUP(C11,$B$18:$C$19, 2)</f>
        <v>Nâng cao</v>
      </c>
      <c r="E11" s="10" t="str">
        <f>IF(RIGHT(B11, 1) = "A", "Sáng", "Chiều")</f>
        <v>Sáng</v>
      </c>
      <c r="F11" s="10" t="str">
        <f>IF(E11="Chiều", "Tự do", "Học viên")</f>
        <v>Học viên</v>
      </c>
      <c r="G11" s="63">
        <v>9</v>
      </c>
      <c r="H11" s="63">
        <v>10</v>
      </c>
      <c r="I11" s="64">
        <f>AVERAGE(G11:H11)</f>
        <v>9.5</v>
      </c>
      <c r="J11" s="11" t="str">
        <f>IF(AND(G11&gt;= 5, H11&gt;=5, I11&gt;=5), "X", "")</f>
        <v>X</v>
      </c>
    </row>
    <row r="12" spans="2:10" x14ac:dyDescent="0.25">
      <c r="B12" s="9" t="s">
        <v>71</v>
      </c>
      <c r="C12" s="10" t="str">
        <f>MID(B12, 3, 2)</f>
        <v>NC</v>
      </c>
      <c r="D12" s="10" t="str">
        <f>VLOOKUP(C12,$B$18:$C$19, 2)</f>
        <v>Nâng cao</v>
      </c>
      <c r="E12" s="10" t="str">
        <f>IF(RIGHT(B12, 1) = "A", "Sáng", "Chiều")</f>
        <v>Chiều</v>
      </c>
      <c r="F12" s="10" t="str">
        <f>IF(E12="Chiều", "Tự do", "Học viên")</f>
        <v>Tự do</v>
      </c>
      <c r="G12" s="63">
        <v>10</v>
      </c>
      <c r="H12" s="63">
        <v>8</v>
      </c>
      <c r="I12" s="64">
        <f>AVERAGE(G12:H12)</f>
        <v>9</v>
      </c>
      <c r="J12" s="11" t="str">
        <f>IF(AND(G12&gt;= 5, H12&gt;=5, I12&gt;=5), "X", "")</f>
        <v>X</v>
      </c>
    </row>
    <row r="13" spans="2:10" ht="15.75" thickBot="1" x14ac:dyDescent="0.3">
      <c r="B13" s="12" t="s">
        <v>70</v>
      </c>
      <c r="C13" s="13" t="str">
        <f>MID(B13, 3, 2)</f>
        <v>NC</v>
      </c>
      <c r="D13" s="13" t="str">
        <f>VLOOKUP(C13,$B$18:$C$19, 2)</f>
        <v>Nâng cao</v>
      </c>
      <c r="E13" s="13" t="str">
        <f>IF(RIGHT(B13, 1) = "A", "Sáng", "Chiều")</f>
        <v>Chiều</v>
      </c>
      <c r="F13" s="13" t="str">
        <f>IF(E13="Chiều", "Tự do", "Học viên")</f>
        <v>Tự do</v>
      </c>
      <c r="G13" s="65">
        <v>2</v>
      </c>
      <c r="H13" s="65">
        <v>3</v>
      </c>
      <c r="I13" s="74">
        <f>AVERAGE(G13:H13)</f>
        <v>2.5</v>
      </c>
      <c r="J13" s="14" t="str">
        <f>IF(AND(G13&gt;= 5, H13&gt;=5, I13&gt;=5), "X", "")</f>
        <v/>
      </c>
    </row>
    <row r="15" spans="2:10" ht="15.75" thickBot="1" x14ac:dyDescent="0.3"/>
    <row r="16" spans="2:10" x14ac:dyDescent="0.25">
      <c r="B16" s="3" t="s">
        <v>63</v>
      </c>
      <c r="C16" s="5"/>
      <c r="F16" s="3" t="s">
        <v>64</v>
      </c>
      <c r="G16" s="4"/>
      <c r="H16" s="5"/>
    </row>
    <row r="17" spans="1:11" x14ac:dyDescent="0.25">
      <c r="B17" s="6" t="s">
        <v>59</v>
      </c>
      <c r="C17" s="8" t="s">
        <v>60</v>
      </c>
      <c r="F17" s="6" t="s">
        <v>61</v>
      </c>
      <c r="G17" s="57" t="s">
        <v>62</v>
      </c>
      <c r="H17" s="58"/>
    </row>
    <row r="18" spans="1:11" x14ac:dyDescent="0.25">
      <c r="B18" s="9" t="s">
        <v>65</v>
      </c>
      <c r="C18" s="11" t="s">
        <v>68</v>
      </c>
      <c r="F18" s="9" t="s">
        <v>68</v>
      </c>
      <c r="G18" s="59">
        <f>COUNTIFS(J7:J13, "X", C7:C13, "CB")</f>
        <v>3</v>
      </c>
      <c r="H18" s="60"/>
    </row>
    <row r="19" spans="1:11" ht="15.75" thickBot="1" x14ac:dyDescent="0.3">
      <c r="B19" s="12" t="s">
        <v>66</v>
      </c>
      <c r="C19" s="14" t="s">
        <v>67</v>
      </c>
      <c r="F19" s="12" t="s">
        <v>67</v>
      </c>
      <c r="G19" s="61">
        <f>COUNTIFS(J7:J13, "X", C7:C13, "NC")</f>
        <v>2</v>
      </c>
      <c r="H19" s="62"/>
    </row>
    <row r="22" spans="1:11" x14ac:dyDescent="0.25">
      <c r="D22" s="66" t="s">
        <v>46</v>
      </c>
    </row>
    <row r="23" spans="1:11" x14ac:dyDescent="0.25">
      <c r="D23" s="67" t="s">
        <v>72</v>
      </c>
    </row>
    <row r="24" spans="1:11" x14ac:dyDescent="0.25">
      <c r="A24" s="68"/>
      <c r="B24" s="10"/>
      <c r="C24" s="10"/>
      <c r="D24" s="10"/>
      <c r="E24" s="10"/>
      <c r="F24" s="10"/>
      <c r="G24" s="10"/>
      <c r="H24" s="10"/>
      <c r="I24" s="10"/>
      <c r="J24" s="10"/>
      <c r="K24" s="68"/>
    </row>
    <row r="25" spans="1:11" x14ac:dyDescent="0.25">
      <c r="A25" s="68"/>
      <c r="B25" s="7" t="s">
        <v>44</v>
      </c>
      <c r="C25" s="7" t="s">
        <v>45</v>
      </c>
      <c r="D25" s="7" t="s">
        <v>46</v>
      </c>
      <c r="E25" s="7" t="s">
        <v>47</v>
      </c>
      <c r="F25" s="7" t="s">
        <v>48</v>
      </c>
      <c r="G25" s="57" t="s">
        <v>49</v>
      </c>
      <c r="H25" s="57"/>
      <c r="I25" s="7" t="s">
        <v>50</v>
      </c>
      <c r="J25" s="7" t="s">
        <v>51</v>
      </c>
      <c r="K25" s="68"/>
    </row>
    <row r="26" spans="1:11" x14ac:dyDescent="0.25">
      <c r="A26" s="68"/>
      <c r="B26" s="10" t="s">
        <v>57</v>
      </c>
      <c r="C26" s="10" t="s">
        <v>65</v>
      </c>
      <c r="D26" s="10" t="s">
        <v>68</v>
      </c>
      <c r="E26" s="10" t="s">
        <v>73</v>
      </c>
      <c r="F26" s="10" t="s">
        <v>74</v>
      </c>
      <c r="G26" s="63">
        <v>6</v>
      </c>
      <c r="H26" s="10"/>
      <c r="I26" s="64">
        <v>7</v>
      </c>
      <c r="J26" s="10" t="s">
        <v>75</v>
      </c>
      <c r="K26" s="68"/>
    </row>
    <row r="27" spans="1:11" x14ac:dyDescent="0.25">
      <c r="A27" s="68"/>
      <c r="B27" s="10" t="s">
        <v>54</v>
      </c>
      <c r="C27" s="10" t="s">
        <v>65</v>
      </c>
      <c r="D27" s="10" t="s">
        <v>68</v>
      </c>
      <c r="E27" s="10" t="s">
        <v>76</v>
      </c>
      <c r="F27" s="10" t="s">
        <v>77</v>
      </c>
      <c r="G27" s="63">
        <v>5</v>
      </c>
      <c r="H27" s="10"/>
      <c r="I27" s="64">
        <v>6.5</v>
      </c>
      <c r="J27" s="10" t="s">
        <v>75</v>
      </c>
      <c r="K27" s="68"/>
    </row>
    <row r="28" spans="1:11" x14ac:dyDescent="0.25">
      <c r="A28" s="68"/>
      <c r="B28" s="10" t="s">
        <v>56</v>
      </c>
      <c r="C28" s="10" t="s">
        <v>65</v>
      </c>
      <c r="D28" s="10" t="s">
        <v>68</v>
      </c>
      <c r="E28" s="10" t="s">
        <v>76</v>
      </c>
      <c r="F28" s="10" t="s">
        <v>77</v>
      </c>
      <c r="G28" s="63">
        <v>7</v>
      </c>
      <c r="H28" s="10"/>
      <c r="I28" s="64">
        <v>6.5</v>
      </c>
      <c r="J28" s="10" t="s">
        <v>75</v>
      </c>
      <c r="K28" s="68"/>
    </row>
    <row r="29" spans="1:11" x14ac:dyDescent="0.25">
      <c r="A29" s="68"/>
      <c r="B29" s="10" t="s">
        <v>55</v>
      </c>
      <c r="C29" s="10" t="s">
        <v>65</v>
      </c>
      <c r="D29" s="10" t="s">
        <v>68</v>
      </c>
      <c r="E29" s="10" t="s">
        <v>76</v>
      </c>
      <c r="F29" s="10" t="s">
        <v>77</v>
      </c>
      <c r="G29" s="63">
        <v>4</v>
      </c>
      <c r="H29" s="10"/>
      <c r="I29" s="64">
        <v>5</v>
      </c>
      <c r="J29" s="10" t="s">
        <v>78</v>
      </c>
      <c r="K29" s="68"/>
    </row>
    <row r="30" spans="1:11" x14ac:dyDescent="0.25">
      <c r="A30" s="68"/>
      <c r="B30" s="10"/>
      <c r="C30" s="10"/>
      <c r="D30" s="10"/>
      <c r="E30" s="10"/>
      <c r="F30" s="10"/>
      <c r="G30" s="63"/>
      <c r="H30" s="10"/>
      <c r="I30" s="64"/>
      <c r="J30" s="10"/>
      <c r="K30" s="68"/>
    </row>
    <row r="31" spans="1:11" x14ac:dyDescent="0.25">
      <c r="A31" s="68"/>
      <c r="B31" s="10"/>
      <c r="C31" s="10"/>
      <c r="D31" s="10"/>
      <c r="E31" s="10"/>
      <c r="F31" s="10"/>
      <c r="G31" s="63"/>
      <c r="H31" s="10"/>
      <c r="I31" s="64"/>
      <c r="J31" s="10"/>
      <c r="K31" s="68"/>
    </row>
    <row r="32" spans="1:11" x14ac:dyDescent="0.25">
      <c r="A32" s="68"/>
      <c r="B32" s="10"/>
      <c r="C32" s="10"/>
      <c r="D32" s="10"/>
      <c r="E32" s="10"/>
      <c r="F32" s="10"/>
      <c r="G32" s="63"/>
      <c r="H32" s="10"/>
      <c r="I32" s="64"/>
      <c r="J32" s="10"/>
      <c r="K32" s="68"/>
    </row>
    <row r="33" spans="1:11" x14ac:dyDescent="0.25">
      <c r="A33" s="68"/>
      <c r="B33" s="10"/>
      <c r="C33" s="10"/>
      <c r="D33" s="10"/>
      <c r="E33" s="10"/>
      <c r="F33" s="10"/>
      <c r="G33" s="63"/>
      <c r="H33" s="10"/>
      <c r="I33" s="64"/>
      <c r="J33" s="10"/>
      <c r="K33" s="68"/>
    </row>
  </sheetData>
  <mergeCells count="16">
    <mergeCell ref="G25:H25"/>
    <mergeCell ref="G17:H17"/>
    <mergeCell ref="B16:C16"/>
    <mergeCell ref="F16:H16"/>
    <mergeCell ref="G18:H18"/>
    <mergeCell ref="G19:H19"/>
    <mergeCell ref="G5:H5"/>
    <mergeCell ref="I5:I6"/>
    <mergeCell ref="J5:J6"/>
    <mergeCell ref="B3:J3"/>
    <mergeCell ref="B4:J4"/>
    <mergeCell ref="B5:B6"/>
    <mergeCell ref="C5:C6"/>
    <mergeCell ref="D5:D6"/>
    <mergeCell ref="E5:E6"/>
    <mergeCell ref="F5:F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7"/>
  <sheetViews>
    <sheetView tabSelected="1" topLeftCell="A14" zoomScale="85" zoomScaleNormal="85" workbookViewId="0">
      <selection activeCell="B24" sqref="B24"/>
    </sheetView>
  </sheetViews>
  <sheetFormatPr defaultRowHeight="15" x14ac:dyDescent="0.25"/>
  <cols>
    <col min="2" max="7" width="12" customWidth="1"/>
    <col min="8" max="8" width="18.28515625" bestFit="1" customWidth="1"/>
    <col min="9" max="9" width="13.7109375" customWidth="1"/>
    <col min="10" max="11" width="12" customWidth="1"/>
  </cols>
  <sheetData>
    <row r="2" spans="2:11" ht="15.75" thickBot="1" x14ac:dyDescent="0.3"/>
    <row r="3" spans="2:11" x14ac:dyDescent="0.25">
      <c r="B3" s="15" t="s">
        <v>79</v>
      </c>
      <c r="C3" s="16"/>
      <c r="D3" s="16"/>
      <c r="E3" s="16"/>
      <c r="F3" s="16"/>
      <c r="G3" s="16"/>
      <c r="H3" s="16"/>
      <c r="I3" s="16"/>
      <c r="J3" s="16"/>
      <c r="K3" s="17"/>
    </row>
    <row r="4" spans="2:11" x14ac:dyDescent="0.25">
      <c r="B4" s="6" t="s">
        <v>0</v>
      </c>
      <c r="C4" s="7" t="s">
        <v>80</v>
      </c>
      <c r="D4" s="7" t="s">
        <v>81</v>
      </c>
      <c r="E4" s="7" t="s">
        <v>82</v>
      </c>
      <c r="F4" s="7" t="s">
        <v>83</v>
      </c>
      <c r="G4" s="7" t="s">
        <v>84</v>
      </c>
      <c r="H4" s="7" t="s">
        <v>85</v>
      </c>
      <c r="I4" s="7" t="s">
        <v>86</v>
      </c>
      <c r="J4" s="7" t="s">
        <v>87</v>
      </c>
      <c r="K4" s="8" t="s">
        <v>88</v>
      </c>
    </row>
    <row r="5" spans="2:11" x14ac:dyDescent="0.25">
      <c r="B5" s="18">
        <v>8</v>
      </c>
      <c r="C5" s="68" t="s">
        <v>96</v>
      </c>
      <c r="D5" s="77">
        <v>43919</v>
      </c>
      <c r="E5" s="78" t="str">
        <f>TEXT(D5,"[$-vi-VN]dddd")</f>
        <v>Chủ Nhật</v>
      </c>
      <c r="F5" s="68" t="str">
        <f>MID(C5,3, 2)</f>
        <v>CD</v>
      </c>
      <c r="G5" s="68" t="str">
        <f>VLOOKUP(F5, $B$17:$C$19, 2)</f>
        <v>Cài đặt</v>
      </c>
      <c r="H5" s="68" t="str">
        <f>CONCATENATE(F5, "_", E5, "_", RIGHT(C5, 4))</f>
        <v>CD_Chủ Nhật_2903</v>
      </c>
      <c r="I5" s="68">
        <f>VLOOKUP(F5, $B$17:$D$19, 3)</f>
        <v>50000</v>
      </c>
      <c r="J5" s="68">
        <f>IF(OR(E5 = "Thứ Bảy", E5 = "Chủ Nhật"), 0.07 * I5, 0)</f>
        <v>3500.0000000000005</v>
      </c>
      <c r="K5" s="81">
        <f>ROUND(I5+J5, -3)</f>
        <v>54000</v>
      </c>
    </row>
    <row r="6" spans="2:11" x14ac:dyDescent="0.25">
      <c r="B6" s="18">
        <v>4</v>
      </c>
      <c r="C6" s="68" t="s">
        <v>92</v>
      </c>
      <c r="D6" s="77">
        <v>43998</v>
      </c>
      <c r="E6" s="78" t="str">
        <f>TEXT(D6,"[$-vi-VN]dddd")</f>
        <v>Thứ Ba</v>
      </c>
      <c r="F6" s="68" t="str">
        <f>MID(C6,3, 2)</f>
        <v>CD</v>
      </c>
      <c r="G6" s="68" t="str">
        <f>VLOOKUP(F6, $B$17:$C$19, 2)</f>
        <v>Cài đặt</v>
      </c>
      <c r="H6" s="68" t="str">
        <f>CONCATENATE(F6, "_", E6, "_", RIGHT(C6, 4))</f>
        <v>CD_Thứ Ba_1606</v>
      </c>
      <c r="I6" s="68">
        <f>VLOOKUP(F6, $B$17:$D$19, 3)</f>
        <v>50000</v>
      </c>
      <c r="J6" s="68">
        <f t="shared" ref="J6:J12" si="0">IF(OR(E6 = "Thứ Bảy", E6 = "Chủ Nhật"), 0.07 * I6, 0)</f>
        <v>0</v>
      </c>
      <c r="K6" s="81">
        <f>ROUND(I6+J6, -3)</f>
        <v>50000</v>
      </c>
    </row>
    <row r="7" spans="2:11" x14ac:dyDescent="0.25">
      <c r="B7" s="18">
        <v>5</v>
      </c>
      <c r="C7" s="68" t="s">
        <v>93</v>
      </c>
      <c r="D7" s="77">
        <v>43960</v>
      </c>
      <c r="E7" s="78" t="str">
        <f>TEXT(D7,"[$-vi-VN]dddd")</f>
        <v>Thứ Bảy</v>
      </c>
      <c r="F7" s="68" t="str">
        <f>MID(C7,3, 2)</f>
        <v>CD</v>
      </c>
      <c r="G7" s="68" t="str">
        <f>VLOOKUP(F7, $B$17:$C$19, 2)</f>
        <v>Cài đặt</v>
      </c>
      <c r="H7" s="68" t="str">
        <f>CONCATENATE(F7, "_", E7, "_", RIGHT(C7, 4))</f>
        <v>CD_Thứ Bảy_0905</v>
      </c>
      <c r="I7" s="68">
        <f>VLOOKUP(F7, $B$17:$D$19, 3)</f>
        <v>50000</v>
      </c>
      <c r="J7" s="68">
        <f t="shared" si="0"/>
        <v>3500.0000000000005</v>
      </c>
      <c r="K7" s="81">
        <f>ROUND(I7+J7, -3)</f>
        <v>54000</v>
      </c>
    </row>
    <row r="8" spans="2:11" x14ac:dyDescent="0.25">
      <c r="B8" s="18">
        <v>3</v>
      </c>
      <c r="C8" s="68" t="s">
        <v>91</v>
      </c>
      <c r="D8" s="77">
        <v>43891</v>
      </c>
      <c r="E8" s="78" t="str">
        <f>TEXT(D8,"[$-vi-VN]dddd")</f>
        <v>Chủ Nhật</v>
      </c>
      <c r="F8" s="68" t="str">
        <f>MID(C8,3, 2)</f>
        <v>NC</v>
      </c>
      <c r="G8" s="68" t="str">
        <f>VLOOKUP(F8, $B$17:$C$19, 2)</f>
        <v>Nâng cấp</v>
      </c>
      <c r="H8" s="68" t="str">
        <f>CONCATENATE(F8, "_", E8, "_", RIGHT(C8, 4))</f>
        <v>NC_Chủ Nhật_0103</v>
      </c>
      <c r="I8" s="68">
        <f>VLOOKUP(F8, $B$17:$D$19, 3)</f>
        <v>273000</v>
      </c>
      <c r="J8" s="68">
        <f t="shared" si="0"/>
        <v>19110</v>
      </c>
      <c r="K8" s="81">
        <f>ROUND(I8+J8, -3)</f>
        <v>292000</v>
      </c>
    </row>
    <row r="9" spans="2:11" x14ac:dyDescent="0.25">
      <c r="B9" s="18">
        <v>6</v>
      </c>
      <c r="C9" s="68" t="s">
        <v>94</v>
      </c>
      <c r="D9" s="77">
        <v>43937</v>
      </c>
      <c r="E9" s="78" t="str">
        <f>TEXT(D9,"[$-vi-VN]dddd")</f>
        <v>Thứ Năm</v>
      </c>
      <c r="F9" s="68" t="str">
        <f>MID(C9,3, 2)</f>
        <v>NC</v>
      </c>
      <c r="G9" s="68" t="str">
        <f>VLOOKUP(F9, $B$17:$C$19, 2)</f>
        <v>Nâng cấp</v>
      </c>
      <c r="H9" s="68" t="str">
        <f>CONCATENATE(F9, "_", E9, "_", RIGHT(C9, 4))</f>
        <v>NC_Thứ Năm_1604</v>
      </c>
      <c r="I9" s="68">
        <f>VLOOKUP(F9, $B$17:$D$19, 3)</f>
        <v>273000</v>
      </c>
      <c r="J9" s="68">
        <f t="shared" si="0"/>
        <v>0</v>
      </c>
      <c r="K9" s="81">
        <f>ROUND(I9+J9, -3)</f>
        <v>273000</v>
      </c>
    </row>
    <row r="10" spans="2:11" x14ac:dyDescent="0.25">
      <c r="B10" s="18">
        <v>1</v>
      </c>
      <c r="C10" s="68" t="s">
        <v>89</v>
      </c>
      <c r="D10" s="77">
        <v>43897</v>
      </c>
      <c r="E10" s="78" t="str">
        <f>TEXT(D10,"[$-vi-VN]dddd")</f>
        <v>Thứ Bảy</v>
      </c>
      <c r="F10" s="68" t="str">
        <f>MID(C10,3, 2)</f>
        <v>SC</v>
      </c>
      <c r="G10" s="68" t="str">
        <f>VLOOKUP(F10, $B$17:$C$19, 2)</f>
        <v>Sửa chữa</v>
      </c>
      <c r="H10" s="68" t="str">
        <f>CONCATENATE(F10, "_", E10, "_", RIGHT(C10, 4))</f>
        <v>SC_Thứ Bảy_0703</v>
      </c>
      <c r="I10" s="68">
        <f>VLOOKUP(F10, $B$17:$D$19, 3)</f>
        <v>155000</v>
      </c>
      <c r="J10" s="68">
        <f t="shared" si="0"/>
        <v>10850.000000000002</v>
      </c>
      <c r="K10" s="81">
        <f>ROUND(I10+J10, -3)</f>
        <v>166000</v>
      </c>
    </row>
    <row r="11" spans="2:11" x14ac:dyDescent="0.25">
      <c r="B11" s="18">
        <v>2</v>
      </c>
      <c r="C11" s="68" t="s">
        <v>90</v>
      </c>
      <c r="D11" s="77">
        <v>43908</v>
      </c>
      <c r="E11" s="78" t="str">
        <f>TEXT(D11,"[$-vi-VN]dddd")</f>
        <v>Thứ Tư</v>
      </c>
      <c r="F11" s="68" t="str">
        <f>MID(C11,3, 2)</f>
        <v>SC</v>
      </c>
      <c r="G11" s="68" t="str">
        <f>VLOOKUP(F11, $B$17:$C$19, 2)</f>
        <v>Sửa chữa</v>
      </c>
      <c r="H11" s="68" t="str">
        <f>CONCATENATE(F11, "_", E11, "_", RIGHT(C11, 4))</f>
        <v>SC_Thứ Tư_1803</v>
      </c>
      <c r="I11" s="68">
        <f>VLOOKUP(F11, $B$17:$D$19, 3)</f>
        <v>155000</v>
      </c>
      <c r="J11" s="68">
        <f t="shared" si="0"/>
        <v>0</v>
      </c>
      <c r="K11" s="81">
        <f>ROUND(I11+J11, -3)</f>
        <v>155000</v>
      </c>
    </row>
    <row r="12" spans="2:11" ht="15.75" thickBot="1" x14ac:dyDescent="0.3">
      <c r="B12" s="19">
        <v>7</v>
      </c>
      <c r="C12" s="20" t="s">
        <v>95</v>
      </c>
      <c r="D12" s="79">
        <v>43931</v>
      </c>
      <c r="E12" s="80" t="str">
        <f>TEXT(D12,"[$-vi-VN]dddd")</f>
        <v>Thứ Sáu</v>
      </c>
      <c r="F12" s="20" t="str">
        <f>MID(C12,3, 2)</f>
        <v>SC</v>
      </c>
      <c r="G12" s="20" t="str">
        <f>VLOOKUP(F12, $B$17:$C$19, 2)</f>
        <v>Sửa chữa</v>
      </c>
      <c r="H12" s="20" t="str">
        <f>CONCATENATE(F12, "_", E12, "_", RIGHT(C12, 4))</f>
        <v>SC_Thứ Sáu_1004</v>
      </c>
      <c r="I12" s="20">
        <f>VLOOKUP(F12, $B$17:$D$19, 3)</f>
        <v>155000</v>
      </c>
      <c r="J12" s="20">
        <f t="shared" si="0"/>
        <v>0</v>
      </c>
      <c r="K12" s="82">
        <f>ROUND(I12+J12, -3)</f>
        <v>155000</v>
      </c>
    </row>
    <row r="14" spans="2:11" ht="15.75" thickBot="1" x14ac:dyDescent="0.3"/>
    <row r="15" spans="2:11" x14ac:dyDescent="0.25">
      <c r="B15" s="15" t="s">
        <v>97</v>
      </c>
      <c r="C15" s="16"/>
      <c r="D15" s="17"/>
      <c r="G15" s="15" t="s">
        <v>98</v>
      </c>
      <c r="H15" s="16"/>
      <c r="I15" s="17"/>
    </row>
    <row r="16" spans="2:11" x14ac:dyDescent="0.25">
      <c r="B16" s="21" t="s">
        <v>83</v>
      </c>
      <c r="C16" s="75" t="s">
        <v>84</v>
      </c>
      <c r="D16" s="76" t="s">
        <v>86</v>
      </c>
      <c r="G16" s="21" t="s">
        <v>83</v>
      </c>
      <c r="H16" s="75" t="s">
        <v>4</v>
      </c>
      <c r="I16" s="76" t="s">
        <v>88</v>
      </c>
    </row>
    <row r="17" spans="2:11" x14ac:dyDescent="0.25">
      <c r="B17" s="18" t="s">
        <v>99</v>
      </c>
      <c r="C17" s="68" t="s">
        <v>101</v>
      </c>
      <c r="D17" s="33">
        <v>50000</v>
      </c>
      <c r="G17" s="18" t="s">
        <v>101</v>
      </c>
      <c r="H17" s="68">
        <f>COUNTIF($G$5:$G$12, G17)</f>
        <v>3</v>
      </c>
      <c r="I17" s="81">
        <f>SUMIF(G5:G12, G17, K5:$K$12)</f>
        <v>158000</v>
      </c>
    </row>
    <row r="18" spans="2:11" x14ac:dyDescent="0.25">
      <c r="B18" s="18" t="s">
        <v>66</v>
      </c>
      <c r="C18" s="68" t="s">
        <v>102</v>
      </c>
      <c r="D18" s="33">
        <v>273000</v>
      </c>
      <c r="G18" s="18" t="s">
        <v>102</v>
      </c>
      <c r="H18" s="68">
        <f t="shared" ref="H18:H19" si="1">COUNTIF($G$5:$G$12, G18)</f>
        <v>2</v>
      </c>
      <c r="I18" s="81">
        <f ca="1">SUMIF(G6:G13, G18, K6:$K$12)</f>
        <v>565000</v>
      </c>
    </row>
    <row r="19" spans="2:11" ht="15.75" thickBot="1" x14ac:dyDescent="0.3">
      <c r="B19" s="19" t="s">
        <v>100</v>
      </c>
      <c r="C19" s="20" t="s">
        <v>103</v>
      </c>
      <c r="D19" s="43">
        <v>155000</v>
      </c>
      <c r="G19" s="19" t="s">
        <v>103</v>
      </c>
      <c r="H19" s="20">
        <f t="shared" si="1"/>
        <v>3</v>
      </c>
      <c r="I19" s="82">
        <f ca="1">SUMIF(G7:G14, G19, K7:$K$12)</f>
        <v>476000</v>
      </c>
    </row>
    <row r="22" spans="2:11" x14ac:dyDescent="0.25">
      <c r="C22" s="7" t="s">
        <v>80</v>
      </c>
    </row>
    <row r="23" spans="2:11" x14ac:dyDescent="0.25">
      <c r="C23" s="50" t="s">
        <v>104</v>
      </c>
    </row>
    <row r="24" spans="2:11" x14ac:dyDescent="0.25">
      <c r="B24" s="6" t="s">
        <v>0</v>
      </c>
      <c r="C24" s="7" t="s">
        <v>80</v>
      </c>
      <c r="D24" s="7" t="s">
        <v>81</v>
      </c>
      <c r="E24" s="7" t="s">
        <v>82</v>
      </c>
      <c r="F24" s="7" t="s">
        <v>83</v>
      </c>
      <c r="G24" s="7" t="s">
        <v>84</v>
      </c>
      <c r="H24" s="7" t="s">
        <v>85</v>
      </c>
      <c r="I24" s="7" t="s">
        <v>86</v>
      </c>
      <c r="J24" s="7" t="s">
        <v>87</v>
      </c>
      <c r="K24" s="8" t="s">
        <v>88</v>
      </c>
    </row>
    <row r="25" spans="2:11" x14ac:dyDescent="0.25">
      <c r="B25" s="18">
        <v>8</v>
      </c>
      <c r="C25" s="68" t="s">
        <v>96</v>
      </c>
      <c r="D25" s="77">
        <v>43919</v>
      </c>
      <c r="E25" s="78" t="s">
        <v>105</v>
      </c>
      <c r="F25" s="68" t="s">
        <v>99</v>
      </c>
      <c r="G25" s="68" t="s">
        <v>101</v>
      </c>
      <c r="H25" s="68" t="s">
        <v>106</v>
      </c>
      <c r="I25" s="68">
        <v>50000</v>
      </c>
      <c r="J25" s="68">
        <v>3500.0000000000005</v>
      </c>
      <c r="K25" s="81">
        <v>54000</v>
      </c>
    </row>
    <row r="26" spans="2:11" x14ac:dyDescent="0.25">
      <c r="B26" s="18">
        <v>3</v>
      </c>
      <c r="C26" s="68" t="s">
        <v>91</v>
      </c>
      <c r="D26" s="77">
        <v>43891</v>
      </c>
      <c r="E26" s="78" t="s">
        <v>105</v>
      </c>
      <c r="F26" s="68" t="s">
        <v>66</v>
      </c>
      <c r="G26" s="68" t="s">
        <v>102</v>
      </c>
      <c r="H26" s="68" t="s">
        <v>107</v>
      </c>
      <c r="I26" s="68">
        <v>273000</v>
      </c>
      <c r="J26" s="68">
        <v>19110</v>
      </c>
      <c r="K26" s="81">
        <v>292000</v>
      </c>
    </row>
    <row r="27" spans="2:11" x14ac:dyDescent="0.25">
      <c r="B27" s="18">
        <v>2</v>
      </c>
      <c r="C27" s="68" t="s">
        <v>90</v>
      </c>
      <c r="D27" s="77">
        <v>43908</v>
      </c>
      <c r="E27" s="78" t="s">
        <v>108</v>
      </c>
      <c r="F27" s="68" t="s">
        <v>100</v>
      </c>
      <c r="G27" s="68" t="s">
        <v>103</v>
      </c>
      <c r="H27" s="68" t="s">
        <v>109</v>
      </c>
      <c r="I27" s="68">
        <v>155000</v>
      </c>
      <c r="J27" s="68">
        <v>0</v>
      </c>
      <c r="K27" s="81">
        <v>155000</v>
      </c>
    </row>
  </sheetData>
  <sortState ref="B5:K12">
    <sortCondition ref="G5:G12"/>
    <sortCondition descending="1" ref="K5:K12"/>
  </sortState>
  <mergeCells count="3">
    <mergeCell ref="B3:K3"/>
    <mergeCell ref="G15:I15"/>
    <mergeCell ref="B15:D15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i 3 O Z U a i a 8 p i m A A A A + Q A A A B I A H A B D b 2 5 m a W c v U G F j a 2 F n Z S 5 4 b W w g o h g A K K A U A A A A A A A A A A A A A A A A A A A A A A A A A A A A h Y + 9 D o I w G E V f h X S n L X / G k I 8 y u E p i Q j S u T a n Q C M X Q Y n k 3 B x / J V 5 B E M W y O 9 + Q M 5 7 4 e T 8 i n r v X u c j C q 1 x k K M E W e 1 K K v l K 4 z N N q L v 0 U 5 g w M X V 1 5 L b 5 a 1 S S d T Z a i x 9 p Y S 4 p z D L s L 9 U J O Q 0 o C c i 3 0 p G t l x 9 J P V f 9 l X 2 l i u h U Q M T p 8 Y F u I w x j H d J D i J k g D I w q F Q e u X M y Z g C W U H Y j a 0 d B 8 m k 9 o 8 l k G U C + d 5 g b 1 B L A w Q U A A I A C A C L c 5 l R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i 3 O Z U S i K R 7 g O A A A A E Q A A A B M A H A B G b 3 J t d W x h c y 9 T Z W N 0 a W 9 u M S 5 t I K I Y A C i g F A A A A A A A A A A A A A A A A A A A A A A A A A A A A C t O T S 7 J z M 9 T C I b Q h t Y A U E s B A i 0 A F A A C A A g A i 3 O Z U a i a 8 p i m A A A A + Q A A A B I A A A A A A A A A A A A A A A A A A A A A A E N v b m Z p Z y 9 Q Y W N r Y W d l L n h t b F B L A Q I t A B Q A A g A I A I t z m V E P y u m r p A A A A O k A A A A T A A A A A A A A A A A A A A A A A P I A A A B b Q 2 9 u d G V u d F 9 U e X B l c 1 0 u e G 1 s U E s B A i 0 A F A A C A A g A i 3 O Z U S i K R 7 g O A A A A E Q A A A B M A A A A A A A A A A A A A A A A A 4 w E A A E Z v c m 1 1 b G F z L 1 N l Y 3 R p b 2 4 x L m 1 Q S w U G A A A A A A M A A w D C A A A A P g I A A A A A N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x X b 3 J r Y m 9 v a 0 d y b 3 V w V H l w Z S B 4 c 2 k 6 b m l s P S J 0 c n V l I i A v P j w v U G V y b W l z c 2 l v b k x p c 3 Q + W Q E A A A A A A A A 3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K I 3 + F p 1 V O R K Q g A w s M u / i 3 A A A A A A I A A A A A A B B m A A A A A Q A A I A A A A G h a 0 M I f g n q k M X 2 I Y F g b a 1 L h / q L p C M t D e f N N H e N 3 b u d G A A A A A A 6 A A A A A A g A A I A A A A E N z p g J 4 6 Q p J B I A 4 + k l p P v w u n Y 3 i 3 r 8 P I j m 6 D Q 6 R G O l b U A A A A P y 0 m 5 3 z j J O p + A g T Q o z u K f d e a 2 a a z w U f 4 w N + k 5 7 t Q 0 X v e B a L k o Z U 6 Z 7 A 9 R c s f n t Q A x B A 3 J n j q f m P 5 m C c S Y 2 6 Y B x E 6 N Q t B r x w d 1 S Z B O 7 / p Z d / Q A A A A B X y s G b 5 f e j + w f D Y C 5 E O M g o C Z r O V G I X w p r J t r + q w P x T F S Z x U + v 6 v o 7 B 5 s z 5 h E t Z 6 I H v b I B k r G G A T g / 1 i L 2 + k J 2 0 = < / D a t a M a s h u p > 
</file>

<file path=customXml/itemProps1.xml><?xml version="1.0" encoding="utf-8"?>
<ds:datastoreItem xmlns:ds="http://schemas.openxmlformats.org/officeDocument/2006/customXml" ds:itemID="{34D2FC0A-D305-4C17-A400-761F5DF15A2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Danh sách hóa đơn</vt:lpstr>
      <vt:lpstr>Thí sinh dự thi</vt:lpstr>
      <vt:lpstr>Sheet9</vt:lpstr>
      <vt:lpstr>'Danh sách hóa đơn'!Criteria</vt:lpstr>
      <vt:lpstr>Sheet9!Criteria</vt:lpstr>
      <vt:lpstr>'Thí sinh dự thi'!Criteria</vt:lpstr>
      <vt:lpstr>'Danh sách hóa đơn'!Extract</vt:lpstr>
      <vt:lpstr>Sheet9!Extract</vt:lpstr>
      <vt:lpstr>'Thí sinh dự thi'!Extract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tuan anh</dc:creator>
  <cp:lastModifiedBy>tuan anh</cp:lastModifiedBy>
  <dcterms:created xsi:type="dcterms:W3CDTF">2020-12-25T06:56:14Z</dcterms:created>
  <dcterms:modified xsi:type="dcterms:W3CDTF">2020-12-25T12:26:56Z</dcterms:modified>
</cp:coreProperties>
</file>