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omUni\"/>
    </mc:Choice>
  </mc:AlternateContent>
  <bookViews>
    <workbookView xWindow="0" yWindow="0" windowWidth="29496" windowHeight="17940" activeTab="1"/>
  </bookViews>
  <sheets>
    <sheet name="Part One" sheetId="6" r:id="rId1"/>
    <sheet name="1960-1969" sheetId="1" r:id="rId2"/>
    <sheet name="1970-1979" sheetId="2" r:id="rId3"/>
    <sheet name="1980-1989" sheetId="3" r:id="rId4"/>
    <sheet name="1990-1999" sheetId="4" r:id="rId5"/>
    <sheet name="2000-2009" sheetId="5" r:id="rId6"/>
    <sheet name="Part Two Comparing" sheetId="7" r:id="rId7"/>
  </sheets>
  <definedNames>
    <definedName name="count">'1960-1969'!$B$45</definedName>
    <definedName name="countone">'Part One'!$B$45</definedName>
    <definedName name="Mean__USD" localSheetId="1">'1960-1969'!$B$55</definedName>
    <definedName name="Mean__Yearsone">'Part One'!$B$67</definedName>
    <definedName name="mean_gdp">'1960-1969'!$B$55</definedName>
    <definedName name="mean_gdp1">'1960-1969'!$B$55</definedName>
    <definedName name="mean_gdp1960">'1960-1969'!$B$55</definedName>
    <definedName name="mean_gdp1980">'1980-1989'!$B$55</definedName>
    <definedName name="mean_gdp1990">'1990-1999'!$B$55</definedName>
    <definedName name="mean_gdp2000">'2000-2009'!$B$55</definedName>
    <definedName name="mean_gdpone">'Part One'!$B$55</definedName>
    <definedName name="mean_gpd1970">'1970-1979'!$B$55</definedName>
    <definedName name="mean_le">'1960-1969'!$B$67</definedName>
    <definedName name="mean_le1970">'1970-1979'!$B$67</definedName>
    <definedName name="mean_le1980">'1980-1989'!$B$67</definedName>
    <definedName name="mean_le2000">'2000-2009'!$B$67</definedName>
    <definedName name="Mean_Years199">'1990-1999'!$B$67</definedName>
    <definedName name="Mean1__USD">'1960-1969'!$B$55</definedName>
    <definedName name="mean1_gdp">'1960-1969'!$B$55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2" l="1"/>
  <c r="B58" i="1"/>
  <c r="B55" i="1"/>
  <c r="B55" i="6"/>
  <c r="C106" i="6" l="1"/>
  <c r="I38" i="5" l="1"/>
  <c r="J38" i="5" s="1"/>
  <c r="I39" i="5"/>
  <c r="I40" i="5"/>
  <c r="J40" i="5" s="1"/>
  <c r="I41" i="5"/>
  <c r="J41" i="5" s="1"/>
  <c r="I37" i="5"/>
  <c r="J37" i="5" s="1"/>
  <c r="I36" i="5"/>
  <c r="G39" i="5"/>
  <c r="B87" i="5"/>
  <c r="B83" i="5"/>
  <c r="B81" i="5"/>
  <c r="B80" i="5"/>
  <c r="B82" i="5" s="1"/>
  <c r="B86" i="5" s="1"/>
  <c r="B77" i="5"/>
  <c r="B76" i="5"/>
  <c r="B75" i="5"/>
  <c r="B74" i="5"/>
  <c r="B73" i="5"/>
  <c r="B71" i="5"/>
  <c r="B69" i="5"/>
  <c r="B64" i="5"/>
  <c r="B63" i="5"/>
  <c r="B62" i="5"/>
  <c r="B61" i="5"/>
  <c r="B60" i="5"/>
  <c r="B58" i="5"/>
  <c r="B57" i="5"/>
  <c r="B55" i="5"/>
  <c r="G40" i="5" s="1"/>
  <c r="H40" i="5" s="1"/>
  <c r="B50" i="5"/>
  <c r="B51" i="5" s="1"/>
  <c r="B45" i="5"/>
  <c r="B47" i="5" s="1"/>
  <c r="F41" i="5"/>
  <c r="E41" i="5"/>
  <c r="F40" i="5"/>
  <c r="E40" i="5"/>
  <c r="J39" i="5"/>
  <c r="F39" i="5"/>
  <c r="E39" i="5"/>
  <c r="F38" i="5"/>
  <c r="F42" i="5" s="1"/>
  <c r="E38" i="5"/>
  <c r="F37" i="5"/>
  <c r="E37" i="5"/>
  <c r="E42" i="5" s="1"/>
  <c r="F36" i="5"/>
  <c r="E36" i="5"/>
  <c r="D42" i="5"/>
  <c r="C42" i="5"/>
  <c r="B42" i="5"/>
  <c r="D41" i="5"/>
  <c r="D40" i="5"/>
  <c r="D39" i="5"/>
  <c r="D38" i="5"/>
  <c r="D37" i="5"/>
  <c r="D36" i="5"/>
  <c r="G38" i="5" l="1"/>
  <c r="H38" i="5" s="1"/>
  <c r="G36" i="5"/>
  <c r="H36" i="5" s="1"/>
  <c r="G37" i="5"/>
  <c r="H37" i="5" s="1"/>
  <c r="G41" i="5"/>
  <c r="H41" i="5" s="1"/>
  <c r="I42" i="5"/>
  <c r="G42" i="5"/>
  <c r="B67" i="5"/>
  <c r="B46" i="5"/>
  <c r="B48" i="5"/>
  <c r="H39" i="5"/>
  <c r="J36" i="5"/>
  <c r="J42" i="5" s="1"/>
  <c r="B68" i="5" s="1"/>
  <c r="I38" i="4"/>
  <c r="J38" i="4" s="1"/>
  <c r="I39" i="4"/>
  <c r="I40" i="4"/>
  <c r="J40" i="4" s="1"/>
  <c r="I41" i="4"/>
  <c r="I37" i="4"/>
  <c r="J37" i="4" s="1"/>
  <c r="I36" i="4"/>
  <c r="J36" i="4" s="1"/>
  <c r="G38" i="4"/>
  <c r="H38" i="4" s="1"/>
  <c r="G39" i="4"/>
  <c r="H39" i="4" s="1"/>
  <c r="G40" i="4"/>
  <c r="H40" i="4" s="1"/>
  <c r="G41" i="4"/>
  <c r="H41" i="4" s="1"/>
  <c r="G36" i="4"/>
  <c r="G37" i="4"/>
  <c r="H37" i="4" s="1"/>
  <c r="J41" i="4"/>
  <c r="J39" i="4"/>
  <c r="B87" i="4"/>
  <c r="B83" i="4"/>
  <c r="B81" i="4"/>
  <c r="B80" i="4"/>
  <c r="B82" i="4" s="1"/>
  <c r="B86" i="4" s="1"/>
  <c r="B77" i="4"/>
  <c r="B76" i="4"/>
  <c r="B75" i="4"/>
  <c r="B74" i="4"/>
  <c r="B73" i="4"/>
  <c r="B71" i="4"/>
  <c r="B69" i="4"/>
  <c r="B64" i="4"/>
  <c r="B63" i="4"/>
  <c r="B62" i="4"/>
  <c r="B61" i="4"/>
  <c r="B60" i="4"/>
  <c r="B58" i="4"/>
  <c r="B57" i="4"/>
  <c r="B55" i="4"/>
  <c r="B50" i="4"/>
  <c r="B51" i="4" s="1"/>
  <c r="B48" i="4"/>
  <c r="B47" i="4"/>
  <c r="B46" i="4"/>
  <c r="B49" i="4" s="1"/>
  <c r="B45" i="4"/>
  <c r="B67" i="4" s="1"/>
  <c r="F42" i="4"/>
  <c r="E42" i="4"/>
  <c r="D42" i="4"/>
  <c r="C42" i="4"/>
  <c r="B42" i="4"/>
  <c r="F41" i="4"/>
  <c r="E41" i="4"/>
  <c r="D41" i="4"/>
  <c r="F40" i="4"/>
  <c r="E40" i="4"/>
  <c r="D40" i="4"/>
  <c r="F39" i="4"/>
  <c r="E39" i="4"/>
  <c r="D39" i="4"/>
  <c r="F38" i="4"/>
  <c r="E38" i="4"/>
  <c r="D38" i="4"/>
  <c r="F37" i="4"/>
  <c r="E37" i="4"/>
  <c r="D37" i="4"/>
  <c r="F36" i="4"/>
  <c r="E36" i="4"/>
  <c r="D36" i="4"/>
  <c r="I42" i="4" l="1"/>
  <c r="H42" i="5"/>
  <c r="B56" i="5" s="1"/>
  <c r="B49" i="5"/>
  <c r="J42" i="4"/>
  <c r="B68" i="4" s="1"/>
  <c r="G42" i="4"/>
  <c r="H36" i="4"/>
  <c r="H42" i="4" s="1"/>
  <c r="B56" i="4" s="1"/>
  <c r="E42" i="6"/>
  <c r="F41" i="6"/>
  <c r="E41" i="6"/>
  <c r="D41" i="6"/>
  <c r="F40" i="6"/>
  <c r="E40" i="6"/>
  <c r="D40" i="6"/>
  <c r="F39" i="6"/>
  <c r="E39" i="6"/>
  <c r="D39" i="6"/>
  <c r="F38" i="6"/>
  <c r="E38" i="6"/>
  <c r="D38" i="6"/>
  <c r="F37" i="6"/>
  <c r="E37" i="6"/>
  <c r="D37" i="6"/>
  <c r="F36" i="6"/>
  <c r="E36" i="6"/>
  <c r="D36" i="6"/>
  <c r="F35" i="6"/>
  <c r="E35" i="6"/>
  <c r="D35" i="6"/>
  <c r="F34" i="6"/>
  <c r="E34" i="6"/>
  <c r="D34" i="6"/>
  <c r="F33" i="6"/>
  <c r="E33" i="6"/>
  <c r="D33" i="6"/>
  <c r="F32" i="6"/>
  <c r="E32" i="6"/>
  <c r="D32" i="6"/>
  <c r="F31" i="6"/>
  <c r="E31" i="6"/>
  <c r="D31" i="6"/>
  <c r="F30" i="6"/>
  <c r="E30" i="6"/>
  <c r="D30" i="6"/>
  <c r="F29" i="6"/>
  <c r="E29" i="6"/>
  <c r="D29" i="6"/>
  <c r="F28" i="6"/>
  <c r="E28" i="6"/>
  <c r="D28" i="6"/>
  <c r="F27" i="6"/>
  <c r="E27" i="6"/>
  <c r="D27" i="6"/>
  <c r="F26" i="6"/>
  <c r="E26" i="6"/>
  <c r="D26" i="6"/>
  <c r="F25" i="6"/>
  <c r="F42" i="6" s="1"/>
  <c r="E25" i="6"/>
  <c r="D25" i="6"/>
  <c r="D42" i="6" s="1"/>
  <c r="F24" i="6"/>
  <c r="E24" i="6"/>
  <c r="D24" i="6"/>
  <c r="F23" i="6"/>
  <c r="E23" i="6"/>
  <c r="D23" i="6"/>
  <c r="F22" i="6"/>
  <c r="E22" i="6"/>
  <c r="D22" i="6"/>
  <c r="F21" i="6"/>
  <c r="E21" i="6"/>
  <c r="D21" i="6"/>
  <c r="F20" i="6"/>
  <c r="E20" i="6"/>
  <c r="D20" i="6"/>
  <c r="F19" i="6"/>
  <c r="E19" i="6"/>
  <c r="D19" i="6"/>
  <c r="F18" i="6"/>
  <c r="E18" i="6"/>
  <c r="D18" i="6"/>
  <c r="F17" i="6"/>
  <c r="E17" i="6"/>
  <c r="D17" i="6"/>
  <c r="F16" i="6"/>
  <c r="E16" i="6"/>
  <c r="D16" i="6"/>
  <c r="F15" i="6"/>
  <c r="E15" i="6"/>
  <c r="D15" i="6"/>
  <c r="F14" i="6"/>
  <c r="E14" i="6"/>
  <c r="D14" i="6"/>
  <c r="F13" i="6"/>
  <c r="E13" i="6"/>
  <c r="D13" i="6"/>
  <c r="F12" i="6"/>
  <c r="E12" i="6"/>
  <c r="D12" i="6"/>
  <c r="F11" i="6"/>
  <c r="E11" i="6"/>
  <c r="D11" i="6"/>
  <c r="F10" i="6"/>
  <c r="E10" i="6"/>
  <c r="D10" i="6"/>
  <c r="F9" i="6"/>
  <c r="E9" i="6"/>
  <c r="D9" i="6"/>
  <c r="F8" i="6"/>
  <c r="E8" i="6"/>
  <c r="D8" i="6"/>
  <c r="F7" i="6"/>
  <c r="E7" i="6"/>
  <c r="D7" i="6"/>
  <c r="F5" i="6"/>
  <c r="E5" i="6"/>
  <c r="D5" i="6"/>
  <c r="F4" i="6"/>
  <c r="E4" i="6"/>
  <c r="D4" i="6"/>
  <c r="F3" i="6"/>
  <c r="E3" i="6"/>
  <c r="D3" i="6"/>
  <c r="F2" i="6"/>
  <c r="E2" i="6"/>
  <c r="D2" i="6"/>
  <c r="C42" i="6"/>
  <c r="B42" i="6"/>
  <c r="B87" i="6"/>
  <c r="B83" i="6"/>
  <c r="B77" i="6"/>
  <c r="B76" i="6"/>
  <c r="B75" i="6"/>
  <c r="B74" i="6"/>
  <c r="B73" i="6"/>
  <c r="B71" i="6"/>
  <c r="B69" i="6"/>
  <c r="B64" i="6"/>
  <c r="B63" i="6"/>
  <c r="B62" i="6"/>
  <c r="B61" i="6"/>
  <c r="B60" i="6"/>
  <c r="B58" i="6"/>
  <c r="B57" i="6"/>
  <c r="B50" i="6"/>
  <c r="B51" i="6" s="1"/>
  <c r="B45" i="6"/>
  <c r="G41" i="6" l="1"/>
  <c r="H41" i="6" s="1"/>
  <c r="G33" i="6"/>
  <c r="H33" i="6" s="1"/>
  <c r="G25" i="6"/>
  <c r="H25" i="6" s="1"/>
  <c r="G17" i="6"/>
  <c r="H17" i="6" s="1"/>
  <c r="G9" i="6"/>
  <c r="H9" i="6" s="1"/>
  <c r="G39" i="6"/>
  <c r="H39" i="6" s="1"/>
  <c r="G31" i="6"/>
  <c r="H31" i="6" s="1"/>
  <c r="G23" i="6"/>
  <c r="H23" i="6" s="1"/>
  <c r="G15" i="6"/>
  <c r="H15" i="6" s="1"/>
  <c r="G7" i="6"/>
  <c r="H7" i="6" s="1"/>
  <c r="G38" i="6"/>
  <c r="H38" i="6" s="1"/>
  <c r="G30" i="6"/>
  <c r="H30" i="6" s="1"/>
  <c r="G22" i="6"/>
  <c r="H22" i="6" s="1"/>
  <c r="G14" i="6"/>
  <c r="H14" i="6" s="1"/>
  <c r="G37" i="6"/>
  <c r="H37" i="6" s="1"/>
  <c r="G29" i="6"/>
  <c r="H29" i="6" s="1"/>
  <c r="G21" i="6"/>
  <c r="H21" i="6" s="1"/>
  <c r="G13" i="6"/>
  <c r="H13" i="6" s="1"/>
  <c r="B48" i="6"/>
  <c r="B67" i="6"/>
  <c r="B46" i="6"/>
  <c r="B80" i="6"/>
  <c r="B47" i="6"/>
  <c r="B81" i="6"/>
  <c r="G5" i="6" l="1"/>
  <c r="H5" i="6" s="1"/>
  <c r="G11" i="6"/>
  <c r="H11" i="6" s="1"/>
  <c r="G27" i="6"/>
  <c r="H27" i="6" s="1"/>
  <c r="G2" i="6"/>
  <c r="H2" i="6" s="1"/>
  <c r="G12" i="6"/>
  <c r="H12" i="6" s="1"/>
  <c r="G35" i="6"/>
  <c r="H35" i="6" s="1"/>
  <c r="G28" i="6"/>
  <c r="H28" i="6" s="1"/>
  <c r="G16" i="6"/>
  <c r="H16" i="6" s="1"/>
  <c r="G32" i="6"/>
  <c r="H32" i="6" s="1"/>
  <c r="G18" i="6"/>
  <c r="H18" i="6" s="1"/>
  <c r="G34" i="6"/>
  <c r="H34" i="6" s="1"/>
  <c r="G19" i="6"/>
  <c r="H19" i="6" s="1"/>
  <c r="G4" i="6"/>
  <c r="H4" i="6" s="1"/>
  <c r="G20" i="6"/>
  <c r="H20" i="6" s="1"/>
  <c r="G36" i="6"/>
  <c r="H36" i="6" s="1"/>
  <c r="G8" i="6"/>
  <c r="H8" i="6" s="1"/>
  <c r="G24" i="6"/>
  <c r="H24" i="6" s="1"/>
  <c r="G40" i="6"/>
  <c r="H40" i="6" s="1"/>
  <c r="G10" i="6"/>
  <c r="H10" i="6" s="1"/>
  <c r="G26" i="6"/>
  <c r="H26" i="6" s="1"/>
  <c r="G3" i="6"/>
  <c r="H3" i="6" s="1"/>
  <c r="I39" i="6"/>
  <c r="J39" i="6" s="1"/>
  <c r="I31" i="6"/>
  <c r="J31" i="6" s="1"/>
  <c r="I23" i="6"/>
  <c r="J23" i="6" s="1"/>
  <c r="I15" i="6"/>
  <c r="J15" i="6" s="1"/>
  <c r="I7" i="6"/>
  <c r="J7" i="6" s="1"/>
  <c r="I37" i="6"/>
  <c r="J37" i="6" s="1"/>
  <c r="I21" i="6"/>
  <c r="J21" i="6" s="1"/>
  <c r="I13" i="6"/>
  <c r="J13" i="6" s="1"/>
  <c r="I5" i="6"/>
  <c r="J5" i="6" s="1"/>
  <c r="I12" i="6"/>
  <c r="J12" i="6" s="1"/>
  <c r="I35" i="6"/>
  <c r="J35" i="6" s="1"/>
  <c r="I27" i="6"/>
  <c r="J27" i="6" s="1"/>
  <c r="I19" i="6"/>
  <c r="J19" i="6" s="1"/>
  <c r="I11" i="6"/>
  <c r="J11" i="6" s="1"/>
  <c r="I3" i="6"/>
  <c r="J3" i="6" s="1"/>
  <c r="I34" i="6"/>
  <c r="J34" i="6" s="1"/>
  <c r="I26" i="6"/>
  <c r="J26" i="6" s="1"/>
  <c r="I18" i="6"/>
  <c r="J18" i="6" s="1"/>
  <c r="I10" i="6"/>
  <c r="J10" i="6" s="1"/>
  <c r="I2" i="6"/>
  <c r="I38" i="6"/>
  <c r="J38" i="6" s="1"/>
  <c r="I30" i="6"/>
  <c r="J30" i="6" s="1"/>
  <c r="I22" i="6"/>
  <c r="J22" i="6" s="1"/>
  <c r="I14" i="6"/>
  <c r="J14" i="6" s="1"/>
  <c r="I41" i="6"/>
  <c r="J41" i="6" s="1"/>
  <c r="I33" i="6"/>
  <c r="J33" i="6" s="1"/>
  <c r="I25" i="6"/>
  <c r="J25" i="6" s="1"/>
  <c r="I17" i="6"/>
  <c r="J17" i="6" s="1"/>
  <c r="I9" i="6"/>
  <c r="J9" i="6" s="1"/>
  <c r="I40" i="6"/>
  <c r="J40" i="6" s="1"/>
  <c r="I32" i="6"/>
  <c r="J32" i="6" s="1"/>
  <c r="I24" i="6"/>
  <c r="J24" i="6" s="1"/>
  <c r="I16" i="6"/>
  <c r="J16" i="6" s="1"/>
  <c r="I8" i="6"/>
  <c r="J8" i="6" s="1"/>
  <c r="I29" i="6"/>
  <c r="J29" i="6" s="1"/>
  <c r="I36" i="6"/>
  <c r="J36" i="6" s="1"/>
  <c r="I28" i="6"/>
  <c r="J28" i="6" s="1"/>
  <c r="I20" i="6"/>
  <c r="J20" i="6" s="1"/>
  <c r="I4" i="6"/>
  <c r="J4" i="6" s="1"/>
  <c r="B49" i="6"/>
  <c r="B82" i="6"/>
  <c r="B86" i="6" s="1"/>
  <c r="G42" i="6" l="1"/>
  <c r="H42" i="6"/>
  <c r="B56" i="6" s="1"/>
  <c r="J2" i="6"/>
  <c r="J42" i="6" s="1"/>
  <c r="B68" i="6" s="1"/>
  <c r="I42" i="6"/>
  <c r="I38" i="3"/>
  <c r="I39" i="3"/>
  <c r="J39" i="3" s="1"/>
  <c r="I40" i="3"/>
  <c r="J40" i="3" s="1"/>
  <c r="I41" i="3"/>
  <c r="I37" i="3"/>
  <c r="J37" i="3" s="1"/>
  <c r="I36" i="3"/>
  <c r="J36" i="3" s="1"/>
  <c r="G41" i="3"/>
  <c r="H41" i="3" s="1"/>
  <c r="G36" i="3"/>
  <c r="H36" i="3" s="1"/>
  <c r="G37" i="3"/>
  <c r="H37" i="3" s="1"/>
  <c r="J41" i="3"/>
  <c r="F41" i="3"/>
  <c r="E41" i="3"/>
  <c r="D41" i="3"/>
  <c r="F40" i="3"/>
  <c r="E40" i="3"/>
  <c r="D40" i="3"/>
  <c r="F39" i="3"/>
  <c r="E39" i="3"/>
  <c r="D39" i="3"/>
  <c r="J38" i="3"/>
  <c r="F38" i="3"/>
  <c r="E38" i="3"/>
  <c r="D38" i="3"/>
  <c r="F37" i="3"/>
  <c r="E37" i="3"/>
  <c r="D37" i="3"/>
  <c r="F36" i="3"/>
  <c r="F42" i="3" s="1"/>
  <c r="E36" i="3"/>
  <c r="D36" i="3"/>
  <c r="E42" i="3"/>
  <c r="D42" i="3"/>
  <c r="C42" i="3"/>
  <c r="B42" i="3"/>
  <c r="B55" i="3" s="1"/>
  <c r="G38" i="3" s="1"/>
  <c r="H38" i="3" s="1"/>
  <c r="B87" i="3"/>
  <c r="B83" i="3"/>
  <c r="B77" i="3"/>
  <c r="B76" i="3"/>
  <c r="B75" i="3"/>
  <c r="B74" i="3"/>
  <c r="B73" i="3"/>
  <c r="B71" i="3"/>
  <c r="B69" i="3"/>
  <c r="B64" i="3"/>
  <c r="B63" i="3"/>
  <c r="B62" i="3"/>
  <c r="B61" i="3"/>
  <c r="B60" i="3"/>
  <c r="B58" i="3"/>
  <c r="B57" i="3"/>
  <c r="B50" i="3"/>
  <c r="B51" i="3" s="1"/>
  <c r="B45" i="3"/>
  <c r="I38" i="2"/>
  <c r="I39" i="2"/>
  <c r="I40" i="2"/>
  <c r="J40" i="2" s="1"/>
  <c r="I41" i="2"/>
  <c r="J41" i="2" s="1"/>
  <c r="I37" i="2"/>
  <c r="I36" i="2"/>
  <c r="I42" i="2" s="1"/>
  <c r="G39" i="2"/>
  <c r="F41" i="2"/>
  <c r="E41" i="2"/>
  <c r="D41" i="2"/>
  <c r="F40" i="2"/>
  <c r="E40" i="2"/>
  <c r="D40" i="2"/>
  <c r="J39" i="2"/>
  <c r="F39" i="2"/>
  <c r="E39" i="2"/>
  <c r="D39" i="2"/>
  <c r="J38" i="2"/>
  <c r="F38" i="2"/>
  <c r="E38" i="2"/>
  <c r="D38" i="2"/>
  <c r="J37" i="2"/>
  <c r="F37" i="2"/>
  <c r="E37" i="2"/>
  <c r="D37" i="2"/>
  <c r="F36" i="2"/>
  <c r="E36" i="2"/>
  <c r="D36" i="2"/>
  <c r="D42" i="2" s="1"/>
  <c r="B87" i="2"/>
  <c r="B83" i="2"/>
  <c r="B77" i="2"/>
  <c r="B76" i="2"/>
  <c r="B75" i="2"/>
  <c r="B74" i="2"/>
  <c r="B73" i="2"/>
  <c r="B71" i="2"/>
  <c r="B69" i="2"/>
  <c r="B64" i="2"/>
  <c r="B63" i="2"/>
  <c r="B62" i="2"/>
  <c r="B61" i="2"/>
  <c r="B60" i="2"/>
  <c r="B58" i="2"/>
  <c r="B57" i="2"/>
  <c r="G40" i="2"/>
  <c r="H40" i="2" s="1"/>
  <c r="B50" i="2"/>
  <c r="B51" i="2" s="1"/>
  <c r="B45" i="2"/>
  <c r="F42" i="2"/>
  <c r="E42" i="2"/>
  <c r="C42" i="2"/>
  <c r="B42" i="2"/>
  <c r="B87" i="1"/>
  <c r="B83" i="1"/>
  <c r="B77" i="1"/>
  <c r="B76" i="1"/>
  <c r="B75" i="1"/>
  <c r="B74" i="1"/>
  <c r="B73" i="1"/>
  <c r="B71" i="1"/>
  <c r="B69" i="1"/>
  <c r="I41" i="1"/>
  <c r="J41" i="1" s="1"/>
  <c r="I37" i="1"/>
  <c r="J37" i="1" s="1"/>
  <c r="I36" i="1"/>
  <c r="J36" i="1" s="1"/>
  <c r="B64" i="1"/>
  <c r="B63" i="1"/>
  <c r="B62" i="1"/>
  <c r="B61" i="1"/>
  <c r="B60" i="1"/>
  <c r="B57" i="1"/>
  <c r="B50" i="1"/>
  <c r="B51" i="1" s="1"/>
  <c r="F38" i="1"/>
  <c r="F39" i="1"/>
  <c r="F40" i="1"/>
  <c r="F41" i="1"/>
  <c r="F37" i="1"/>
  <c r="F42" i="1" s="1"/>
  <c r="F36" i="1"/>
  <c r="E38" i="1"/>
  <c r="E39" i="1"/>
  <c r="E40" i="1"/>
  <c r="E41" i="1"/>
  <c r="E37" i="1"/>
  <c r="E36" i="1"/>
  <c r="E42" i="1" s="1"/>
  <c r="B47" i="1" s="1"/>
  <c r="D38" i="1"/>
  <c r="D39" i="1"/>
  <c r="D40" i="1"/>
  <c r="D41" i="1"/>
  <c r="D37" i="1"/>
  <c r="D36" i="1"/>
  <c r="D42" i="1" s="1"/>
  <c r="C42" i="1"/>
  <c r="B42" i="1"/>
  <c r="B45" i="1"/>
  <c r="B67" i="1" s="1"/>
  <c r="I38" i="1" s="1"/>
  <c r="J38" i="1" s="1"/>
  <c r="G40" i="3" l="1"/>
  <c r="H40" i="3" s="1"/>
  <c r="G39" i="3"/>
  <c r="H39" i="3" s="1"/>
  <c r="H42" i="3"/>
  <c r="B56" i="3" s="1"/>
  <c r="J42" i="3"/>
  <c r="I42" i="3"/>
  <c r="B80" i="3"/>
  <c r="B81" i="3"/>
  <c r="B48" i="3"/>
  <c r="B67" i="3"/>
  <c r="B46" i="3"/>
  <c r="B68" i="3"/>
  <c r="B47" i="3"/>
  <c r="G37" i="1"/>
  <c r="H37" i="1" s="1"/>
  <c r="G40" i="1"/>
  <c r="H40" i="1" s="1"/>
  <c r="G38" i="1"/>
  <c r="H38" i="1" s="1"/>
  <c r="G38" i="2"/>
  <c r="H38" i="2" s="1"/>
  <c r="B80" i="2"/>
  <c r="I40" i="1"/>
  <c r="J40" i="1" s="1"/>
  <c r="B80" i="1"/>
  <c r="I39" i="1"/>
  <c r="J39" i="1" s="1"/>
  <c r="J42" i="1" s="1"/>
  <c r="B68" i="1" s="1"/>
  <c r="B81" i="2"/>
  <c r="B46" i="1"/>
  <c r="B48" i="1"/>
  <c r="B49" i="1" s="1"/>
  <c r="G36" i="2"/>
  <c r="H36" i="2" s="1"/>
  <c r="G37" i="2"/>
  <c r="H37" i="2" s="1"/>
  <c r="G36" i="1"/>
  <c r="H36" i="1" s="1"/>
  <c r="G41" i="2"/>
  <c r="H41" i="2" s="1"/>
  <c r="G41" i="1"/>
  <c r="H41" i="1" s="1"/>
  <c r="H39" i="2"/>
  <c r="B47" i="2"/>
  <c r="J36" i="2"/>
  <c r="J42" i="2" s="1"/>
  <c r="B68" i="2" s="1"/>
  <c r="B67" i="2"/>
  <c r="B48" i="2"/>
  <c r="B46" i="2"/>
  <c r="B49" i="2" s="1"/>
  <c r="G39" i="1"/>
  <c r="H39" i="1" s="1"/>
  <c r="B81" i="1"/>
  <c r="G42" i="3" l="1"/>
  <c r="B82" i="2"/>
  <c r="B86" i="2" s="1"/>
  <c r="B82" i="3"/>
  <c r="B86" i="3" s="1"/>
  <c r="B49" i="3"/>
  <c r="B82" i="1"/>
  <c r="B86" i="1" s="1"/>
  <c r="I42" i="1"/>
  <c r="H42" i="2"/>
  <c r="B56" i="2" s="1"/>
  <c r="G42" i="2"/>
  <c r="H42" i="1"/>
  <c r="B56" i="1" s="1"/>
  <c r="G42" i="1"/>
  <c r="B33" i="1" l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C33" i="1"/>
  <c r="D33" i="1"/>
  <c r="E33" i="1"/>
  <c r="F33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2" i="1"/>
  <c r="C22" i="1"/>
  <c r="D22" i="1"/>
  <c r="E22" i="1"/>
  <c r="F22" i="1"/>
  <c r="F21" i="1"/>
  <c r="E21" i="1"/>
  <c r="D21" i="1"/>
  <c r="C21" i="1"/>
  <c r="B21" i="1"/>
  <c r="F20" i="1"/>
  <c r="E20" i="1"/>
  <c r="D20" i="1"/>
  <c r="C20" i="1"/>
  <c r="B20" i="1"/>
</calcChain>
</file>

<file path=xl/sharedStrings.xml><?xml version="1.0" encoding="utf-8"?>
<sst xmlns="http://schemas.openxmlformats.org/spreadsheetml/2006/main" count="445" uniqueCount="123">
  <si>
    <t>Algeria</t>
  </si>
  <si>
    <t>Argentina</t>
  </si>
  <si>
    <t>Australia</t>
  </si>
  <si>
    <t>Bangladesh</t>
  </si>
  <si>
    <t>Belgium</t>
  </si>
  <si>
    <t>Benin</t>
  </si>
  <si>
    <t>GDP</t>
  </si>
  <si>
    <t>Life Expectancy</t>
  </si>
  <si>
    <t>1960-1969</t>
  </si>
  <si>
    <t>1970-1979</t>
  </si>
  <si>
    <t>1980-1989</t>
  </si>
  <si>
    <t>1990-1999</t>
  </si>
  <si>
    <t>2000-2009</t>
  </si>
  <si>
    <t>n</t>
  </si>
  <si>
    <t>Numerator</t>
  </si>
  <si>
    <t>Deniminator1</t>
  </si>
  <si>
    <t>Denominator2</t>
  </si>
  <si>
    <t xml:space="preserve">Correlation (r ) </t>
  </si>
  <si>
    <t>Excel  to 3 sf</t>
  </si>
  <si>
    <t>Coefficient of determination</t>
  </si>
  <si>
    <t>Mean (USD)</t>
  </si>
  <si>
    <t xml:space="preserve">Standard Deviation </t>
  </si>
  <si>
    <t>Excel calculation</t>
  </si>
  <si>
    <t>Median</t>
  </si>
  <si>
    <t>Interquartile data</t>
  </si>
  <si>
    <t>Min</t>
  </si>
  <si>
    <t>1st Interquartile</t>
  </si>
  <si>
    <t>2nd interquartile</t>
  </si>
  <si>
    <t>3rd Interquartile</t>
  </si>
  <si>
    <t>Max</t>
  </si>
  <si>
    <t>Mode</t>
  </si>
  <si>
    <t>Slope</t>
  </si>
  <si>
    <t>Denominator</t>
  </si>
  <si>
    <t>Slope (manual)</t>
  </si>
  <si>
    <t>Slope (Excel)</t>
  </si>
  <si>
    <t>Intercept</t>
  </si>
  <si>
    <t>Intercept (manual)</t>
  </si>
  <si>
    <t>Intercept (Excel)</t>
  </si>
  <si>
    <t>SUM</t>
  </si>
  <si>
    <t>GDP (x)</t>
  </si>
  <si>
    <t>L.E. (y)</t>
  </si>
  <si>
    <t>x*y</t>
  </si>
  <si>
    <t>x^2</t>
  </si>
  <si>
    <t>y^2</t>
  </si>
  <si>
    <t>x - mean x</t>
  </si>
  <si>
    <t>(x - mean x) ^2</t>
  </si>
  <si>
    <t>y - mean y</t>
  </si>
  <si>
    <t>(y - mean y) ^2</t>
  </si>
  <si>
    <t>Mean</t>
  </si>
  <si>
    <t>Mean Years</t>
  </si>
  <si>
    <t>Line of Best Fit</t>
  </si>
  <si>
    <t>Standard Deviation, Life Exp.</t>
  </si>
  <si>
    <t>GDP (USD) (x)</t>
  </si>
  <si>
    <t>Standard Deviations</t>
  </si>
  <si>
    <t>Correlation</t>
  </si>
  <si>
    <t>Standard Deviation, GDP</t>
  </si>
  <si>
    <t>Excel to 3 sf</t>
  </si>
  <si>
    <t>Belarus</t>
  </si>
  <si>
    <t>Belize</t>
  </si>
  <si>
    <t>Bhutan</t>
  </si>
  <si>
    <t>Bolivia</t>
  </si>
  <si>
    <t>Bosnia and Herzegovina</t>
  </si>
  <si>
    <t>Botswana</t>
  </si>
  <si>
    <t>Brazil</t>
  </si>
  <si>
    <t>Brunei</t>
  </si>
  <si>
    <t>Country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</si>
  <si>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</si>
  <si>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</si>
  <si>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</si>
  <si>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</si>
  <si>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</si>
  <si>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</si>
  <si>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</si>
  <si>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</si>
  <si>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</si>
  <si>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</si>
  <si>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</si>
  <si>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</si>
  <si>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</si>
  <si>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</si>
  <si>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</si>
  <si>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</si>
  <si>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</si>
  <si>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</si>
  <si>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</si>
  <si>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</si>
  <si>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</si>
  <si>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</si>
  <si>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</si>
  <si>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</si>
  <si>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</si>
  <si>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</si>
  <si>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</si>
  <si>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</si>
  <si>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</si>
  <si>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Mean (Years)</t>
  </si>
  <si>
    <t>Life Expectancy (y)</t>
  </si>
  <si>
    <t>(y - mean y)^2</t>
  </si>
  <si>
    <t>GDP Bands</t>
  </si>
  <si>
    <t>GDP Frequencies</t>
  </si>
  <si>
    <t>Life Exp. Bands</t>
  </si>
  <si>
    <t>Life Exp. Frequencies</t>
  </si>
  <si>
    <t>0 - 4999</t>
  </si>
  <si>
    <t>5000 - 9999</t>
  </si>
  <si>
    <t>10000 - 14999</t>
  </si>
  <si>
    <t>15000 - 19999</t>
  </si>
  <si>
    <t>20000 - 24999</t>
  </si>
  <si>
    <t>25000 - 29999</t>
  </si>
  <si>
    <t>30000 - 34999</t>
  </si>
  <si>
    <t>35000 - 39999</t>
  </si>
  <si>
    <t>45.0 - 49.9</t>
  </si>
  <si>
    <t>50.0 - 54.9</t>
  </si>
  <si>
    <t>55.0 - 59.9</t>
  </si>
  <si>
    <t>60.0 - 64.9</t>
  </si>
  <si>
    <t>65.0 - 69.9</t>
  </si>
  <si>
    <t>70.0 - 74.9</t>
  </si>
  <si>
    <t>75.0 - 79.9</t>
  </si>
  <si>
    <t>80.0 - 84.9</t>
  </si>
  <si>
    <t>a</t>
  </si>
  <si>
    <t>Mean GDP</t>
  </si>
  <si>
    <t>Mean LE</t>
  </si>
  <si>
    <t>LoBF Slope</t>
  </si>
  <si>
    <t>LoBF 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</si>
</sst>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0"/>
    <numFmt numFmtId="166" formatCode="0.000000"/>
    <numFmt numFmtId="167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dashDotDot">
        <color auto="1"/>
      </bottom>
      <diagonal/>
    </border>
    <border>
      <left/>
      <right/>
      <top style="thin">
        <color auto="1"/>
      </top>
      <bottom style="dashDotDot">
        <color auto="1"/>
      </bottom>
      <diagonal/>
    </border>
    <border>
      <left style="thin">
        <color auto="1"/>
      </left>
      <right/>
      <top style="dashDotDot">
        <color auto="1"/>
      </top>
      <bottom style="dashDotDot">
        <color auto="1"/>
      </bottom>
      <diagonal/>
    </border>
    <border>
      <left/>
      <right/>
      <top style="dashDotDot">
        <color auto="1"/>
      </top>
      <bottom style="dashDotDot">
        <color auto="1"/>
      </bottom>
      <diagonal/>
    </border>
    <border>
      <left/>
      <right style="thin">
        <color auto="1"/>
      </right>
      <top style="dashDotDot">
        <color auto="1"/>
      </top>
      <bottom style="dashDotDot">
        <color auto="1"/>
      </bottom>
      <diagonal/>
    </border>
    <border>
      <left style="thin">
        <color auto="1"/>
      </left>
      <right/>
      <top style="dashDotDot">
        <color auto="1"/>
      </top>
      <bottom style="thin">
        <color auto="1"/>
      </bottom>
      <diagonal/>
    </border>
    <border>
      <left/>
      <right/>
      <top style="dashDotDot">
        <color auto="1"/>
      </top>
      <bottom style="thin">
        <color auto="1"/>
      </bottom>
      <diagonal/>
    </border>
    <border>
      <left/>
      <right style="thin">
        <color auto="1"/>
      </right>
      <top style="dashDotDot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ashDotDot">
        <color auto="1"/>
      </bottom>
      <diagonal/>
    </border>
    <border>
      <left/>
      <right style="medium">
        <color auto="1"/>
      </right>
      <top style="thin">
        <color auto="1"/>
      </top>
      <bottom style="dashDotDot">
        <color auto="1"/>
      </bottom>
      <diagonal/>
    </border>
    <border>
      <left style="medium">
        <color auto="1"/>
      </left>
      <right/>
      <top style="dashDotDot">
        <color auto="1"/>
      </top>
      <bottom style="dashDotDot">
        <color auto="1"/>
      </bottom>
      <diagonal/>
    </border>
    <border>
      <left/>
      <right style="medium">
        <color auto="1"/>
      </right>
      <top style="dashDotDot">
        <color auto="1"/>
      </top>
      <bottom style="dashDotDot">
        <color auto="1"/>
      </bottom>
      <diagonal/>
    </border>
    <border>
      <left style="medium">
        <color auto="1"/>
      </left>
      <right/>
      <top style="dashDotDot">
        <color auto="1"/>
      </top>
      <bottom style="thin">
        <color auto="1"/>
      </bottom>
      <diagonal/>
    </border>
    <border>
      <left/>
      <right style="medium">
        <color auto="1"/>
      </right>
      <top style="dashDotDot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4" fillId="0" borderId="0"/>
  </cellStyleXfs>
  <cellXfs count="109">
    <xf numFmtId="0" fontId="0" fillId="0" borderId="0" xfId="0"/>
    <xf numFmtId="0" fontId="1" fillId="0" borderId="0" xfId="0" applyFont="1"/>
    <xf numFmtId="0" fontId="4" fillId="0" borderId="0" xfId="2" applyFont="1" applyAlignment="1">
      <alignment wrapText="1"/>
    </xf>
    <xf numFmtId="0" fontId="4" fillId="0" borderId="0" xfId="2" applyFont="1" applyAlignment="1">
      <alignment wrapText="1"/>
    </xf>
    <xf numFmtId="0" fontId="4" fillId="0" borderId="0" xfId="2" applyFont="1" applyAlignment="1">
      <alignment wrapText="1"/>
    </xf>
    <xf numFmtId="0" fontId="4" fillId="0" borderId="0" xfId="2" applyFont="1" applyAlignment="1">
      <alignment wrapText="1"/>
    </xf>
    <xf numFmtId="0" fontId="4" fillId="0" borderId="0" xfId="2" applyFont="1" applyAlignment="1">
      <alignment wrapText="1"/>
    </xf>
    <xf numFmtId="0" fontId="4" fillId="0" borderId="0" xfId="2" applyFont="1" applyAlignment="1">
      <alignment wrapText="1"/>
    </xf>
    <xf numFmtId="0" fontId="3" fillId="0" borderId="0" xfId="2" applyFont="1" applyFill="1" applyAlignment="1">
      <alignment wrapText="1"/>
    </xf>
    <xf numFmtId="0" fontId="2" fillId="0" borderId="0" xfId="1" applyFont="1"/>
    <xf numFmtId="0" fontId="2" fillId="0" borderId="0" xfId="1" applyFont="1" applyAlignment="1">
      <alignment horizontal="center"/>
    </xf>
    <xf numFmtId="0" fontId="2" fillId="0" borderId="0" xfId="1" applyFont="1"/>
    <xf numFmtId="0" fontId="2" fillId="0" borderId="0" xfId="1" applyFont="1" applyAlignment="1">
      <alignment horizontal="center"/>
    </xf>
    <xf numFmtId="0" fontId="2" fillId="0" borderId="0" xfId="1" applyFont="1"/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4" fillId="0" borderId="0" xfId="1" applyFont="1"/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0" fillId="0" borderId="0" xfId="0"/>
    <xf numFmtId="0" fontId="4" fillId="0" borderId="0" xfId="3" applyFont="1" applyAlignment="1">
      <alignment horizontal="center"/>
    </xf>
    <xf numFmtId="2" fontId="0" fillId="0" borderId="1" xfId="0" applyNumberFormat="1" applyBorder="1"/>
    <xf numFmtId="2" fontId="2" fillId="0" borderId="1" xfId="1" applyNumberFormat="1" applyFont="1" applyBorder="1" applyAlignment="1">
      <alignment horizontal="center"/>
    </xf>
    <xf numFmtId="2" fontId="4" fillId="0" borderId="1" xfId="3" applyNumberFormat="1" applyFont="1" applyBorder="1" applyAlignment="1">
      <alignment horizontal="center"/>
    </xf>
    <xf numFmtId="1" fontId="1" fillId="0" borderId="1" xfId="0" applyNumberFormat="1" applyFont="1" applyBorder="1"/>
    <xf numFmtId="166" fontId="4" fillId="0" borderId="1" xfId="2" applyNumberFormat="1" applyFont="1" applyBorder="1" applyAlignment="1">
      <alignment wrapText="1"/>
    </xf>
    <xf numFmtId="0" fontId="4" fillId="0" borderId="0" xfId="1" applyFont="1" applyFill="1" applyBorder="1"/>
    <xf numFmtId="0" fontId="5" fillId="0" borderId="2" xfId="2" applyFont="1" applyBorder="1" applyAlignment="1">
      <alignment wrapText="1"/>
    </xf>
    <xf numFmtId="1" fontId="4" fillId="0" borderId="3" xfId="2" applyNumberFormat="1" applyFont="1" applyBorder="1" applyAlignment="1">
      <alignment wrapText="1"/>
    </xf>
    <xf numFmtId="0" fontId="4" fillId="0" borderId="4" xfId="2" applyFont="1" applyBorder="1" applyAlignment="1">
      <alignment wrapText="1"/>
    </xf>
    <xf numFmtId="1" fontId="4" fillId="2" borderId="5" xfId="2" applyNumberFormat="1" applyFont="1" applyFill="1" applyBorder="1" applyAlignment="1">
      <alignment wrapText="1"/>
    </xf>
    <xf numFmtId="1" fontId="4" fillId="0" borderId="5" xfId="2" applyNumberFormat="1" applyFont="1" applyBorder="1" applyAlignment="1">
      <alignment wrapText="1"/>
    </xf>
    <xf numFmtId="164" fontId="4" fillId="0" borderId="5" xfId="2" applyNumberFormat="1" applyFont="1" applyBorder="1" applyAlignment="1">
      <alignment wrapText="1"/>
    </xf>
    <xf numFmtId="0" fontId="4" fillId="0" borderId="5" xfId="2" applyFont="1" applyBorder="1" applyAlignment="1">
      <alignment wrapText="1"/>
    </xf>
    <xf numFmtId="0" fontId="5" fillId="0" borderId="4" xfId="2" applyFont="1" applyBorder="1" applyAlignment="1">
      <alignment wrapText="1"/>
    </xf>
    <xf numFmtId="0" fontId="3" fillId="0" borderId="4" xfId="2" applyFont="1" applyBorder="1" applyAlignment="1">
      <alignment wrapText="1"/>
    </xf>
    <xf numFmtId="165" fontId="4" fillId="3" borderId="5" xfId="2" applyNumberFormat="1" applyFont="1" applyFill="1" applyBorder="1" applyAlignment="1">
      <alignment wrapText="1"/>
    </xf>
    <xf numFmtId="1" fontId="4" fillId="3" borderId="5" xfId="2" applyNumberFormat="1" applyFont="1" applyFill="1" applyBorder="1" applyAlignment="1">
      <alignment wrapText="1"/>
    </xf>
    <xf numFmtId="0" fontId="4" fillId="0" borderId="6" xfId="2" applyFont="1" applyBorder="1" applyAlignment="1">
      <alignment wrapText="1"/>
    </xf>
    <xf numFmtId="0" fontId="4" fillId="0" borderId="0" xfId="2" applyFont="1" applyAlignment="1">
      <alignment wrapText="1"/>
    </xf>
    <xf numFmtId="1" fontId="4" fillId="0" borderId="0" xfId="2" applyNumberFormat="1" applyFont="1" applyAlignment="1">
      <alignment wrapText="1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4" fillId="0" borderId="0" xfId="2" applyFont="1" applyAlignment="1">
      <alignment wrapText="1"/>
    </xf>
    <xf numFmtId="1" fontId="4" fillId="0" borderId="0" xfId="2" applyNumberFormat="1" applyFont="1" applyAlignment="1">
      <alignment wrapText="1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4" fillId="0" borderId="0" xfId="2" applyFont="1" applyAlignment="1">
      <alignment wrapText="1"/>
    </xf>
    <xf numFmtId="1" fontId="4" fillId="0" borderId="0" xfId="2" applyNumberFormat="1" applyFont="1" applyAlignment="1">
      <alignment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2" applyFont="1" applyAlignment="1">
      <alignment wrapText="1"/>
    </xf>
    <xf numFmtId="167" fontId="4" fillId="0" borderId="0" xfId="2" applyNumberFormat="1" applyFont="1" applyAlignment="1">
      <alignment wrapText="1"/>
    </xf>
    <xf numFmtId="2" fontId="4" fillId="0" borderId="0" xfId="2" applyNumberFormat="1" applyFont="1" applyAlignment="1">
      <alignment wrapText="1"/>
    </xf>
    <xf numFmtId="1" fontId="4" fillId="0" borderId="0" xfId="2" applyNumberFormat="1" applyFont="1" applyAlignment="1">
      <alignment wrapText="1"/>
    </xf>
    <xf numFmtId="0" fontId="4" fillId="0" borderId="0" xfId="2" applyFont="1" applyBorder="1" applyAlignment="1">
      <alignment wrapText="1"/>
    </xf>
    <xf numFmtId="1" fontId="4" fillId="0" borderId="0" xfId="2" applyNumberFormat="1" applyFont="1" applyBorder="1" applyAlignment="1">
      <alignment wrapText="1"/>
    </xf>
    <xf numFmtId="1" fontId="4" fillId="3" borderId="7" xfId="2" applyNumberFormat="1" applyFont="1" applyFill="1" applyBorder="1" applyAlignment="1">
      <alignment wrapText="1"/>
    </xf>
    <xf numFmtId="0" fontId="6" fillId="0" borderId="4" xfId="2" applyFont="1" applyBorder="1" applyAlignment="1">
      <alignment wrapText="1"/>
    </xf>
    <xf numFmtId="0" fontId="3" fillId="0" borderId="8" xfId="2" applyFont="1" applyBorder="1" applyAlignment="1">
      <alignment wrapText="1"/>
    </xf>
    <xf numFmtId="1" fontId="2" fillId="0" borderId="8" xfId="2" applyNumberFormat="1" applyFont="1" applyBorder="1" applyAlignment="1">
      <alignment wrapText="1"/>
    </xf>
    <xf numFmtId="0" fontId="2" fillId="0" borderId="8" xfId="3" applyFont="1" applyBorder="1" applyAlignment="1">
      <alignment horizontal="center"/>
    </xf>
    <xf numFmtId="1" fontId="2" fillId="0" borderId="8" xfId="3" applyNumberFormat="1" applyFont="1" applyBorder="1" applyAlignment="1">
      <alignment horizontal="center"/>
    </xf>
    <xf numFmtId="167" fontId="2" fillId="0" borderId="8" xfId="3" applyNumberFormat="1" applyFont="1" applyBorder="1" applyAlignment="1">
      <alignment horizontal="center"/>
    </xf>
    <xf numFmtId="0" fontId="0" fillId="0" borderId="8" xfId="0" applyBorder="1"/>
    <xf numFmtId="0" fontId="2" fillId="0" borderId="0" xfId="1" applyFont="1" applyFill="1" applyBorder="1"/>
    <xf numFmtId="0" fontId="0" fillId="0" borderId="1" xfId="0" applyBorder="1"/>
    <xf numFmtId="0" fontId="1" fillId="0" borderId="8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7" fillId="0" borderId="0" xfId="1" applyFont="1" applyFill="1" applyBorder="1"/>
    <xf numFmtId="0" fontId="0" fillId="0" borderId="0" xfId="0" applyFont="1"/>
    <xf numFmtId="0" fontId="0" fillId="0" borderId="8" xfId="0" applyFont="1" applyBorder="1"/>
    <xf numFmtId="0" fontId="8" fillId="0" borderId="2" xfId="2" applyFont="1" applyBorder="1" applyAlignment="1">
      <alignment wrapText="1"/>
    </xf>
    <xf numFmtId="1" fontId="7" fillId="0" borderId="3" xfId="2" applyNumberFormat="1" applyFont="1" applyBorder="1" applyAlignment="1">
      <alignment wrapText="1"/>
    </xf>
    <xf numFmtId="0" fontId="7" fillId="0" borderId="4" xfId="2" applyFont="1" applyBorder="1" applyAlignment="1">
      <alignment wrapText="1"/>
    </xf>
    <xf numFmtId="1" fontId="7" fillId="2" borderId="5" xfId="2" applyNumberFormat="1" applyFont="1" applyFill="1" applyBorder="1" applyAlignment="1">
      <alignment wrapText="1"/>
    </xf>
    <xf numFmtId="1" fontId="7" fillId="0" borderId="5" xfId="2" applyNumberFormat="1" applyFont="1" applyBorder="1" applyAlignment="1">
      <alignment wrapText="1"/>
    </xf>
    <xf numFmtId="164" fontId="7" fillId="0" borderId="5" xfId="2" applyNumberFormat="1" applyFont="1" applyBorder="1" applyAlignment="1">
      <alignment wrapText="1"/>
    </xf>
    <xf numFmtId="0" fontId="7" fillId="0" borderId="5" xfId="2" applyFont="1" applyBorder="1" applyAlignment="1">
      <alignment wrapText="1"/>
    </xf>
    <xf numFmtId="0" fontId="8" fillId="0" borderId="4" xfId="2" applyFont="1" applyBorder="1" applyAlignment="1">
      <alignment wrapText="1"/>
    </xf>
    <xf numFmtId="0" fontId="9" fillId="0" borderId="4" xfId="2" applyFont="1" applyBorder="1" applyAlignment="1">
      <alignment wrapText="1"/>
    </xf>
    <xf numFmtId="165" fontId="7" fillId="3" borderId="5" xfId="2" applyNumberFormat="1" applyFont="1" applyFill="1" applyBorder="1" applyAlignment="1">
      <alignment wrapText="1"/>
    </xf>
    <xf numFmtId="1" fontId="7" fillId="3" borderId="5" xfId="2" applyNumberFormat="1" applyFont="1" applyFill="1" applyBorder="1" applyAlignment="1">
      <alignment wrapText="1"/>
    </xf>
    <xf numFmtId="0" fontId="7" fillId="0" borderId="9" xfId="2" applyFont="1" applyBorder="1" applyAlignment="1">
      <alignment wrapText="1"/>
    </xf>
    <xf numFmtId="1" fontId="7" fillId="3" borderId="10" xfId="2" applyNumberFormat="1" applyFont="1" applyFill="1" applyBorder="1" applyAlignment="1">
      <alignment wrapText="1"/>
    </xf>
  </cellXfs>
  <cellStyles count="4">
    <cellStyle name="Normal" xfId="0" builtinId="0"/>
    <cellStyle name="Normal 2" xfId="1"/>
    <cellStyle name="Normal 2 2" xfId="3"/>
    <cellStyle name="Normal 3" xfId="2"/>
  </cellStyles>
  <dxfs count="42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Life</a:t>
            </a:r>
            <a:r>
              <a:rPr lang="en-GB" baseline="0"/>
              <a:t> Expectancy Vs. GDP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642361629023692E-2"/>
          <c:y val="9.0973755212165816E-2"/>
          <c:w val="0.880135970042628"/>
          <c:h val="0.8001145276266514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BF50688-18BB-4ECF-9724-75D2BA04A86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BF98-43F1-8149-B3A0B129EE6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8678D98-7D34-4E39-8C6D-6957FD417F3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F98-43F1-8149-B3A0B129EE6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B3357E-8AB4-413F-860D-FC72E6A8F5A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F98-43F1-8149-B3A0B129EE6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76B4539-6BEA-414C-956D-16D489845B9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F98-43F1-8149-B3A0B129EE6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F98-43F1-8149-B3A0B129EE6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765D991-5195-4E3C-A5CA-DCC0CD024A6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F98-43F1-8149-B3A0B129EE6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C7C651D-E262-459F-A503-E0011FB7983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F98-43F1-8149-B3A0B129EE6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D98B4B3-8671-482B-909B-23DA6A1D126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F98-43F1-8149-B3A0B129EE6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6B113E1-47D6-4A65-B2DE-39988359D37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F98-43F1-8149-B3A0B129EE6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E50D4EF-259E-4D68-A80F-D128A129860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F98-43F1-8149-B3A0B129EE6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0D71A66-F467-47BF-8996-542F46952A1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F98-43F1-8149-B3A0B129EE6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4E52901-E157-4875-9B64-5B64D19C899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F98-43F1-8149-B3A0B129EE6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85B0AFA-CD6A-42E2-AF16-8CF473F0E33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F98-43F1-8149-B3A0B129EE6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CF0A945-E895-4FB2-A6F0-DA0180CF00F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F98-43F1-8149-B3A0B129EE6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35BBF4E-6673-4488-A86D-4728ED8EE3A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F98-43F1-8149-B3A0B129EE6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58D1ED7-C661-4B23-88D4-30B44D874D6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F98-43F1-8149-B3A0B129EE6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EB044B3-D3B0-43DE-9E75-61A55F9EBEE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BF98-43F1-8149-B3A0B129EE6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B68104A-F0C1-4479-B55A-1F9843B7578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F98-43F1-8149-B3A0B129EE6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285DD23-485A-4EFC-A915-7BE22727942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F98-43F1-8149-B3A0B129EE6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E5E3826-61BD-4122-BBB1-A4D9A636FA4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BF98-43F1-8149-B3A0B129EE62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83782F30-6B76-41FC-A34E-DB878651E7E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BF98-43F1-8149-B3A0B129EE62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904ED95-361B-4868-8C55-BA912848156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BF98-43F1-8149-B3A0B129EE62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F14DF7FF-D4A0-45DA-860B-1CD8D6AB23D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BF98-43F1-8149-B3A0B129EE62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63451AB-AC32-4DAD-8414-719703D3EB8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F98-43F1-8149-B3A0B129EE62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9E375AA3-D482-4944-ACAB-6DBF41ED481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BF98-43F1-8149-B3A0B129EE62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555A0A77-03A2-4FEC-9079-B65780B71E8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BF98-43F1-8149-B3A0B129EE62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B76B6236-D693-427D-A949-F1E580D827B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F98-43F1-8149-B3A0B129EE62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4E03A2EE-F53F-4C6E-BE04-8CD6C21EF50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BF98-43F1-8149-B3A0B129EE62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9F2007D5-564B-4FAF-8BFF-9686CA460DE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BF98-43F1-8149-B3A0B129EE62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1ECBB1E0-E4A6-44B2-B5D2-561B0A54897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BF98-43F1-8149-B3A0B129EE62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DC314776-ED0B-452F-B3B4-0BE4A352D28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BF98-43F1-8149-B3A0B129EE62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17AE6426-72A1-4470-B081-5C87A05FEC8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BF98-43F1-8149-B3A0B129EE62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B71C4F24-AA6C-4149-9873-8863A5C21EB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BF98-43F1-8149-B3A0B129EE62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92FB12B3-0F01-437C-B35A-7186A615969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BF98-43F1-8149-B3A0B129EE62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89DEB77B-BADA-4B5C-9AFF-5C1233DA94A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BF98-43F1-8149-B3A0B129EE62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A781BBBE-97D9-4323-905C-BB4083E8810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BF98-43F1-8149-B3A0B129EE62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8E78100A-14A7-4E1B-9CB7-C1658FB1650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BF98-43F1-8149-B3A0B129EE62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EC0BDACC-48E3-414A-A4C5-7922938C978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BF98-43F1-8149-B3A0B129EE62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69D7A9C3-CFAE-46A2-AD66-D4912ECA29C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BF98-43F1-8149-B3A0B129EE62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1C6112DF-C9E3-4A7E-8B23-38231D4E998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BF98-43F1-8149-B3A0B129EE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'Part One'!$B$2:$B$41</c:f>
              <c:numCache>
                <c:formatCode>0</c:formatCode>
                <c:ptCount val="40"/>
                <c:pt idx="0">
                  <c:v>2890.3456748528101</c:v>
                </c:pt>
                <c:pt idx="1">
                  <c:v>24733.626956168398</c:v>
                </c:pt>
                <c:pt idx="2">
                  <c:v>3490.23406904286</c:v>
                </c:pt>
                <c:pt idx="3">
                  <c:v>378.05179150834198</c:v>
                </c:pt>
                <c:pt idx="5">
                  <c:v>1445.7600024411199</c:v>
                </c:pt>
                <c:pt idx="6">
                  <c:v>1276.1286143100101</c:v>
                </c:pt>
                <c:pt idx="7">
                  <c:v>2225.2901532399701</c:v>
                </c:pt>
                <c:pt idx="8">
                  <c:v>4377.5557411033697</c:v>
                </c:pt>
                <c:pt idx="9">
                  <c:v>4803.3982437576997</c:v>
                </c:pt>
                <c:pt idx="10">
                  <c:v>17301.3386873243</c:v>
                </c:pt>
                <c:pt idx="11">
                  <c:v>1976.6148298829301</c:v>
                </c:pt>
                <c:pt idx="12">
                  <c:v>2579.1156070208899</c:v>
                </c:pt>
                <c:pt idx="13">
                  <c:v>8875.1382120855305</c:v>
                </c:pt>
                <c:pt idx="14">
                  <c:v>154.809661243308</c:v>
                </c:pt>
                <c:pt idx="15">
                  <c:v>6525.5412718361304</c:v>
                </c:pt>
                <c:pt idx="16">
                  <c:v>229.67695250258399</c:v>
                </c:pt>
                <c:pt idx="17">
                  <c:v>2242.6892590816201</c:v>
                </c:pt>
                <c:pt idx="18">
                  <c:v>27570.4852043504</c:v>
                </c:pt>
                <c:pt idx="19">
                  <c:v>23016.847782827699</c:v>
                </c:pt>
                <c:pt idx="20">
                  <c:v>4333.8110368258103</c:v>
                </c:pt>
                <c:pt idx="21">
                  <c:v>614.91208678911403</c:v>
                </c:pt>
                <c:pt idx="22">
                  <c:v>1334.6467733299201</c:v>
                </c:pt>
                <c:pt idx="23">
                  <c:v>26206.548266275699</c:v>
                </c:pt>
                <c:pt idx="24">
                  <c:v>402.69532751150302</c:v>
                </c:pt>
                <c:pt idx="25">
                  <c:v>12509.0141479912</c:v>
                </c:pt>
                <c:pt idx="26">
                  <c:v>20751.8934243568</c:v>
                </c:pt>
                <c:pt idx="27">
                  <c:v>6047.2007971991898</c:v>
                </c:pt>
                <c:pt idx="28">
                  <c:v>1886.42362286652</c:v>
                </c:pt>
                <c:pt idx="29">
                  <c:v>394.11566378863102</c:v>
                </c:pt>
                <c:pt idx="30">
                  <c:v>166.346654875193</c:v>
                </c:pt>
                <c:pt idx="31">
                  <c:v>1210.56955849834</c:v>
                </c:pt>
                <c:pt idx="32">
                  <c:v>1813.54490814426</c:v>
                </c:pt>
                <c:pt idx="33">
                  <c:v>33630.246036845601</c:v>
                </c:pt>
                <c:pt idx="34">
                  <c:v>39170.413709038199</c:v>
                </c:pt>
                <c:pt idx="35">
                  <c:v>1525.80929335718</c:v>
                </c:pt>
                <c:pt idx="36">
                  <c:v>295.360130689014</c:v>
                </c:pt>
                <c:pt idx="37">
                  <c:v>473.88123646000003</c:v>
                </c:pt>
                <c:pt idx="38">
                  <c:v>2699.1232424985801</c:v>
                </c:pt>
                <c:pt idx="39">
                  <c:v>451.982598570427</c:v>
                </c:pt>
              </c:numCache>
            </c:numRef>
          </c:xVal>
          <c:yVal>
            <c:numRef>
              <c:f>'Part One'!$C$2:$C$41</c:f>
              <c:numCache>
                <c:formatCode>General</c:formatCode>
                <c:ptCount val="40"/>
                <c:pt idx="0">
                  <c:v>70.3</c:v>
                </c:pt>
                <c:pt idx="1">
                  <c:v>80.2</c:v>
                </c:pt>
                <c:pt idx="2">
                  <c:v>71.2</c:v>
                </c:pt>
                <c:pt idx="3">
                  <c:v>61.1</c:v>
                </c:pt>
                <c:pt idx="5">
                  <c:v>71.7</c:v>
                </c:pt>
                <c:pt idx="6">
                  <c:v>72.099999999999994</c:v>
                </c:pt>
                <c:pt idx="7">
                  <c:v>78.2</c:v>
                </c:pt>
                <c:pt idx="8">
                  <c:v>56.5</c:v>
                </c:pt>
                <c:pt idx="9">
                  <c:v>73.8</c:v>
                </c:pt>
                <c:pt idx="10">
                  <c:v>76.900000000000006</c:v>
                </c:pt>
                <c:pt idx="11">
                  <c:v>70.400000000000006</c:v>
                </c:pt>
                <c:pt idx="12">
                  <c:v>74.3</c:v>
                </c:pt>
                <c:pt idx="13">
                  <c:v>58.7</c:v>
                </c:pt>
                <c:pt idx="14">
                  <c:v>60.2</c:v>
                </c:pt>
                <c:pt idx="15">
                  <c:v>76.3</c:v>
                </c:pt>
                <c:pt idx="16">
                  <c:v>62.9</c:v>
                </c:pt>
                <c:pt idx="17">
                  <c:v>65.3</c:v>
                </c:pt>
                <c:pt idx="18">
                  <c:v>80.3</c:v>
                </c:pt>
                <c:pt idx="19">
                  <c:v>81.599999999999994</c:v>
                </c:pt>
                <c:pt idx="20">
                  <c:v>63.3</c:v>
                </c:pt>
                <c:pt idx="21">
                  <c:v>67.099999999999994</c:v>
                </c:pt>
                <c:pt idx="22">
                  <c:v>72.2</c:v>
                </c:pt>
                <c:pt idx="23">
                  <c:v>80.5</c:v>
                </c:pt>
                <c:pt idx="24">
                  <c:v>63.5</c:v>
                </c:pt>
                <c:pt idx="25">
                  <c:v>80.5</c:v>
                </c:pt>
                <c:pt idx="26">
                  <c:v>71.2</c:v>
                </c:pt>
                <c:pt idx="27">
                  <c:v>71</c:v>
                </c:pt>
                <c:pt idx="28">
                  <c:v>71.599999999999994</c:v>
                </c:pt>
                <c:pt idx="29">
                  <c:v>58.2</c:v>
                </c:pt>
                <c:pt idx="30">
                  <c:v>54.5</c:v>
                </c:pt>
                <c:pt idx="31">
                  <c:v>65.599999999999994</c:v>
                </c:pt>
                <c:pt idx="32">
                  <c:v>48</c:v>
                </c:pt>
                <c:pt idx="33">
                  <c:v>81.7</c:v>
                </c:pt>
                <c:pt idx="34">
                  <c:v>82.6</c:v>
                </c:pt>
                <c:pt idx="35">
                  <c:v>75.099999999999994</c:v>
                </c:pt>
                <c:pt idx="36">
                  <c:v>70.099999999999994</c:v>
                </c:pt>
                <c:pt idx="37">
                  <c:v>61.7</c:v>
                </c:pt>
                <c:pt idx="38">
                  <c:v>74.3</c:v>
                </c:pt>
                <c:pt idx="39">
                  <c:v>71.3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'Part One'!$A$2:$A$41</c15:f>
                <c15:dlblRangeCache>
                  <c:ptCount val="40"/>
                  <c:pt idx="0">
                    <c:v>Belarus</c:v>
                  </c:pt>
                  <c:pt idx="1">
                    <c:v>Belgium</c:v>
                  </c:pt>
                  <c:pt idx="2">
                    <c:v>Belize</c:v>
                  </c:pt>
                  <c:pt idx="3">
                    <c:v>Benin</c:v>
                  </c:pt>
                  <c:pt idx="5">
                    <c:v>Bhutan</c:v>
                  </c:pt>
                  <c:pt idx="6">
                    <c:v>Bolivia</c:v>
                  </c:pt>
                  <c:pt idx="7">
                    <c:v>Bosnia and Herzegovina</c:v>
                  </c:pt>
                  <c:pt idx="8">
                    <c:v>Botswana</c:v>
                  </c:pt>
                  <c:pt idx="9">
                    <c:v>Brazil</c:v>
                  </c:pt>
                  <c:pt idx="10">
                    <c:v>Brunei</c:v>
                  </c:pt>
                  <c:pt idx="11">
                    <c:v>Egypt</c:v>
                  </c:pt>
                  <c:pt idx="12">
                    <c:v>El Salvador</c:v>
                  </c:pt>
                  <c:pt idx="13">
                    <c:v>Equatorial Guinea</c:v>
                  </c:pt>
                  <c:pt idx="14">
                    <c:v>Eritrea</c:v>
                  </c:pt>
                  <c:pt idx="15">
                    <c:v>Estonia</c:v>
                  </c:pt>
                  <c:pt idx="16">
                    <c:v>Ethiopia</c:v>
                  </c:pt>
                  <c:pt idx="17">
                    <c:v>Fiji</c:v>
                  </c:pt>
                  <c:pt idx="18">
                    <c:v>Finland</c:v>
                  </c:pt>
                  <c:pt idx="19">
                    <c:v>France</c:v>
                  </c:pt>
                  <c:pt idx="20">
                    <c:v>Gabon</c:v>
                  </c:pt>
                  <c:pt idx="21">
                    <c:v>Gambia</c:v>
                  </c:pt>
                  <c:pt idx="22">
                    <c:v>Georgia</c:v>
                  </c:pt>
                  <c:pt idx="23">
                    <c:v>Germany</c:v>
                  </c:pt>
                  <c:pt idx="24">
                    <c:v>Ghana</c:v>
                  </c:pt>
                  <c:pt idx="25">
                    <c:v>Greece</c:v>
                  </c:pt>
                  <c:pt idx="26">
                    <c:v>Greenland</c:v>
                  </c:pt>
                  <c:pt idx="27">
                    <c:v>Grenada</c:v>
                  </c:pt>
                  <c:pt idx="28">
                    <c:v>Guatemala</c:v>
                  </c:pt>
                  <c:pt idx="29">
                    <c:v>Guinea</c:v>
                  </c:pt>
                  <c:pt idx="30">
                    <c:v>Guinea-Bissau</c:v>
                  </c:pt>
                  <c:pt idx="31">
                    <c:v>Guyana</c:v>
                  </c:pt>
                  <c:pt idx="32">
                    <c:v>Swaziland</c:v>
                  </c:pt>
                  <c:pt idx="33">
                    <c:v>Sweden</c:v>
                  </c:pt>
                  <c:pt idx="34">
                    <c:v>Switzerland</c:v>
                  </c:pt>
                  <c:pt idx="35">
                    <c:v>Syria</c:v>
                  </c:pt>
                  <c:pt idx="36">
                    <c:v>Tajikistan</c:v>
                  </c:pt>
                  <c:pt idx="37">
                    <c:v>Tanzania</c:v>
                  </c:pt>
                  <c:pt idx="38">
                    <c:v>Thailand</c:v>
                  </c:pt>
                  <c:pt idx="39">
                    <c:v>Timor-Leste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F98-43F1-8149-B3A0B129EE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40951824"/>
        <c:axId val="540952152"/>
      </c:scatterChart>
      <c:valAx>
        <c:axId val="54095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GDP</a:t>
                </a:r>
                <a:r>
                  <a:rPr lang="en-GB" baseline="0"/>
                  <a:t>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52152"/>
        <c:crosses val="autoZero"/>
        <c:crossBetween val="midCat"/>
      </c:valAx>
      <c:valAx>
        <c:axId val="54095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Life</a:t>
                </a:r>
                <a:r>
                  <a:rPr lang="en-GB" baseline="0"/>
                  <a:t> Expectancy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5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2000-2009</a:t>
            </a:r>
          </a:p>
        </c:rich>
      </c:tx>
      <c:layout>
        <c:manualLayout>
          <c:xMode val="edge"/>
          <c:yMode val="edge"/>
          <c:x val="0.46252298172873318"/>
          <c:y val="1.4297385620915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A0CCBFA-1484-493B-B8E9-DD7958B0E4A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E52-4083-A2AD-9AE5CD538DB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05E3EDF-CD61-44C4-829F-1CD8F27EC8E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E52-4083-A2AD-9AE5CD538DB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B3865BA-D9E7-49F8-9910-2B4B3EB4955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E52-4083-A2AD-9AE5CD538DB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869AAB1-6545-49E0-8B04-6FA960653AC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E52-4083-A2AD-9AE5CD538DB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493706A-3E43-42FF-A72B-581658353AB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E52-4083-A2AD-9AE5CD538DB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A65F2CF-551E-4C33-8D27-1835EAB5319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E52-4083-A2AD-9AE5CD538D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'2000-2009'!$B$36:$B$41</c:f>
              <c:numCache>
                <c:formatCode>General</c:formatCode>
                <c:ptCount val="6"/>
                <c:pt idx="0">
                  <c:v>2025.751</c:v>
                </c:pt>
                <c:pt idx="1">
                  <c:v>8191.5360000000001</c:v>
                </c:pt>
                <c:pt idx="2">
                  <c:v>23544.716</c:v>
                </c:pt>
                <c:pt idx="3">
                  <c:v>436.39400000000001</c:v>
                </c:pt>
                <c:pt idx="4">
                  <c:v>23820.874</c:v>
                </c:pt>
                <c:pt idx="5">
                  <c:v>360.59</c:v>
                </c:pt>
              </c:numCache>
            </c:numRef>
          </c:xVal>
          <c:yVal>
            <c:numRef>
              <c:f>'2000-2009'!$C$36:$C$41</c:f>
              <c:numCache>
                <c:formatCode>General</c:formatCode>
                <c:ptCount val="6"/>
                <c:pt idx="0">
                  <c:v>74.52</c:v>
                </c:pt>
                <c:pt idx="1">
                  <c:v>74.91</c:v>
                </c:pt>
                <c:pt idx="2">
                  <c:v>80.92</c:v>
                </c:pt>
                <c:pt idx="3">
                  <c:v>66.84</c:v>
                </c:pt>
                <c:pt idx="4">
                  <c:v>78.900000000000006</c:v>
                </c:pt>
                <c:pt idx="5">
                  <c:v>58.52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'2000-2009'!$A$36:$A$41</c15:f>
                <c15:dlblRangeCache>
                  <c:ptCount val="6"/>
                  <c:pt idx="0">
                    <c:v>Algeria</c:v>
                  </c:pt>
                  <c:pt idx="1">
                    <c:v>Argentina</c:v>
                  </c:pt>
                  <c:pt idx="2">
                    <c:v>Australia</c:v>
                  </c:pt>
                  <c:pt idx="3">
                    <c:v>Bangladesh</c:v>
                  </c:pt>
                  <c:pt idx="4">
                    <c:v>Belgium</c:v>
                  </c:pt>
                  <c:pt idx="5">
                    <c:v>Benin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E52-4083-A2AD-9AE5CD538DB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69980952"/>
        <c:axId val="569981280"/>
      </c:scatterChart>
      <c:valAx>
        <c:axId val="56998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GDP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81280"/>
        <c:crosses val="autoZero"/>
        <c:crossBetween val="midCat"/>
      </c:valAx>
      <c:valAx>
        <c:axId val="5699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Life</a:t>
                </a:r>
                <a:r>
                  <a:rPr lang="en-GB" baseline="0"/>
                  <a:t> Expectancy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80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Change</a:t>
            </a:r>
            <a:r>
              <a:rPr lang="en-GB" baseline="0"/>
              <a:t> of Correlation over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'Part Two Comparing'!$B$1:$F$1</c:f>
              <c:strCache>
                <c:ptCount val="5"/>
                <c:pt idx="0">
                  <c:v>1960-1969</c:v>
                </c:pt>
                <c:pt idx="1">
                  <c:v>1970-1979</c:v>
                </c:pt>
                <c:pt idx="2">
                  <c:v>1980-1989</c:v>
                </c:pt>
                <c:pt idx="3">
                  <c:v>1990-1999</c:v>
                </c:pt>
                <c:pt idx="4">
                  <c:v>2000-2009</c:v>
                </c:pt>
              </c:strCache>
            </c:strRef>
          </c:cat>
          <c:val>
            <c:numRef>
              <c:f>'Part Two Comparing'!$B$2:$F$2</c:f>
              <c:numCache>
                <c:formatCode>General</c:formatCode>
                <c:ptCount val="5"/>
                <c:pt idx="0">
                  <c:v>0.95899999999999996</c:v>
                </c:pt>
                <c:pt idx="1">
                  <c:v>0.93200000000000005</c:v>
                </c:pt>
                <c:pt idx="2">
                  <c:v>0.87</c:v>
                </c:pt>
                <c:pt idx="3">
                  <c:v>0.82199999999999995</c:v>
                </c:pt>
                <c:pt idx="4">
                  <c:v>0.79400000000000004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EE-44FB-A0B2-B5E0759403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7645328"/>
        <c:axId val="587639424"/>
      </c:lineChart>
      <c:catAx>
        <c:axId val="58764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Bands</a:t>
                </a:r>
              </a:p>
            </c:rich>
          </c:tx>
          <c:layout>
            <c:manualLayout>
              <c:xMode val="edge"/>
              <c:yMode val="edge"/>
              <c:x val="0.47199904016852262"/>
              <c:y val="0.9424207286348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39424"/>
        <c:crosses val="autoZero"/>
        <c:auto val="1"/>
        <c:lblAlgn val="ctr"/>
        <c:lblOffset val="100"/>
        <c:noMultiLvlLbl val="0"/>
      </c:catAx>
      <c:valAx>
        <c:axId val="5876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Correlation </a:t>
                </a:r>
              </a:p>
              <a:p>
                <a:pPr>
                  <a:defRPr/>
                </a:pPr>
                <a:r>
                  <a:rPr lang="en-GB"/>
                  <a:t>GDP vs Life Expectancy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4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Change</a:t>
            </a:r>
            <a:r>
              <a:rPr lang="en-GB" baseline="0"/>
              <a:t> of Mean GDP over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'Part Two Comparing'!$B$1:$F$1</c:f>
              <c:strCache>
                <c:ptCount val="5"/>
                <c:pt idx="0">
                  <c:v>1960-1969</c:v>
                </c:pt>
                <c:pt idx="1">
                  <c:v>1970-1979</c:v>
                </c:pt>
                <c:pt idx="2">
                  <c:v>1980-1989</c:v>
                </c:pt>
                <c:pt idx="3">
                  <c:v>1990-1999</c:v>
                </c:pt>
                <c:pt idx="4">
                  <c:v>2000-2009</c:v>
                </c:pt>
              </c:strCache>
            </c:strRef>
          </c:cat>
          <c:val>
            <c:numRef>
              <c:f>'Part Two Comparing'!$B$3:$F$3</c:f>
              <c:numCache>
                <c:formatCode>General</c:formatCode>
                <c:ptCount val="5"/>
                <c:pt idx="0">
                  <c:v>4463.3373330000004</c:v>
                </c:pt>
                <c:pt idx="1">
                  <c:v>6312.8988330000002</c:v>
                </c:pt>
                <c:pt idx="2">
                  <c:v>6844.7923330000003</c:v>
                </c:pt>
                <c:pt idx="3">
                  <c:v>8034.241833</c:v>
                </c:pt>
                <c:pt idx="4">
                  <c:v>9729.9768330000006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B7-40C6-99EF-CB6F6C7026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6297240"/>
        <c:axId val="586295600"/>
      </c:lineChart>
      <c:catAx>
        <c:axId val="58629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Bands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95600"/>
        <c:crosses val="autoZero"/>
        <c:auto val="1"/>
        <c:lblAlgn val="ctr"/>
        <c:lblOffset val="100"/>
        <c:noMultiLvlLbl val="0"/>
      </c:catAx>
      <c:valAx>
        <c:axId val="58629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GDP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9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Change</a:t>
            </a:r>
            <a:r>
              <a:rPr lang="en-GB" baseline="0"/>
              <a:t> of Mean L.E. over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'Part Two Comparing'!$B$1:$F$1</c:f>
              <c:strCache>
                <c:ptCount val="5"/>
                <c:pt idx="0">
                  <c:v>1960-1969</c:v>
                </c:pt>
                <c:pt idx="1">
                  <c:v>1970-1979</c:v>
                </c:pt>
                <c:pt idx="2">
                  <c:v>1980-1989</c:v>
                </c:pt>
                <c:pt idx="3">
                  <c:v>1990-1999</c:v>
                </c:pt>
                <c:pt idx="4">
                  <c:v>2000-2009</c:v>
                </c:pt>
              </c:strCache>
            </c:strRef>
          </c:cat>
          <c:val>
            <c:numRef>
              <c:f>'Part Two Comparing'!$B$4:$F$4</c:f>
              <c:numCache>
                <c:formatCode>General</c:formatCode>
                <c:ptCount val="5"/>
                <c:pt idx="0">
                  <c:v>57.578333000000001</c:v>
                </c:pt>
                <c:pt idx="1">
                  <c:v>60.471666669999998</c:v>
                </c:pt>
                <c:pt idx="2">
                  <c:v>65.816665999999998</c:v>
                </c:pt>
                <c:pt idx="3">
                  <c:v>69.626666</c:v>
                </c:pt>
                <c:pt idx="4">
                  <c:v>72.435000000000002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F-402A-BB29-3A190DB710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9963504"/>
        <c:axId val="719963832"/>
      </c:lineChart>
      <c:catAx>
        <c:axId val="71996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Bands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963832"/>
        <c:crosses val="autoZero"/>
        <c:auto val="1"/>
        <c:lblAlgn val="ctr"/>
        <c:lblOffset val="100"/>
        <c:noMultiLvlLbl val="0"/>
      </c:catAx>
      <c:valAx>
        <c:axId val="71996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  <a:r>
                  <a:rPr lang="en-GB" baseline="0"/>
                  <a:t> L</a:t>
                </a:r>
                <a:r>
                  <a:rPr lang="en-GB"/>
                  <a:t>ife Expectancy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96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Change</a:t>
            </a:r>
            <a:r>
              <a:rPr lang="en-GB" baseline="0"/>
              <a:t> in Line of Best Fit Gradients over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'Part Two Comparing'!$B$1:$F$1</c:f>
              <c:strCache>
                <c:ptCount val="5"/>
                <c:pt idx="0">
                  <c:v>1960-1969</c:v>
                </c:pt>
                <c:pt idx="1">
                  <c:v>1970-1979</c:v>
                </c:pt>
                <c:pt idx="2">
                  <c:v>1980-1989</c:v>
                </c:pt>
                <c:pt idx="3">
                  <c:v>1990-1999</c:v>
                </c:pt>
                <c:pt idx="4">
                  <c:v>2000-2009</c:v>
                </c:pt>
              </c:strCache>
            </c:strRef>
          </c:cat>
          <c:val>
            <c:numRef>
              <c:f>'Part Two Comparing'!$B$5:$F$5</c:f>
              <c:numCache>
                <c:formatCode>General</c:formatCode>
                <c:ptCount val="5"/>
                <c:pt idx="0">
                  <c:v>2.7599999999999999E-3</c:v>
                </c:pt>
                <c:pt idx="1">
                  <c:v>1.8799999999999999E-3</c:v>
                </c:pt>
                <c:pt idx="2">
                  <c:v>1.16E-3</c:v>
                </c:pt>
                <c:pt idx="3">
                  <c:v>7.9000000000000001E-4</c:v>
                </c:pt>
                <c:pt idx="4">
                  <c:v>5.9000000000000003E-4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3-4982-B39E-9044561302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2839832"/>
        <c:axId val="719965800"/>
      </c:lineChart>
      <c:catAx>
        <c:axId val="72283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Bands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965800"/>
        <c:crosses val="autoZero"/>
        <c:auto val="1"/>
        <c:lblAlgn val="ctr"/>
        <c:lblOffset val="100"/>
        <c:noMultiLvlLbl val="0"/>
      </c:catAx>
      <c:valAx>
        <c:axId val="71996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Line of Best Fit</a:t>
                </a:r>
                <a:r>
                  <a:rPr lang="en-GB" baseline="0"/>
                  <a:t> Gradients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39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Change</a:t>
            </a:r>
            <a:r>
              <a:rPr lang="en-GB" baseline="0"/>
              <a:t> of Line of Best Fit Intercepts over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'Part Two Comparing'!$B$1:$F$1</c:f>
              <c:strCache>
                <c:ptCount val="5"/>
                <c:pt idx="0">
                  <c:v>1960-1969</c:v>
                </c:pt>
                <c:pt idx="1">
                  <c:v>1970-1979</c:v>
                </c:pt>
                <c:pt idx="2">
                  <c:v>1980-1989</c:v>
                </c:pt>
                <c:pt idx="3">
                  <c:v>1990-1999</c:v>
                </c:pt>
                <c:pt idx="4">
                  <c:v>2000-2009</c:v>
                </c:pt>
              </c:strCache>
            </c:strRef>
          </c:cat>
          <c:val>
            <c:numRef>
              <c:f>'Part Two Comparing'!$B$6:$F$6</c:f>
              <c:numCache>
                <c:formatCode>General</c:formatCode>
                <c:ptCount val="5"/>
                <c:pt idx="0">
                  <c:v>45</c:v>
                </c:pt>
                <c:pt idx="1">
                  <c:v>49</c:v>
                </c:pt>
                <c:pt idx="2">
                  <c:v>58</c:v>
                </c:pt>
                <c:pt idx="3">
                  <c:v>63</c:v>
                </c:pt>
                <c:pt idx="4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AA-49C5-9FFD-5AAF7430D1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6635952"/>
        <c:axId val="726628736"/>
      </c:lineChart>
      <c:catAx>
        <c:axId val="72663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Bands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28736"/>
        <c:crosses val="autoZero"/>
        <c:auto val="1"/>
        <c:lblAlgn val="ctr"/>
        <c:lblOffset val="100"/>
        <c:noMultiLvlLbl val="0"/>
      </c:catAx>
      <c:valAx>
        <c:axId val="7266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Line of Best Fit 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3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GDP Frequencies</a:t>
            </a:r>
          </a:p>
        </c:rich>
      </c:tx>
      <c:layout>
        <c:manualLayout>
          <c:xMode val="edge"/>
          <c:yMode val="edge"/>
          <c:x val="0.7483818897637795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86-4A38-B0C6-5AC0707AF1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07-4E85-8042-B0B532D85C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07-4E85-8042-B0B532D85C6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07-4E85-8042-B0B532D85C6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07-4E85-8042-B0B532D85C6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807-4E85-8042-B0B532D85C6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807-4E85-8042-B0B532D85C6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0807-4E85-8042-B0B532D85C6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0807-4E85-8042-B0B532D85C6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807-4E85-8042-B0B532D85C6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807-4E85-8042-B0B532D85C6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07-4E85-8042-B0B532D85C6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07-4E85-8042-B0B532D85C6B}"/>
              </c:ext>
            </c:extLst>
          </c:dPt>
          <c:dLbls>
            <c:dLbl>
              <c:idx val="1"/>
              <c:layout>
                <c:manualLayout>
                  <c:x val="-0.1027777777777778"/>
                  <c:y val="0.2083333333333333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07-4E85-8042-B0B532D85C6B}"/>
                </c:ext>
              </c:extLst>
            </c:dLbl>
            <c:dLbl>
              <c:idx val="2"/>
              <c:layout>
                <c:manualLayout>
                  <c:x val="-0.19444444444444445"/>
                  <c:y val="0.1666666666666666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07-4E85-8042-B0B532D85C6B}"/>
                </c:ext>
              </c:extLst>
            </c:dLbl>
            <c:dLbl>
              <c:idx val="3"/>
              <c:layout>
                <c:manualLayout>
                  <c:x val="-0.21111111111111111"/>
                  <c:y val="-9.25925925925921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07-4E85-8042-B0B532D85C6B}"/>
                </c:ext>
              </c:extLst>
            </c:dLbl>
            <c:dLbl>
              <c:idx val="4"/>
              <c:layout>
                <c:manualLayout>
                  <c:x val="-0.22777777777777777"/>
                  <c:y val="-8.333333333333332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07-4E85-8042-B0B532D85C6B}"/>
                </c:ext>
              </c:extLst>
            </c:dLbl>
            <c:dLbl>
              <c:idx val="5"/>
              <c:layout>
                <c:manualLayout>
                  <c:x val="-0.20277777777777778"/>
                  <c:y val="-0.138888888888888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807-4E85-8042-B0B532D85C6B}"/>
                </c:ext>
              </c:extLst>
            </c:dLbl>
            <c:dLbl>
              <c:idx val="6"/>
              <c:layout>
                <c:manualLayout>
                  <c:x val="-0.11944444444444449"/>
                  <c:y val="-0.111111111111111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807-4E85-8042-B0B532D85C6B}"/>
                </c:ext>
              </c:extLst>
            </c:dLbl>
            <c:dLbl>
              <c:idx val="7"/>
              <c:layout>
                <c:manualLayout>
                  <c:x val="-7.7777777777777779E-2"/>
                  <c:y val="-9.722222222222222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807-4E85-8042-B0B532D85C6B}"/>
                </c:ext>
              </c:extLst>
            </c:dLbl>
            <c:dLbl>
              <c:idx val="8"/>
              <c:layout>
                <c:manualLayout>
                  <c:x val="-1.388888888888894E-2"/>
                  <c:y val="-9.259259259259260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807-4E85-8042-B0B532D85C6B}"/>
                </c:ext>
              </c:extLst>
            </c:dLbl>
            <c:dLbl>
              <c:idx val="9"/>
              <c:layout>
                <c:manualLayout>
                  <c:x val="0.05"/>
                  <c:y val="-9.259259259259258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807-4E85-8042-B0B532D85C6B}"/>
                </c:ext>
              </c:extLst>
            </c:dLbl>
            <c:dLbl>
              <c:idx val="10"/>
              <c:layout>
                <c:manualLayout>
                  <c:x val="0.11666666666666657"/>
                  <c:y val="-8.796296296296296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807-4E85-8042-B0B532D85C6B}"/>
                </c:ext>
              </c:extLst>
            </c:dLbl>
            <c:dLbl>
              <c:idx val="11"/>
              <c:layout>
                <c:manualLayout>
                  <c:x val="0.21388888888888888"/>
                  <c:y val="-7.40740740740740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07-4E85-8042-B0B532D85C6B}"/>
                </c:ext>
              </c:extLst>
            </c:dLbl>
            <c:dLbl>
              <c:idx val="12"/>
              <c:layout>
                <c:manualLayout>
                  <c:x val="0.24722222222222223"/>
                  <c:y val="1.851851851851851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07-4E85-8042-B0B532D85C6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'Part One'!$C$93:$C$105</c:f>
              <c:numCache>
                <c:formatCode>General</c:formatCode>
                <c:ptCount val="13"/>
                <c:pt idx="0">
                  <c:v>27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7-4E85-8042-B0B532D85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Life Expectancy </a:t>
            </a:r>
          </a:p>
          <a:p>
            <a:pPr>
              <a:defRPr/>
            </a:pPr>
            <a:r>
              <a:rPr lang="en-GB"/>
              <a:t>Frequencies</a:t>
            </a:r>
          </a:p>
        </c:rich>
      </c:tx>
      <c:layout>
        <c:manualLayout>
          <c:xMode val="edge"/>
          <c:yMode val="edge"/>
          <c:x val="0.7844930008748907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EAF-45CC-90E9-A7458A7522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EAF-45CC-90E9-A7458A7522C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EAF-45CC-90E9-A7458A7522C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EAF-45CC-90E9-A7458A7522C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EAF-45CC-90E9-A7458A7522C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AF-45CC-90E9-A7458A7522C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EAF-45CC-90E9-A7458A7522C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AF-45CC-90E9-A7458A7522C6}"/>
              </c:ext>
            </c:extLst>
          </c:dPt>
          <c:dLbls>
            <c:dLbl>
              <c:idx val="0"/>
              <c:layout>
                <c:manualLayout>
                  <c:x val="-3.888888888888889E-2"/>
                  <c:y val="-5.555555555555555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EAF-45CC-90E9-A7458A7522C6}"/>
                </c:ext>
              </c:extLst>
            </c:dLbl>
            <c:dLbl>
              <c:idx val="1"/>
              <c:layout>
                <c:manualLayout>
                  <c:x val="4.4444444444444446E-2"/>
                  <c:y val="-6.018518518518519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EAF-45CC-90E9-A7458A7522C6}"/>
                </c:ext>
              </c:extLst>
            </c:dLbl>
            <c:dLbl>
              <c:idx val="2"/>
              <c:layout>
                <c:manualLayout>
                  <c:x val="9.4444444444444345E-2"/>
                  <c:y val="4.6296296296296294E-3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99214"/>
                        <a:gd name="adj2" fmla="val 68006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AEAF-45CC-90E9-A7458A7522C6}"/>
                </c:ext>
              </c:extLst>
            </c:dLbl>
            <c:dLbl>
              <c:idx val="3"/>
              <c:layout>
                <c:manualLayout>
                  <c:x val="2.7777777777777776E-2"/>
                  <c:y val="-2.314814814814819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EAF-45CC-90E9-A7458A7522C6}"/>
                </c:ext>
              </c:extLst>
            </c:dLbl>
            <c:dLbl>
              <c:idx val="4"/>
              <c:layout>
                <c:manualLayout>
                  <c:x val="3.6111111111111108E-2"/>
                  <c:y val="2.314814814814814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EAF-45CC-90E9-A7458A7522C6}"/>
                </c:ext>
              </c:extLst>
            </c:dLbl>
            <c:dLbl>
              <c:idx val="5"/>
              <c:layout>
                <c:manualLayout>
                  <c:x val="-0.10555555555555556"/>
                  <c:y val="-5.5555555555555643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61963"/>
                        <a:gd name="adj2" fmla="val -50226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AEAF-45CC-90E9-A7458A7522C6}"/>
                </c:ext>
              </c:extLst>
            </c:dLbl>
            <c:dLbl>
              <c:idx val="6"/>
              <c:layout>
                <c:manualLayout>
                  <c:x val="-2.5000000000000026E-2"/>
                  <c:y val="-9.259259259259258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EAF-45CC-90E9-A7458A7522C6}"/>
                </c:ext>
              </c:extLst>
            </c:dLbl>
            <c:dLbl>
              <c:idx val="7"/>
              <c:layout>
                <c:manualLayout>
                  <c:x val="-4.1666666666666664E-2"/>
                  <c:y val="-5.5555555555555552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62050"/>
                        <a:gd name="adj2" fmla="val 140258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AEAF-45CC-90E9-A7458A7522C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'Part One'!$E$93:$E$100</c:f>
              <c:strCache>
                <c:ptCount val="8"/>
                <c:pt idx="0">
                  <c:v>45.0 - 49.9</c:v>
                </c:pt>
                <c:pt idx="1">
                  <c:v>50.0 - 54.9</c:v>
                </c:pt>
                <c:pt idx="2">
                  <c:v>55.0 - 59.9</c:v>
                </c:pt>
                <c:pt idx="3">
                  <c:v>60.0 - 64.9</c:v>
                </c:pt>
                <c:pt idx="4">
                  <c:v>65.0 - 69.9</c:v>
                </c:pt>
                <c:pt idx="5">
                  <c:v>70.0 - 74.9</c:v>
                </c:pt>
                <c:pt idx="6">
                  <c:v>75.0 - 79.9</c:v>
                </c:pt>
                <c:pt idx="7">
                  <c:v>80.0 - 84.9</c:v>
                </c:pt>
              </c:strCache>
            </c:strRef>
          </c:cat>
          <c:val>
            <c:numRef>
              <c:f>'Part One'!$F$93:$F$100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14</c:v>
                </c:pt>
                <c:pt idx="6">
                  <c:v>4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F-45CC-90E9-A7458A752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 One'!$B$93:$B$100</c:f>
              <c:strCache>
                <c:ptCount val="8"/>
                <c:pt idx="0">
                  <c:v>0 - 4999</c:v>
                </c:pt>
                <c:pt idx="1">
                  <c:v>5000 - 9999</c:v>
                </c:pt>
                <c:pt idx="2">
                  <c:v>10000 - 14999</c:v>
                </c:pt>
                <c:pt idx="3">
                  <c:v>15000 - 19999</c:v>
                </c:pt>
                <c:pt idx="4">
                  <c:v>20000 - 24999</c:v>
                </c:pt>
                <c:pt idx="5">
                  <c:v>25000 - 29999</c:v>
                </c:pt>
                <c:pt idx="6">
                  <c:v>30000 - 34999</c:v>
                </c:pt>
                <c:pt idx="7">
                  <c:v>35000 - 39999</c:v>
                </c:pt>
              </c:strCache>
            </c:strRef>
          </c:cat>
          <c:val>
            <c:numRef>
              <c:f>'Part One'!$C$93:$C$100</c:f>
              <c:numCache>
                <c:formatCode>General</c:formatCode>
                <c:ptCount val="8"/>
                <c:pt idx="0">
                  <c:v>27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7-439B-9776-68BCAD010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429840"/>
        <c:axId val="638429512"/>
      </c:barChart>
      <c:catAx>
        <c:axId val="63842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GDP Bands</a:t>
                </a:r>
                <a:r>
                  <a:rPr lang="en-GB" baseline="0"/>
                  <a:t>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29512"/>
        <c:crosses val="autoZero"/>
        <c:auto val="1"/>
        <c:lblAlgn val="ctr"/>
        <c:lblOffset val="100"/>
        <c:noMultiLvlLbl val="0"/>
      </c:catAx>
      <c:valAx>
        <c:axId val="63842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2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376214276197654E-2"/>
          <c:y val="6.2058676228839975E-2"/>
          <c:w val="0.91433821578774233"/>
          <c:h val="0.792840291563692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 One'!$E$93:$E$100</c:f>
              <c:strCache>
                <c:ptCount val="8"/>
                <c:pt idx="0">
                  <c:v>45.0 - 49.9</c:v>
                </c:pt>
                <c:pt idx="1">
                  <c:v>50.0 - 54.9</c:v>
                </c:pt>
                <c:pt idx="2">
                  <c:v>55.0 - 59.9</c:v>
                </c:pt>
                <c:pt idx="3">
                  <c:v>60.0 - 64.9</c:v>
                </c:pt>
                <c:pt idx="4">
                  <c:v>65.0 - 69.9</c:v>
                </c:pt>
                <c:pt idx="5">
                  <c:v>70.0 - 74.9</c:v>
                </c:pt>
                <c:pt idx="6">
                  <c:v>75.0 - 79.9</c:v>
                </c:pt>
                <c:pt idx="7">
                  <c:v>80.0 - 84.9</c:v>
                </c:pt>
              </c:strCache>
            </c:strRef>
          </c:cat>
          <c:val>
            <c:numRef>
              <c:f>'Part One'!$F$93:$F$100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14</c:v>
                </c:pt>
                <c:pt idx="6">
                  <c:v>4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E-46D5-84F4-0E93973E1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514816"/>
        <c:axId val="586515144"/>
      </c:barChart>
      <c:catAx>
        <c:axId val="58651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Life Expectancy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15144"/>
        <c:crosses val="autoZero"/>
        <c:auto val="1"/>
        <c:lblAlgn val="ctr"/>
        <c:lblOffset val="100"/>
        <c:noMultiLvlLbl val="0"/>
      </c:catAx>
      <c:valAx>
        <c:axId val="58651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1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1960-1969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3D0DB9F-23F2-45B4-996E-164BD3061E8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D23-4173-97EC-9E8B29BB34E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33A91D2-80CC-4E66-BDEC-27D0E3D50F9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D23-4173-97EC-9E8B29BB34E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32FCD13-EA10-480F-9502-2C698934354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D23-4173-97EC-9E8B29BB34E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CE2D9C8-82F8-4668-8A96-B11CECE94B6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D23-4173-97EC-9E8B29BB34E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EBA9335-3F6D-4670-9997-DD1D9D85079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D23-4173-97EC-9E8B29BB34E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5BE401F-E422-4B0D-8766-505B67B85CA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D23-4173-97EC-9E8B29BB34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'1960-1969'!$B$36:$B$41</c:f>
              <c:numCache>
                <c:formatCode>General</c:formatCode>
                <c:ptCount val="6"/>
                <c:pt idx="0">
                  <c:v>1171.5029999999999</c:v>
                </c:pt>
                <c:pt idx="1">
                  <c:v>5631.39</c:v>
                </c:pt>
                <c:pt idx="2">
                  <c:v>10424.978999999999</c:v>
                </c:pt>
                <c:pt idx="3">
                  <c:v>269.351</c:v>
                </c:pt>
                <c:pt idx="4">
                  <c:v>9010.42</c:v>
                </c:pt>
                <c:pt idx="5">
                  <c:v>272.38099999999997</c:v>
                </c:pt>
              </c:numCache>
            </c:numRef>
          </c:xVal>
          <c:yVal>
            <c:numRef>
              <c:f>'1960-1969'!$C$36:$C$41</c:f>
              <c:numCache>
                <c:formatCode>General</c:formatCode>
                <c:ptCount val="6"/>
                <c:pt idx="0">
                  <c:v>49.79</c:v>
                </c:pt>
                <c:pt idx="1">
                  <c:v>65.959999999999994</c:v>
                </c:pt>
                <c:pt idx="2">
                  <c:v>70.92</c:v>
                </c:pt>
                <c:pt idx="3">
                  <c:v>47.68</c:v>
                </c:pt>
                <c:pt idx="4">
                  <c:v>70.400000000000006</c:v>
                </c:pt>
                <c:pt idx="5">
                  <c:v>40.72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'1960-1969'!$A$36:$A$41</c15:f>
                <c15:dlblRangeCache>
                  <c:ptCount val="6"/>
                  <c:pt idx="0">
                    <c:v>Algeria</c:v>
                  </c:pt>
                  <c:pt idx="1">
                    <c:v>Argentina</c:v>
                  </c:pt>
                  <c:pt idx="2">
                    <c:v>Australia</c:v>
                  </c:pt>
                  <c:pt idx="3">
                    <c:v>Bangladesh</c:v>
                  </c:pt>
                  <c:pt idx="4">
                    <c:v>Belgium</c:v>
                  </c:pt>
                  <c:pt idx="5">
                    <c:v>Benin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D23-4173-97EC-9E8B29BB34E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10713304"/>
        <c:axId val="610717240"/>
      </c:scatterChart>
      <c:valAx>
        <c:axId val="61071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GDP</a:t>
                </a:r>
                <a:r>
                  <a:rPr lang="en-GB" baseline="0"/>
                  <a:t> (USD)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717240"/>
        <c:crosses val="autoZero"/>
        <c:crossBetween val="midCat"/>
      </c:valAx>
      <c:valAx>
        <c:axId val="61071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Life Expectancy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713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1970-1979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95296F1-F71E-410A-A96A-3AA30ED303A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4747-4B30-B4E0-790AA2F6763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FCE257C-15B0-4C63-8362-D8B9904CAE3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747-4B30-B4E0-790AA2F6763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80F8015-6733-4D10-89AE-216A6F1A165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747-4B30-B4E0-790AA2F6763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C87D364-07B3-460F-939C-B881E98E3CE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4747-4B30-B4E0-790AA2F6763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0042EA9-CC09-4001-BCC3-FD0FFDE7C9C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4747-4B30-B4E0-790AA2F6763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5F010E5-162E-4408-99EB-EC72ECD7A78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4747-4B30-B4E0-790AA2F676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'1970-1979'!$B$36:$B$41</c:f>
              <c:numCache>
                <c:formatCode>General</c:formatCode>
                <c:ptCount val="6"/>
                <c:pt idx="0">
                  <c:v>1620.6859999999999</c:v>
                </c:pt>
                <c:pt idx="1">
                  <c:v>6971.5550000000003</c:v>
                </c:pt>
                <c:pt idx="2">
                  <c:v>13413.366</c:v>
                </c:pt>
                <c:pt idx="3">
                  <c:v>2248.835</c:v>
                </c:pt>
                <c:pt idx="4">
                  <c:v>13336.134</c:v>
                </c:pt>
                <c:pt idx="5">
                  <c:v>286.81700000000001</c:v>
                </c:pt>
              </c:numCache>
            </c:numRef>
          </c:xVal>
          <c:yVal>
            <c:numRef>
              <c:f>'1970-1979'!$C$36:$C$41</c:f>
              <c:numCache>
                <c:formatCode>General</c:formatCode>
                <c:ptCount val="6"/>
                <c:pt idx="0">
                  <c:v>55.341999999999999</c:v>
                </c:pt>
                <c:pt idx="1">
                  <c:v>68.442999999999998</c:v>
                </c:pt>
                <c:pt idx="2">
                  <c:v>72.537000000000006</c:v>
                </c:pt>
                <c:pt idx="3">
                  <c:v>48.051000000000002</c:v>
                </c:pt>
                <c:pt idx="4">
                  <c:v>71.914000000000001</c:v>
                </c:pt>
                <c:pt idx="5">
                  <c:v>46.542999999999999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'1970-1979'!$A$36:$A$41</c15:f>
                <c15:dlblRangeCache>
                  <c:ptCount val="6"/>
                  <c:pt idx="0">
                    <c:v>Algeria</c:v>
                  </c:pt>
                  <c:pt idx="1">
                    <c:v>Argentina</c:v>
                  </c:pt>
                  <c:pt idx="2">
                    <c:v>Australia</c:v>
                  </c:pt>
                  <c:pt idx="3">
                    <c:v>Bangladesh</c:v>
                  </c:pt>
                  <c:pt idx="4">
                    <c:v>Belgium</c:v>
                  </c:pt>
                  <c:pt idx="5">
                    <c:v>Benin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747-4B30-B4E0-790AA2F6763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22509544"/>
        <c:axId val="322513480"/>
      </c:scatterChart>
      <c:valAx>
        <c:axId val="322509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GDP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13480"/>
        <c:crosses val="autoZero"/>
        <c:crossBetween val="midCat"/>
      </c:valAx>
      <c:valAx>
        <c:axId val="32251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Life Expectancy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09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1980-1989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B309CB2-5F35-4913-A738-828460FC688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CED-4269-85A8-AB31C1826B7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CE8BBCD-25FC-4462-ABC2-734F5E54EE8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CED-4269-85A8-AB31C1826B7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15936C3-7213-48A0-B398-5A1EE5A2798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CED-4269-85A8-AB31C1826B7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CF92F88-E831-4524-A6B2-D83FBCA59CA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CED-4269-85A8-AB31C1826B7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807C4EF-435C-43F6-B3F8-82A47283C8E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CED-4269-85A8-AB31C1826B7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F32F10C-186F-4033-85B5-CCC9F4DFF4A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CED-4269-85A8-AB31C1826B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'1980-1989'!$B$36:$B$41</c:f>
              <c:numCache>
                <c:formatCode>General</c:formatCode>
                <c:ptCount val="6"/>
                <c:pt idx="0">
                  <c:v>1923.193</c:v>
                </c:pt>
                <c:pt idx="1">
                  <c:v>6602.2470000000003</c:v>
                </c:pt>
                <c:pt idx="2">
                  <c:v>15577.523999999999</c:v>
                </c:pt>
                <c:pt idx="3">
                  <c:v>263.95800000000003</c:v>
                </c:pt>
                <c:pt idx="4">
                  <c:v>16389.465</c:v>
                </c:pt>
                <c:pt idx="5">
                  <c:v>312.36700000000002</c:v>
                </c:pt>
              </c:numCache>
            </c:numRef>
          </c:xVal>
          <c:yVal>
            <c:numRef>
              <c:f>'1980-1989'!$C$36:$C$41</c:f>
              <c:numCache>
                <c:formatCode>General</c:formatCode>
                <c:ptCount val="6"/>
                <c:pt idx="0">
                  <c:v>66.12</c:v>
                </c:pt>
                <c:pt idx="1">
                  <c:v>71.31</c:v>
                </c:pt>
                <c:pt idx="2">
                  <c:v>75.61</c:v>
                </c:pt>
                <c:pt idx="3">
                  <c:v>55.29</c:v>
                </c:pt>
                <c:pt idx="4">
                  <c:v>74.41</c:v>
                </c:pt>
                <c:pt idx="5">
                  <c:v>52.16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'1980-1989'!$A$36:$A$41</c15:f>
                <c15:dlblRangeCache>
                  <c:ptCount val="6"/>
                  <c:pt idx="0">
                    <c:v>Algeria</c:v>
                  </c:pt>
                  <c:pt idx="1">
                    <c:v>Argentina</c:v>
                  </c:pt>
                  <c:pt idx="2">
                    <c:v>Australia</c:v>
                  </c:pt>
                  <c:pt idx="3">
                    <c:v>Bangladesh</c:v>
                  </c:pt>
                  <c:pt idx="4">
                    <c:v>Belgium</c:v>
                  </c:pt>
                  <c:pt idx="5">
                    <c:v>Benin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CED-4269-85A8-AB31C1826B7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27388432"/>
        <c:axId val="727387448"/>
      </c:scatterChart>
      <c:valAx>
        <c:axId val="72738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GDP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87448"/>
        <c:crosses val="autoZero"/>
        <c:crossBetween val="midCat"/>
      </c:valAx>
      <c:valAx>
        <c:axId val="72738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Life</a:t>
                </a:r>
                <a:r>
                  <a:rPr lang="en-GB" baseline="0"/>
                  <a:t> Expectancy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8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1990-1999</a:t>
            </a:r>
          </a:p>
        </c:rich>
      </c:tx>
      <c:layout>
        <c:manualLayout>
          <c:xMode val="edge"/>
          <c:yMode val="edge"/>
          <c:x val="0.45208330888594217"/>
          <c:y val="2.04498977505112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BD14A35-47F6-4798-B71B-B20F4D47827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6FA6-4342-8B00-C56D6E7D9AA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465C630-DADC-4C0E-8598-1B0EB2B7076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6FA6-4342-8B00-C56D6E7D9AA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8FDD9C0-2BE5-4D80-B71D-0D0503DEEB3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6FA6-4342-8B00-C56D6E7D9AA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342CF5B-62B8-40CB-9990-B4CE827F6BD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6FA6-4342-8B00-C56D6E7D9AA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A91FFB3-951C-42F5-A400-601E5B82BF6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6FA6-4342-8B00-C56D6E7D9AA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98F7EF4-CC13-4422-922D-D927F86480F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6FA6-4342-8B00-C56D6E7D9A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'1990-1999'!$B$36:$B$41</c:f>
              <c:numCache>
                <c:formatCode>General</c:formatCode>
                <c:ptCount val="6"/>
                <c:pt idx="0">
                  <c:v>1724.6510000000001</c:v>
                </c:pt>
                <c:pt idx="1">
                  <c:v>7198.5860000000002</c:v>
                </c:pt>
                <c:pt idx="2">
                  <c:v>18694.752</c:v>
                </c:pt>
                <c:pt idx="3">
                  <c:v>310.23399999999998</c:v>
                </c:pt>
                <c:pt idx="4">
                  <c:v>19965.609</c:v>
                </c:pt>
                <c:pt idx="5">
                  <c:v>311.61900000000003</c:v>
                </c:pt>
              </c:numCache>
            </c:numRef>
          </c:xVal>
          <c:yVal>
            <c:numRef>
              <c:f>'1990-1999'!$C$36:$C$41</c:f>
              <c:numCache>
                <c:formatCode>General</c:formatCode>
                <c:ptCount val="6"/>
                <c:pt idx="0">
                  <c:v>71.59</c:v>
                </c:pt>
                <c:pt idx="1">
                  <c:v>73.28</c:v>
                </c:pt>
                <c:pt idx="2">
                  <c:v>78.22</c:v>
                </c:pt>
                <c:pt idx="3">
                  <c:v>61.14</c:v>
                </c:pt>
                <c:pt idx="4">
                  <c:v>76.83</c:v>
                </c:pt>
                <c:pt idx="5">
                  <c:v>56.7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'1990-1999'!$A$36:$A$41</c15:f>
                <c15:dlblRangeCache>
                  <c:ptCount val="6"/>
                  <c:pt idx="0">
                    <c:v>Algeria</c:v>
                  </c:pt>
                  <c:pt idx="1">
                    <c:v>Argentina</c:v>
                  </c:pt>
                  <c:pt idx="2">
                    <c:v>Australia</c:v>
                  </c:pt>
                  <c:pt idx="3">
                    <c:v>Bangladesh</c:v>
                  </c:pt>
                  <c:pt idx="4">
                    <c:v>Belgium</c:v>
                  </c:pt>
                  <c:pt idx="5">
                    <c:v>Benin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FA6-4342-8B00-C56D6E7D9A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33901744"/>
        <c:axId val="333901088"/>
      </c:scatterChart>
      <c:valAx>
        <c:axId val="33390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GDP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01088"/>
        <c:crosses val="autoZero"/>
        <c:crossBetween val="midCat"/>
      </c:valAx>
      <c:valAx>
        <c:axId val="33390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Life Expectancy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0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42</xdr:row>
      <xdr:rowOff>3810</xdr:rowOff>
    </xdr:from>
    <xdr:to>
      <xdr:col>16</xdr:col>
      <xdr:colOff>266700</xdr:colOff>
      <xdr:row>88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C1446B-0B72-4429-BC08-2968DDE56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105</xdr:row>
      <xdr:rowOff>9940</xdr:rowOff>
    </xdr:from>
    <xdr:to>
      <xdr:col>3</xdr:col>
      <xdr:colOff>278296</xdr:colOff>
      <xdr:row>119</xdr:row>
      <xdr:rowOff>155714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2530A9-2F64-4A16-B210-F8EE9116E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291550</xdr:colOff>
      <xdr:row>105</xdr:row>
      <xdr:rowOff>3314</xdr:rowOff>
    </xdr:from>
    <xdr:to>
      <xdr:col>7</xdr:col>
      <xdr:colOff>775254</xdr:colOff>
      <xdr:row>119</xdr:row>
      <xdr:rowOff>149088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947CAF-D59F-4570-B326-A0D005842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119</xdr:row>
      <xdr:rowOff>155712</xdr:rowOff>
    </xdr:from>
    <xdr:to>
      <xdr:col>7</xdr:col>
      <xdr:colOff>99391</xdr:colOff>
      <xdr:row>135</xdr:row>
      <xdr:rowOff>99391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370CBF-D399-4546-8D30-B9E212A10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212035</xdr:colOff>
      <xdr:row>120</xdr:row>
      <xdr:rowOff>119270</xdr:rowOff>
    </xdr:from>
    <xdr:to>
      <xdr:col>1</xdr:col>
      <xdr:colOff>218661</xdr:colOff>
      <xdr:row>132</xdr:row>
      <xdr:rowOff>86140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2B9B1139-058F-43BB-B459-28AB3CC76E4F}"/>
            </a:ext>
          </a:extLst>
        </xdr:cNvPr>
        <xdr:cNvCxnSpPr/>
      </xdr:nvCxnSpPr>
      <xdr:spPr>
        <a:xfrm>
          <a:off x="2073965" y="23019027"/>
          <a:ext cx="6626" cy="219323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238539</xdr:colOff>
      <xdr:row>120</xdr:row>
      <xdr:rowOff>125896</xdr:rowOff>
    </xdr:from>
    <xdr:to>
      <xdr:col>1</xdr:col>
      <xdr:colOff>848139</xdr:colOff>
      <xdr:row>122</xdr:row>
      <xdr:rowOff>66262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31FB48C-E099-4820-98CA-003A9EA18BC1}"/>
            </a:ext>
          </a:extLst>
        </xdr:cNvPr>
        <xdr:cNvSpPr txBox="1"/>
      </xdr:nvSpPr>
      <xdr:spPr>
        <a:xfrm>
          <a:off x="2100469" y="23025653"/>
          <a:ext cx="609600" cy="3114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Mean</a:t>
          </a:r>
        </a:p>
        <a:p>
          <a:endParaRPr lang="en-GB" sz="1100"/>
        </a:p>
      </xdr:txBody>
    </xdr:sp>
    <xdr:clientData/>
  </xdr:twoCellAnchor>
  <xdr:twoCellAnchor>
    <xdr:from>
      <xdr:col>0</xdr:col>
      <xdr:colOff>0</xdr:colOff>
      <xdr:row>135</xdr:row>
      <xdr:rowOff>109330</xdr:rowOff>
    </xdr:from>
    <xdr:to>
      <xdr:col>7</xdr:col>
      <xdr:colOff>99390</xdr:colOff>
      <xdr:row>154</xdr:row>
      <xdr:rowOff>6626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F09EA7F-E5F4-4386-BB39-8E30144C2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708992</xdr:colOff>
      <xdr:row>140</xdr:row>
      <xdr:rowOff>72888</xdr:rowOff>
    </xdr:from>
    <xdr:to>
      <xdr:col>3</xdr:col>
      <xdr:colOff>722245</xdr:colOff>
      <xdr:row>151</xdr:row>
      <xdr:rowOff>66261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4061009D-5069-48FB-9B32-165E5129A404}"/>
            </a:ext>
          </a:extLst>
        </xdr:cNvPr>
        <xdr:cNvCxnSpPr/>
      </xdr:nvCxnSpPr>
      <xdr:spPr>
        <a:xfrm flipH="1">
          <a:off x="5002696" y="26683253"/>
          <a:ext cx="13253" cy="203420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185530</xdr:colOff>
      <xdr:row>140</xdr:row>
      <xdr:rowOff>92766</xdr:rowOff>
    </xdr:from>
    <xdr:to>
      <xdr:col>3</xdr:col>
      <xdr:colOff>702365</xdr:colOff>
      <xdr:row>141</xdr:row>
      <xdr:rowOff>165653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E3DB10B-6CD2-4681-B4BF-5E2C92DDA414}"/>
            </a:ext>
          </a:extLst>
        </xdr:cNvPr>
        <xdr:cNvSpPr txBox="1"/>
      </xdr:nvSpPr>
      <xdr:spPr>
        <a:xfrm>
          <a:off x="4479234" y="26703131"/>
          <a:ext cx="516835" cy="25841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Mean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41</xdr:row>
      <xdr:rowOff>179070</xdr:rowOff>
    </xdr:from>
    <xdr:to>
      <xdr:col>9</xdr:col>
      <xdr:colOff>944880</xdr:colOff>
      <xdr:row>67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2765D-0F64-4947-BAFF-9CB0408FD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30480</xdr:rowOff>
    </xdr:from>
    <xdr:to>
      <xdr:col>8</xdr:col>
      <xdr:colOff>685800</xdr:colOff>
      <xdr:row>33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AEFF63-1570-418C-9C89-AE280335C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8</xdr:col>
      <xdr:colOff>0</xdr:colOff>
      <xdr:row>33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84B354-F738-4B95-A1BB-9AFD6072E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33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F4F8C5-D210-4E5B-97BD-3D1C27493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7620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1F4FF2-91F6-4CB8-8A92-51F1798BB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179070</xdr:rowOff>
    </xdr:from>
    <xdr:to>
      <xdr:col>13</xdr:col>
      <xdr:colOff>15240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B5EECA-AB96-4805-8621-1D1C205C1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</xdr:colOff>
      <xdr:row>5</xdr:row>
      <xdr:rowOff>179070</xdr:rowOff>
    </xdr:from>
    <xdr:to>
      <xdr:col>28</xdr:col>
      <xdr:colOff>15240</xdr:colOff>
      <xdr:row>32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86595B-98BF-457F-B7E5-CD853CFE3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3810</xdr:rowOff>
    </xdr:from>
    <xdr:to>
      <xdr:col>13</xdr:col>
      <xdr:colOff>15240</xdr:colOff>
      <xdr:row>59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6F690AE-F2F0-4772-9A4E-0ED4F4A4D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22860</xdr:colOff>
      <xdr:row>32</xdr:row>
      <xdr:rowOff>179070</xdr:rowOff>
    </xdr:from>
    <xdr:to>
      <xdr:col>28</xdr:col>
      <xdr:colOff>30480</xdr:colOff>
      <xdr:row>59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D78A68A-48E0-4118-B7B8-CEABCA8C4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59</xdr:row>
      <xdr:rowOff>171450</xdr:rowOff>
    </xdr:from>
    <xdr:to>
      <xdr:col>13</xdr:col>
      <xdr:colOff>7620</xdr:colOff>
      <xdr:row>88</xdr:row>
      <xdr:rowOff>15240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28CF4C9-A50D-4FB2-84CA-3495E4426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topLeftCell="A7" zoomScale="115" zoomScaleNormal="115" workbookViewId="0">
      <selection activeCell="B86" sqref="B86"/>
    </sheetView>
  </sheetViews>
  <sheetFormatPr defaultRowHeight="14.4" x14ac:dyDescent="0.3"/>
  <cols>
    <col min="1" max="1" width="27.109375" customWidth="1"/>
    <col min="2" max="2" width="19.109375" customWidth="1"/>
    <col min="3" max="3" width="16.33203125" customWidth="1"/>
    <col min="4" max="4" width="14" customWidth="1"/>
    <col min="5" max="5" width="15.44140625" customWidth="1"/>
    <col min="6" max="6" width="17.5546875" customWidth="1"/>
    <col min="7" max="7" width="12.5546875" customWidth="1"/>
    <col min="8" max="8" width="14.33203125" customWidth="1"/>
    <col min="9" max="9" width="11.109375" customWidth="1"/>
    <col min="10" max="10" width="14.109375" customWidth="1"/>
    <col min="18" max="18" width="2" customWidth="1"/>
  </cols>
  <sheetData>
    <row r="1" spans="1:10" x14ac:dyDescent="0.3">
      <c r="A1" s="1" t="s">
        <v>65</v>
      </c>
      <c r="B1" s="1" t="s">
        <v>39</v>
      </c>
      <c r="C1" s="1" t="s">
        <v>96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97</v>
      </c>
    </row>
    <row r="2" spans="1:10" x14ac:dyDescent="0.3">
      <c r="A2" s="44" t="s">
        <v>57</v>
      </c>
      <c r="B2" s="45">
        <v>2890.3456748528101</v>
      </c>
      <c r="C2" s="46">
        <v>70.3</v>
      </c>
      <c r="D2" s="65">
        <f t="shared" ref="D2:D41" si="0">B2*C2</f>
        <v>203191.30094215253</v>
      </c>
      <c r="E2" s="65">
        <f t="shared" ref="E2:F41" si="1">B2^2</f>
        <v>8354098.1201403467</v>
      </c>
      <c r="F2" s="62">
        <f t="shared" si="1"/>
        <v>4942.0899999999992</v>
      </c>
      <c r="G2" s="65">
        <f t="shared" ref="G2:G41" si="2">B2-mean_gdpone</f>
        <v>-4597.1206643905516</v>
      </c>
      <c r="H2" s="65">
        <f>G2^2</f>
        <v>21133518.402966626</v>
      </c>
      <c r="I2" s="63">
        <f t="shared" ref="I2:I41" si="3">C2-$B$67</f>
        <v>0.40256410256412778</v>
      </c>
      <c r="J2" s="64">
        <f>I2^2</f>
        <v>0.16205785667326159</v>
      </c>
    </row>
    <row r="3" spans="1:10" x14ac:dyDescent="0.3">
      <c r="A3" s="44" t="s">
        <v>4</v>
      </c>
      <c r="B3" s="45">
        <v>24733.626956168398</v>
      </c>
      <c r="C3" s="46">
        <v>80.2</v>
      </c>
      <c r="D3" s="65">
        <f t="shared" si="0"/>
        <v>1983636.8818847057</v>
      </c>
      <c r="E3" s="65">
        <f t="shared" si="1"/>
        <v>611752302.40690005</v>
      </c>
      <c r="F3" s="62">
        <f t="shared" si="1"/>
        <v>6432.0400000000009</v>
      </c>
      <c r="G3" s="65">
        <f t="shared" si="2"/>
        <v>17246.160616925037</v>
      </c>
      <c r="H3" s="65">
        <f t="shared" ref="H3:H41" si="4">G3^2</f>
        <v>297430056.02477616</v>
      </c>
      <c r="I3" s="63">
        <f t="shared" si="3"/>
        <v>10.302564102564133</v>
      </c>
      <c r="J3" s="64">
        <f t="shared" ref="J3:J41" si="5">I3^2</f>
        <v>106.14282708744311</v>
      </c>
    </row>
    <row r="4" spans="1:10" x14ac:dyDescent="0.3">
      <c r="A4" s="44" t="s">
        <v>58</v>
      </c>
      <c r="B4" s="45">
        <v>3490.23406904286</v>
      </c>
      <c r="C4" s="46">
        <v>71.2</v>
      </c>
      <c r="D4" s="65">
        <f t="shared" si="0"/>
        <v>248504.66571585165</v>
      </c>
      <c r="E4" s="65">
        <f t="shared" si="1"/>
        <v>12181733.85670748</v>
      </c>
      <c r="F4" s="62">
        <f t="shared" si="1"/>
        <v>5069.4400000000005</v>
      </c>
      <c r="G4" s="65">
        <f t="shared" si="2"/>
        <v>-3997.2322702005022</v>
      </c>
      <c r="H4" s="65">
        <f t="shared" si="4"/>
        <v>15977865.82193226</v>
      </c>
      <c r="I4" s="63">
        <f t="shared" si="3"/>
        <v>1.3025641025641335</v>
      </c>
      <c r="J4" s="64">
        <f t="shared" si="5"/>
        <v>1.6966732412887064</v>
      </c>
    </row>
    <row r="5" spans="1:10" x14ac:dyDescent="0.3">
      <c r="A5" s="44" t="s">
        <v>5</v>
      </c>
      <c r="B5" s="45">
        <v>378.05179150834198</v>
      </c>
      <c r="C5" s="46">
        <v>61.1</v>
      </c>
      <c r="D5" s="65">
        <f t="shared" si="0"/>
        <v>23098.964461159696</v>
      </c>
      <c r="E5" s="65">
        <f t="shared" si="1"/>
        <v>142923.15706266687</v>
      </c>
      <c r="F5" s="62">
        <f t="shared" si="1"/>
        <v>3733.21</v>
      </c>
      <c r="G5" s="65">
        <f t="shared" si="2"/>
        <v>-7109.4145477350203</v>
      </c>
      <c r="H5" s="65">
        <f t="shared" si="4"/>
        <v>50543775.211546347</v>
      </c>
      <c r="I5" s="63">
        <f t="shared" si="3"/>
        <v>-8.797435897435868</v>
      </c>
      <c r="J5" s="64">
        <f t="shared" si="5"/>
        <v>77.394878369493242</v>
      </c>
    </row>
    <row r="6" spans="1:10" x14ac:dyDescent="0.3">
      <c r="A6" s="44"/>
      <c r="B6" s="45"/>
      <c r="C6" s="46"/>
      <c r="D6" s="65"/>
      <c r="E6" s="65"/>
      <c r="F6" s="62"/>
      <c r="G6" s="65"/>
      <c r="H6" s="65"/>
      <c r="I6" s="63"/>
      <c r="J6" s="64"/>
    </row>
    <row r="7" spans="1:10" x14ac:dyDescent="0.3">
      <c r="A7" s="44" t="s">
        <v>59</v>
      </c>
      <c r="B7" s="45">
        <v>1445.7600024411199</v>
      </c>
      <c r="C7" s="46">
        <v>71.7</v>
      </c>
      <c r="D7" s="65">
        <f t="shared" si="0"/>
        <v>103660.9921750283</v>
      </c>
      <c r="E7" s="65">
        <f t="shared" si="1"/>
        <v>2090221.984658547</v>
      </c>
      <c r="F7" s="62">
        <f t="shared" si="1"/>
        <v>5140.8900000000003</v>
      </c>
      <c r="G7" s="65">
        <f t="shared" si="2"/>
        <v>-6041.7063368022427</v>
      </c>
      <c r="H7" s="65">
        <f t="shared" si="4"/>
        <v>36502215.460156374</v>
      </c>
      <c r="I7" s="63">
        <f t="shared" si="3"/>
        <v>1.8025641025641335</v>
      </c>
      <c r="J7" s="64">
        <f t="shared" si="5"/>
        <v>3.2492373438528399</v>
      </c>
    </row>
    <row r="8" spans="1:10" x14ac:dyDescent="0.3">
      <c r="A8" s="44" t="s">
        <v>60</v>
      </c>
      <c r="B8" s="45">
        <v>1276.1286143100101</v>
      </c>
      <c r="C8" s="46">
        <v>72.099999999999994</v>
      </c>
      <c r="D8" s="65">
        <f t="shared" si="0"/>
        <v>92008.873091751724</v>
      </c>
      <c r="E8" s="65">
        <f t="shared" si="1"/>
        <v>1628504.2402607866</v>
      </c>
      <c r="F8" s="62">
        <f t="shared" si="1"/>
        <v>5198.4099999999989</v>
      </c>
      <c r="G8" s="65">
        <f t="shared" si="2"/>
        <v>-6211.3377249333516</v>
      </c>
      <c r="H8" s="65">
        <f t="shared" si="4"/>
        <v>38580716.333180226</v>
      </c>
      <c r="I8" s="63">
        <f t="shared" si="3"/>
        <v>2.2025641025641249</v>
      </c>
      <c r="J8" s="64">
        <f t="shared" si="5"/>
        <v>4.8512886259041093</v>
      </c>
    </row>
    <row r="9" spans="1:10" x14ac:dyDescent="0.3">
      <c r="A9" s="44" t="s">
        <v>61</v>
      </c>
      <c r="B9" s="45">
        <v>2225.2901532399701</v>
      </c>
      <c r="C9" s="46">
        <v>78.2</v>
      </c>
      <c r="D9" s="65">
        <f t="shared" si="0"/>
        <v>174017.68998336568</v>
      </c>
      <c r="E9" s="65">
        <f t="shared" si="1"/>
        <v>4951916.2661067694</v>
      </c>
      <c r="F9" s="62">
        <f t="shared" si="1"/>
        <v>6115.2400000000007</v>
      </c>
      <c r="G9" s="65">
        <f t="shared" si="2"/>
        <v>-5262.1761860033921</v>
      </c>
      <c r="H9" s="65">
        <f t="shared" si="4"/>
        <v>27690498.212541208</v>
      </c>
      <c r="I9" s="63">
        <f t="shared" si="3"/>
        <v>8.3025641025641335</v>
      </c>
      <c r="J9" s="64">
        <f t="shared" si="5"/>
        <v>68.932570677186575</v>
      </c>
    </row>
    <row r="10" spans="1:10" x14ac:dyDescent="0.3">
      <c r="A10" s="44" t="s">
        <v>62</v>
      </c>
      <c r="B10" s="45">
        <v>4377.5557411033697</v>
      </c>
      <c r="C10" s="46">
        <v>56.5</v>
      </c>
      <c r="D10" s="65">
        <f t="shared" si="0"/>
        <v>247331.89937234038</v>
      </c>
      <c r="E10" s="65">
        <f t="shared" si="1"/>
        <v>19162994.266467072</v>
      </c>
      <c r="F10" s="62">
        <f t="shared" si="1"/>
        <v>3192.25</v>
      </c>
      <c r="G10" s="65">
        <f t="shared" si="2"/>
        <v>-3109.9105981399925</v>
      </c>
      <c r="H10" s="65">
        <f t="shared" si="4"/>
        <v>9671543.9284234457</v>
      </c>
      <c r="I10" s="63">
        <f t="shared" si="3"/>
        <v>-13.397435897435869</v>
      </c>
      <c r="J10" s="64">
        <f t="shared" si="5"/>
        <v>179.49128862590325</v>
      </c>
    </row>
    <row r="11" spans="1:10" x14ac:dyDescent="0.3">
      <c r="A11" s="44" t="s">
        <v>63</v>
      </c>
      <c r="B11" s="45">
        <v>4803.3982437576997</v>
      </c>
      <c r="C11" s="46">
        <v>73.8</v>
      </c>
      <c r="D11" s="65">
        <f t="shared" si="0"/>
        <v>354490.79038931819</v>
      </c>
      <c r="E11" s="65">
        <f t="shared" si="1"/>
        <v>23072634.688134555</v>
      </c>
      <c r="F11" s="62">
        <f t="shared" si="1"/>
        <v>5446.44</v>
      </c>
      <c r="G11" s="65">
        <f t="shared" si="2"/>
        <v>-2684.0680954856625</v>
      </c>
      <c r="H11" s="65">
        <f t="shared" si="4"/>
        <v>7204221.5412040316</v>
      </c>
      <c r="I11" s="63">
        <f t="shared" si="3"/>
        <v>3.9025641025641278</v>
      </c>
      <c r="J11" s="64">
        <f t="shared" si="5"/>
        <v>15.230006574622156</v>
      </c>
    </row>
    <row r="12" spans="1:10" x14ac:dyDescent="0.3">
      <c r="A12" s="44" t="s">
        <v>64</v>
      </c>
      <c r="B12" s="45">
        <v>17301.3386873243</v>
      </c>
      <c r="C12" s="47">
        <v>76.900000000000006</v>
      </c>
      <c r="D12" s="65">
        <f t="shared" si="0"/>
        <v>1330472.9450552387</v>
      </c>
      <c r="E12" s="65">
        <f t="shared" si="1"/>
        <v>299336320.37350452</v>
      </c>
      <c r="F12" s="62">
        <f t="shared" si="1"/>
        <v>5913.6100000000006</v>
      </c>
      <c r="G12" s="65">
        <f t="shared" si="2"/>
        <v>9813.8723480809385</v>
      </c>
      <c r="H12" s="65">
        <f t="shared" si="4"/>
        <v>96312090.46442768</v>
      </c>
      <c r="I12" s="63">
        <f t="shared" si="3"/>
        <v>7.0025641025641363</v>
      </c>
      <c r="J12" s="64">
        <f t="shared" si="5"/>
        <v>49.035904010519864</v>
      </c>
    </row>
    <row r="13" spans="1:10" x14ac:dyDescent="0.3">
      <c r="A13" s="48" t="s">
        <v>66</v>
      </c>
      <c r="B13" s="49">
        <v>1976.6148298829301</v>
      </c>
      <c r="C13" s="52">
        <v>70.400000000000006</v>
      </c>
      <c r="D13" s="65">
        <f t="shared" si="0"/>
        <v>139153.68402375828</v>
      </c>
      <c r="E13" s="65">
        <f t="shared" si="1"/>
        <v>3907006.1857131245</v>
      </c>
      <c r="F13" s="62">
        <f t="shared" si="1"/>
        <v>4956.1600000000008</v>
      </c>
      <c r="G13" s="65">
        <f t="shared" si="2"/>
        <v>-5510.8515093604319</v>
      </c>
      <c r="H13" s="65">
        <f t="shared" si="4"/>
        <v>30369484.358220149</v>
      </c>
      <c r="I13" s="63">
        <f t="shared" si="3"/>
        <v>0.50256410256413631</v>
      </c>
      <c r="J13" s="64">
        <f t="shared" si="5"/>
        <v>0.25257067718609572</v>
      </c>
    </row>
    <row r="14" spans="1:10" x14ac:dyDescent="0.3">
      <c r="A14" s="48" t="s">
        <v>67</v>
      </c>
      <c r="B14" s="49">
        <v>2579.1156070208899</v>
      </c>
      <c r="C14" s="52">
        <v>74.3</v>
      </c>
      <c r="D14" s="65">
        <f t="shared" si="0"/>
        <v>191628.28960165213</v>
      </c>
      <c r="E14" s="65">
        <f t="shared" si="1"/>
        <v>6651837.3143787337</v>
      </c>
      <c r="F14" s="62">
        <f t="shared" si="1"/>
        <v>5520.49</v>
      </c>
      <c r="G14" s="65">
        <f t="shared" si="2"/>
        <v>-4908.3507322224723</v>
      </c>
      <c r="H14" s="65">
        <f t="shared" si="4"/>
        <v>24091906.910508879</v>
      </c>
      <c r="I14" s="63">
        <f t="shared" si="3"/>
        <v>4.4025641025641278</v>
      </c>
      <c r="J14" s="64">
        <f t="shared" si="5"/>
        <v>19.382570677186283</v>
      </c>
    </row>
    <row r="15" spans="1:10" x14ac:dyDescent="0.3">
      <c r="A15" s="48" t="s">
        <v>68</v>
      </c>
      <c r="B15" s="49">
        <v>8875.1382120855305</v>
      </c>
      <c r="C15" s="52">
        <v>58.7</v>
      </c>
      <c r="D15" s="65">
        <f t="shared" si="0"/>
        <v>520970.61304942064</v>
      </c>
      <c r="E15" s="65">
        <f t="shared" si="1"/>
        <v>78768078.283620745</v>
      </c>
      <c r="F15" s="62">
        <f t="shared" si="1"/>
        <v>3445.6900000000005</v>
      </c>
      <c r="G15" s="65">
        <f t="shared" si="2"/>
        <v>1387.6718728421683</v>
      </c>
      <c r="H15" s="65">
        <f t="shared" si="4"/>
        <v>1925633.2266772911</v>
      </c>
      <c r="I15" s="63">
        <f t="shared" si="3"/>
        <v>-11.197435897435867</v>
      </c>
      <c r="J15" s="64">
        <f t="shared" si="5"/>
        <v>125.38257067718537</v>
      </c>
    </row>
    <row r="16" spans="1:10" x14ac:dyDescent="0.3">
      <c r="A16" s="48" t="s">
        <v>69</v>
      </c>
      <c r="B16" s="49">
        <v>154.809661243308</v>
      </c>
      <c r="C16" s="52">
        <v>60.2</v>
      </c>
      <c r="D16" s="65">
        <f t="shared" si="0"/>
        <v>9319.5416068471422</v>
      </c>
      <c r="E16" s="65">
        <f t="shared" si="1"/>
        <v>23966.031214267779</v>
      </c>
      <c r="F16" s="62">
        <f t="shared" si="1"/>
        <v>3624.0400000000004</v>
      </c>
      <c r="G16" s="65">
        <f t="shared" si="2"/>
        <v>-7332.6566780000539</v>
      </c>
      <c r="H16" s="65">
        <f t="shared" si="4"/>
        <v>53767853.957418784</v>
      </c>
      <c r="I16" s="63">
        <f t="shared" si="3"/>
        <v>-9.6974358974358665</v>
      </c>
      <c r="J16" s="64">
        <f t="shared" si="5"/>
        <v>94.040262984877771</v>
      </c>
    </row>
    <row r="17" spans="1:10" x14ac:dyDescent="0.3">
      <c r="A17" s="48" t="s">
        <v>70</v>
      </c>
      <c r="B17" s="49">
        <v>6525.5412718361304</v>
      </c>
      <c r="C17" s="51">
        <v>76.3</v>
      </c>
      <c r="D17" s="65">
        <f t="shared" si="0"/>
        <v>497898.7990410967</v>
      </c>
      <c r="E17" s="65">
        <f t="shared" si="1"/>
        <v>42582688.890436701</v>
      </c>
      <c r="F17" s="62">
        <f t="shared" si="1"/>
        <v>5821.69</v>
      </c>
      <c r="G17" s="65">
        <f t="shared" si="2"/>
        <v>-961.92506740723184</v>
      </c>
      <c r="H17" s="65">
        <f t="shared" si="4"/>
        <v>925299.83530640753</v>
      </c>
      <c r="I17" s="63">
        <f t="shared" si="3"/>
        <v>6.4025641025641278</v>
      </c>
      <c r="J17" s="64">
        <f t="shared" si="5"/>
        <v>40.992827087442798</v>
      </c>
    </row>
    <row r="18" spans="1:10" x14ac:dyDescent="0.3">
      <c r="A18" s="48" t="s">
        <v>71</v>
      </c>
      <c r="B18" s="49">
        <v>229.67695250258399</v>
      </c>
      <c r="C18" s="51">
        <v>62.9</v>
      </c>
      <c r="D18" s="65">
        <f t="shared" si="0"/>
        <v>14446.680312412533</v>
      </c>
      <c r="E18" s="65">
        <f t="shared" si="1"/>
        <v>52751.502510874219</v>
      </c>
      <c r="F18" s="62">
        <f t="shared" si="1"/>
        <v>3956.41</v>
      </c>
      <c r="G18" s="65">
        <f t="shared" si="2"/>
        <v>-7257.7893867407784</v>
      </c>
      <c r="H18" s="65">
        <f t="shared" si="4"/>
        <v>52675506.782287084</v>
      </c>
      <c r="I18" s="63">
        <f t="shared" si="3"/>
        <v>-6.9974358974358708</v>
      </c>
      <c r="J18" s="64">
        <f t="shared" si="5"/>
        <v>48.964109138724147</v>
      </c>
    </row>
    <row r="19" spans="1:10" x14ac:dyDescent="0.3">
      <c r="A19" s="48" t="s">
        <v>72</v>
      </c>
      <c r="B19" s="49">
        <v>2242.6892590816201</v>
      </c>
      <c r="C19" s="50">
        <v>65.3</v>
      </c>
      <c r="D19" s="65">
        <f t="shared" si="0"/>
        <v>146447.60861802977</v>
      </c>
      <c r="E19" s="65">
        <f t="shared" si="1"/>
        <v>5029655.1128000664</v>
      </c>
      <c r="F19" s="62">
        <f t="shared" si="1"/>
        <v>4264.0899999999992</v>
      </c>
      <c r="G19" s="65">
        <f t="shared" si="2"/>
        <v>-5244.7770801617426</v>
      </c>
      <c r="H19" s="65">
        <f t="shared" si="4"/>
        <v>27507686.620589934</v>
      </c>
      <c r="I19" s="63">
        <f t="shared" si="3"/>
        <v>-4.5974358974358722</v>
      </c>
      <c r="J19" s="64">
        <f t="shared" si="5"/>
        <v>21.136416831031983</v>
      </c>
    </row>
    <row r="20" spans="1:10" x14ac:dyDescent="0.3">
      <c r="A20" s="48" t="s">
        <v>73</v>
      </c>
      <c r="B20" s="49">
        <v>27570.4852043504</v>
      </c>
      <c r="C20" s="50">
        <v>80.3</v>
      </c>
      <c r="D20" s="65">
        <f t="shared" si="0"/>
        <v>2213909.961909337</v>
      </c>
      <c r="E20" s="65">
        <f t="shared" si="1"/>
        <v>760131654.40330434</v>
      </c>
      <c r="F20" s="62">
        <f t="shared" si="1"/>
        <v>6448.0899999999992</v>
      </c>
      <c r="G20" s="65">
        <f t="shared" si="2"/>
        <v>20083.018865107038</v>
      </c>
      <c r="H20" s="65">
        <f t="shared" si="4"/>
        <v>403327646.73624521</v>
      </c>
      <c r="I20" s="63">
        <f t="shared" si="3"/>
        <v>10.402564102564128</v>
      </c>
      <c r="J20" s="64">
        <f t="shared" si="5"/>
        <v>108.21333990795581</v>
      </c>
    </row>
    <row r="21" spans="1:10" x14ac:dyDescent="0.3">
      <c r="A21" s="48" t="s">
        <v>74</v>
      </c>
      <c r="B21" s="49">
        <v>23016.847782827699</v>
      </c>
      <c r="C21" s="50">
        <v>81.599999999999994</v>
      </c>
      <c r="D21" s="65">
        <f t="shared" si="0"/>
        <v>1878174.7790787402</v>
      </c>
      <c r="E21" s="65">
        <f t="shared" si="1"/>
        <v>529775281.85786039</v>
      </c>
      <c r="F21" s="62">
        <f t="shared" si="1"/>
        <v>6658.5599999999995</v>
      </c>
      <c r="G21" s="65">
        <f t="shared" si="2"/>
        <v>15529.381443584338</v>
      </c>
      <c r="H21" s="65">
        <f t="shared" si="4"/>
        <v>241161688.02034158</v>
      </c>
      <c r="I21" s="63">
        <f t="shared" si="3"/>
        <v>11.702564102564125</v>
      </c>
      <c r="J21" s="64">
        <f t="shared" si="5"/>
        <v>136.95000657462248</v>
      </c>
    </row>
    <row r="22" spans="1:10" x14ac:dyDescent="0.3">
      <c r="A22" s="48" t="s">
        <v>75</v>
      </c>
      <c r="B22" s="49">
        <v>4333.8110368258103</v>
      </c>
      <c r="C22" s="53">
        <v>63.3</v>
      </c>
      <c r="D22" s="65">
        <f t="shared" si="0"/>
        <v>274330.23863107379</v>
      </c>
      <c r="E22" s="65">
        <f t="shared" si="1"/>
        <v>18781918.102913205</v>
      </c>
      <c r="F22" s="62">
        <f t="shared" si="1"/>
        <v>4006.8899999999994</v>
      </c>
      <c r="G22" s="65">
        <f t="shared" si="2"/>
        <v>-3153.6553024175519</v>
      </c>
      <c r="H22" s="65">
        <f t="shared" si="4"/>
        <v>9945541.7664663401</v>
      </c>
      <c r="I22" s="63">
        <f t="shared" si="3"/>
        <v>-6.5974358974358722</v>
      </c>
      <c r="J22" s="64">
        <f t="shared" si="5"/>
        <v>43.526160420775476</v>
      </c>
    </row>
    <row r="23" spans="1:10" x14ac:dyDescent="0.3">
      <c r="A23" s="48" t="s">
        <v>76</v>
      </c>
      <c r="B23" s="49">
        <v>614.91208678911403</v>
      </c>
      <c r="C23" s="53">
        <v>67.099999999999994</v>
      </c>
      <c r="D23" s="65">
        <f t="shared" si="0"/>
        <v>41260.601023549549</v>
      </c>
      <c r="E23" s="65">
        <f t="shared" si="1"/>
        <v>378116.87447934289</v>
      </c>
      <c r="F23" s="62">
        <f t="shared" si="1"/>
        <v>4502.4099999999989</v>
      </c>
      <c r="G23" s="65">
        <f t="shared" si="2"/>
        <v>-6872.5542524542479</v>
      </c>
      <c r="H23" s="65">
        <f t="shared" si="4"/>
        <v>47232001.952926964</v>
      </c>
      <c r="I23" s="63">
        <f t="shared" si="3"/>
        <v>-2.7974358974358751</v>
      </c>
      <c r="J23" s="64">
        <f t="shared" si="5"/>
        <v>7.8256476002628599</v>
      </c>
    </row>
    <row r="24" spans="1:10" x14ac:dyDescent="0.3">
      <c r="A24" s="48" t="s">
        <v>77</v>
      </c>
      <c r="B24" s="49">
        <v>1334.6467733299201</v>
      </c>
      <c r="C24" s="53">
        <v>72.2</v>
      </c>
      <c r="D24" s="65">
        <f t="shared" si="0"/>
        <v>96361.49703442023</v>
      </c>
      <c r="E24" s="65">
        <f t="shared" si="1"/>
        <v>1781282.0095599671</v>
      </c>
      <c r="F24" s="62">
        <f t="shared" si="1"/>
        <v>5212.84</v>
      </c>
      <c r="G24" s="65">
        <f t="shared" si="2"/>
        <v>-6152.8195659134417</v>
      </c>
      <c r="H24" s="65">
        <f t="shared" si="4"/>
        <v>37857188.610687271</v>
      </c>
      <c r="I24" s="63">
        <f t="shared" si="3"/>
        <v>2.3025641025641335</v>
      </c>
      <c r="J24" s="64">
        <f t="shared" si="5"/>
        <v>5.3018014464169729</v>
      </c>
    </row>
    <row r="25" spans="1:10" x14ac:dyDescent="0.3">
      <c r="A25" s="48" t="s">
        <v>78</v>
      </c>
      <c r="B25" s="49">
        <v>26206.548266275699</v>
      </c>
      <c r="C25" s="53">
        <v>80.5</v>
      </c>
      <c r="D25" s="65">
        <f t="shared" si="0"/>
        <v>2109627.1354351938</v>
      </c>
      <c r="E25" s="65">
        <f t="shared" si="1"/>
        <v>686783172.03263783</v>
      </c>
      <c r="F25" s="62">
        <f t="shared" si="1"/>
        <v>6480.25</v>
      </c>
      <c r="G25" s="65">
        <f t="shared" si="2"/>
        <v>18719.081927032337</v>
      </c>
      <c r="H25" s="65">
        <f t="shared" si="4"/>
        <v>350404028.19094867</v>
      </c>
      <c r="I25" s="63">
        <f t="shared" si="3"/>
        <v>10.602564102564131</v>
      </c>
      <c r="J25" s="64">
        <f t="shared" si="5"/>
        <v>112.41436554898152</v>
      </c>
    </row>
    <row r="26" spans="1:10" x14ac:dyDescent="0.3">
      <c r="A26" s="48" t="s">
        <v>79</v>
      </c>
      <c r="B26" s="49">
        <v>402.69532751150302</v>
      </c>
      <c r="C26" s="53">
        <v>63.5</v>
      </c>
      <c r="D26" s="65">
        <f t="shared" si="0"/>
        <v>25571.153296980443</v>
      </c>
      <c r="E26" s="65">
        <f t="shared" si="1"/>
        <v>162163.52679959667</v>
      </c>
      <c r="F26" s="62">
        <f t="shared" si="1"/>
        <v>4032.25</v>
      </c>
      <c r="G26" s="65">
        <f t="shared" si="2"/>
        <v>-7084.7710117318593</v>
      </c>
      <c r="H26" s="65">
        <f t="shared" si="4"/>
        <v>50193980.288676076</v>
      </c>
      <c r="I26" s="63">
        <f t="shared" si="3"/>
        <v>-6.3974358974358694</v>
      </c>
      <c r="J26" s="64">
        <f t="shared" si="5"/>
        <v>40.927186061801088</v>
      </c>
    </row>
    <row r="27" spans="1:10" x14ac:dyDescent="0.3">
      <c r="A27" s="48" t="s">
        <v>80</v>
      </c>
      <c r="B27" s="49">
        <v>12509.0141479912</v>
      </c>
      <c r="C27" s="54">
        <v>80.5</v>
      </c>
      <c r="D27" s="65">
        <f t="shared" si="0"/>
        <v>1006975.6389132916</v>
      </c>
      <c r="E27" s="65">
        <f t="shared" si="1"/>
        <v>156475434.95464399</v>
      </c>
      <c r="F27" s="62">
        <f t="shared" si="1"/>
        <v>6480.25</v>
      </c>
      <c r="G27" s="65">
        <f t="shared" si="2"/>
        <v>5021.5478087478377</v>
      </c>
      <c r="H27" s="65">
        <f t="shared" si="4"/>
        <v>25215942.395540211</v>
      </c>
      <c r="I27" s="63">
        <f t="shared" si="3"/>
        <v>10.602564102564131</v>
      </c>
      <c r="J27" s="64">
        <f t="shared" si="5"/>
        <v>112.41436554898152</v>
      </c>
    </row>
    <row r="28" spans="1:10" x14ac:dyDescent="0.3">
      <c r="A28" s="48" t="s">
        <v>81</v>
      </c>
      <c r="B28" s="49">
        <v>20751.8934243568</v>
      </c>
      <c r="C28" s="54">
        <v>71.2</v>
      </c>
      <c r="D28" s="65">
        <f t="shared" si="0"/>
        <v>1477534.8118142043</v>
      </c>
      <c r="E28" s="65">
        <f t="shared" si="1"/>
        <v>430641080.69586301</v>
      </c>
      <c r="F28" s="62">
        <f t="shared" si="1"/>
        <v>5069.4400000000005</v>
      </c>
      <c r="G28" s="65">
        <f t="shared" si="2"/>
        <v>13264.427085113439</v>
      </c>
      <c r="H28" s="65">
        <f t="shared" si="4"/>
        <v>175945025.89629099</v>
      </c>
      <c r="I28" s="63">
        <f t="shared" si="3"/>
        <v>1.3025641025641335</v>
      </c>
      <c r="J28" s="64">
        <f t="shared" si="5"/>
        <v>1.6966732412887064</v>
      </c>
    </row>
    <row r="29" spans="1:10" x14ac:dyDescent="0.3">
      <c r="A29" s="48" t="s">
        <v>82</v>
      </c>
      <c r="B29" s="49">
        <v>6047.2007971991898</v>
      </c>
      <c r="C29" s="54">
        <v>71</v>
      </c>
      <c r="D29" s="65">
        <f t="shared" si="0"/>
        <v>429351.25660114246</v>
      </c>
      <c r="E29" s="65">
        <f t="shared" si="1"/>
        <v>36568637.481646515</v>
      </c>
      <c r="F29" s="62">
        <f t="shared" si="1"/>
        <v>5041</v>
      </c>
      <c r="G29" s="65">
        <f t="shared" si="2"/>
        <v>-1440.2655420441724</v>
      </c>
      <c r="H29" s="65">
        <f t="shared" si="4"/>
        <v>2074364.8315997939</v>
      </c>
      <c r="I29" s="63">
        <f t="shared" si="3"/>
        <v>1.1025641025641306</v>
      </c>
      <c r="J29" s="64">
        <f t="shared" si="5"/>
        <v>1.2156476002630467</v>
      </c>
    </row>
    <row r="30" spans="1:10" x14ac:dyDescent="0.3">
      <c r="A30" s="48" t="s">
        <v>83</v>
      </c>
      <c r="B30" s="49">
        <v>1886.42362286652</v>
      </c>
      <c r="C30" s="55">
        <v>71.599999999999994</v>
      </c>
      <c r="D30" s="65">
        <f t="shared" si="0"/>
        <v>135067.93139724282</v>
      </c>
      <c r="E30" s="65">
        <f t="shared" si="1"/>
        <v>3558594.0849088463</v>
      </c>
      <c r="F30" s="62">
        <f t="shared" si="1"/>
        <v>5126.5599999999995</v>
      </c>
      <c r="G30" s="65">
        <f t="shared" si="2"/>
        <v>-5601.0427163768418</v>
      </c>
      <c r="H30" s="65">
        <f t="shared" si="4"/>
        <v>31371679.510678072</v>
      </c>
      <c r="I30" s="63">
        <f t="shared" si="3"/>
        <v>1.7025641025641249</v>
      </c>
      <c r="J30" s="64">
        <f t="shared" si="5"/>
        <v>2.8987245233399843</v>
      </c>
    </row>
    <row r="31" spans="1:10" x14ac:dyDescent="0.3">
      <c r="A31" s="48" t="s">
        <v>84</v>
      </c>
      <c r="B31" s="49">
        <v>394.11566378863102</v>
      </c>
      <c r="C31" s="56">
        <v>58.2</v>
      </c>
      <c r="D31" s="65">
        <f t="shared" si="0"/>
        <v>22937.531632498325</v>
      </c>
      <c r="E31" s="65">
        <f t="shared" si="1"/>
        <v>155327.15644355325</v>
      </c>
      <c r="F31" s="62">
        <f t="shared" si="1"/>
        <v>3387.2400000000002</v>
      </c>
      <c r="G31" s="65">
        <f t="shared" si="2"/>
        <v>-7093.3506754547316</v>
      </c>
      <c r="H31" s="65">
        <f t="shared" si="4"/>
        <v>50315623.804974094</v>
      </c>
      <c r="I31" s="63">
        <f t="shared" si="3"/>
        <v>-11.697435897435867</v>
      </c>
      <c r="J31" s="64">
        <f t="shared" si="5"/>
        <v>136.83000657462122</v>
      </c>
    </row>
    <row r="32" spans="1:10" x14ac:dyDescent="0.3">
      <c r="A32" s="48" t="s">
        <v>85</v>
      </c>
      <c r="B32" s="49">
        <v>166.346654875193</v>
      </c>
      <c r="C32" s="56">
        <v>54.5</v>
      </c>
      <c r="D32" s="65">
        <f t="shared" si="0"/>
        <v>9065.8926906980178</v>
      </c>
      <c r="E32" s="65">
        <f t="shared" si="1"/>
        <v>27671.20958816657</v>
      </c>
      <c r="F32" s="62">
        <f t="shared" si="1"/>
        <v>2970.25</v>
      </c>
      <c r="G32" s="65">
        <f t="shared" si="2"/>
        <v>-7321.1196843681691</v>
      </c>
      <c r="H32" s="65">
        <f t="shared" si="4"/>
        <v>53598793.432843082</v>
      </c>
      <c r="I32" s="63">
        <f t="shared" si="3"/>
        <v>-15.397435897435869</v>
      </c>
      <c r="J32" s="64">
        <f t="shared" si="5"/>
        <v>237.08103221564673</v>
      </c>
    </row>
    <row r="33" spans="1:10" x14ac:dyDescent="0.3">
      <c r="A33" s="48" t="s">
        <v>86</v>
      </c>
      <c r="B33" s="49">
        <v>1210.56955849834</v>
      </c>
      <c r="C33" s="56">
        <v>65.599999999999994</v>
      </c>
      <c r="D33" s="65">
        <f t="shared" si="0"/>
        <v>79413.363037491101</v>
      </c>
      <c r="E33" s="65">
        <f t="shared" si="1"/>
        <v>1465478.6559628658</v>
      </c>
      <c r="F33" s="62">
        <f t="shared" si="1"/>
        <v>4303.3599999999997</v>
      </c>
      <c r="G33" s="65">
        <f t="shared" si="2"/>
        <v>-6276.8967807450226</v>
      </c>
      <c r="H33" s="65">
        <f t="shared" si="4"/>
        <v>39399433.196127228</v>
      </c>
      <c r="I33" s="63">
        <f t="shared" si="3"/>
        <v>-4.2974358974358751</v>
      </c>
      <c r="J33" s="64">
        <f t="shared" si="5"/>
        <v>18.467955292570483</v>
      </c>
    </row>
    <row r="34" spans="1:10" x14ac:dyDescent="0.3">
      <c r="A34" s="57" t="s">
        <v>87</v>
      </c>
      <c r="B34" s="58">
        <v>1813.54490814426</v>
      </c>
      <c r="C34" s="59">
        <v>48</v>
      </c>
      <c r="D34" s="65">
        <f t="shared" si="0"/>
        <v>87050.155590924478</v>
      </c>
      <c r="E34" s="65">
        <f t="shared" si="1"/>
        <v>3288945.1338559724</v>
      </c>
      <c r="F34" s="62">
        <f t="shared" si="1"/>
        <v>2304</v>
      </c>
      <c r="G34" s="65">
        <f t="shared" si="2"/>
        <v>-5673.9214310991019</v>
      </c>
      <c r="H34" s="65">
        <f t="shared" si="4"/>
        <v>32193384.406285681</v>
      </c>
      <c r="I34" s="63">
        <f t="shared" si="3"/>
        <v>-21.897435897435869</v>
      </c>
      <c r="J34" s="64">
        <f t="shared" si="5"/>
        <v>479.49769888231305</v>
      </c>
    </row>
    <row r="35" spans="1:10" x14ac:dyDescent="0.3">
      <c r="A35" s="57" t="s">
        <v>88</v>
      </c>
      <c r="B35" s="58">
        <v>33630.246036845601</v>
      </c>
      <c r="C35" s="59">
        <v>81.7</v>
      </c>
      <c r="D35" s="65">
        <f t="shared" si="0"/>
        <v>2747591.1012102859</v>
      </c>
      <c r="E35" s="65">
        <f t="shared" si="1"/>
        <v>1130993448.4987693</v>
      </c>
      <c r="F35" s="62">
        <f t="shared" si="1"/>
        <v>6674.89</v>
      </c>
      <c r="G35" s="65">
        <f t="shared" si="2"/>
        <v>26142.77969760224</v>
      </c>
      <c r="H35" s="65">
        <f t="shared" si="4"/>
        <v>683444930.31736386</v>
      </c>
      <c r="I35" s="63">
        <f t="shared" si="3"/>
        <v>11.802564102564133</v>
      </c>
      <c r="J35" s="64">
        <f t="shared" si="5"/>
        <v>139.3005193951355</v>
      </c>
    </row>
    <row r="36" spans="1:10" x14ac:dyDescent="0.3">
      <c r="A36" s="57" t="s">
        <v>89</v>
      </c>
      <c r="B36" s="58">
        <v>39170.413709038199</v>
      </c>
      <c r="C36" s="59">
        <v>82.6</v>
      </c>
      <c r="D36" s="65">
        <f t="shared" si="0"/>
        <v>3235476.1723665548</v>
      </c>
      <c r="E36" s="65">
        <f t="shared" si="1"/>
        <v>1534321310.1372077</v>
      </c>
      <c r="F36" s="62">
        <f t="shared" si="1"/>
        <v>6822.7599999999993</v>
      </c>
      <c r="G36" s="65">
        <f t="shared" si="2"/>
        <v>31682.947369794838</v>
      </c>
      <c r="H36" s="65">
        <f t="shared" si="4"/>
        <v>1003809154.0371896</v>
      </c>
      <c r="I36" s="63">
        <f t="shared" si="3"/>
        <v>12.702564102564125</v>
      </c>
      <c r="J36" s="64">
        <f t="shared" si="5"/>
        <v>161.35513477975073</v>
      </c>
    </row>
    <row r="37" spans="1:10" x14ac:dyDescent="0.3">
      <c r="A37" s="57" t="s">
        <v>90</v>
      </c>
      <c r="B37" s="58">
        <v>1525.80929335718</v>
      </c>
      <c r="C37" s="59">
        <v>75.099999999999994</v>
      </c>
      <c r="D37" s="65">
        <f t="shared" si="0"/>
        <v>114588.2779311242</v>
      </c>
      <c r="E37" s="65">
        <f t="shared" si="1"/>
        <v>2328093.9996951367</v>
      </c>
      <c r="F37" s="62">
        <f t="shared" si="1"/>
        <v>5640.0099999999993</v>
      </c>
      <c r="G37" s="65">
        <f t="shared" si="2"/>
        <v>-5961.6570458861825</v>
      </c>
      <c r="H37" s="65">
        <f t="shared" si="4"/>
        <v>35541354.732764363</v>
      </c>
      <c r="I37" s="63">
        <f t="shared" si="3"/>
        <v>5.2025641025641249</v>
      </c>
      <c r="J37" s="64">
        <f t="shared" si="5"/>
        <v>27.066673241288857</v>
      </c>
    </row>
    <row r="38" spans="1:10" x14ac:dyDescent="0.3">
      <c r="A38" s="57" t="s">
        <v>91</v>
      </c>
      <c r="B38" s="58">
        <v>295.360130689014</v>
      </c>
      <c r="C38" s="60">
        <v>70.099999999999994</v>
      </c>
      <c r="D38" s="65">
        <f t="shared" si="0"/>
        <v>20704.745161299881</v>
      </c>
      <c r="E38" s="65">
        <f t="shared" si="1"/>
        <v>87237.606800631431</v>
      </c>
      <c r="F38" s="62">
        <f t="shared" si="1"/>
        <v>4914.0099999999993</v>
      </c>
      <c r="G38" s="65">
        <f t="shared" si="2"/>
        <v>-7192.1062085543481</v>
      </c>
      <c r="H38" s="65">
        <f t="shared" si="4"/>
        <v>51726391.715126</v>
      </c>
      <c r="I38" s="63">
        <f t="shared" si="3"/>
        <v>0.20256410256412494</v>
      </c>
      <c r="J38" s="64">
        <f t="shared" si="5"/>
        <v>4.1032215647609324E-2</v>
      </c>
    </row>
    <row r="39" spans="1:10" x14ac:dyDescent="0.3">
      <c r="A39" s="57" t="s">
        <v>92</v>
      </c>
      <c r="B39" s="58">
        <v>473.88123646000003</v>
      </c>
      <c r="C39" s="60">
        <v>61.7</v>
      </c>
      <c r="D39" s="65">
        <f t="shared" si="0"/>
        <v>29238.472289582001</v>
      </c>
      <c r="E39" s="65">
        <f t="shared" si="1"/>
        <v>224563.42626885846</v>
      </c>
      <c r="F39" s="62">
        <f t="shared" si="1"/>
        <v>3806.8900000000003</v>
      </c>
      <c r="G39" s="65">
        <f t="shared" si="2"/>
        <v>-7013.5851027833623</v>
      </c>
      <c r="H39" s="65">
        <f t="shared" si="4"/>
        <v>49190375.993984707</v>
      </c>
      <c r="I39" s="63">
        <f t="shared" si="3"/>
        <v>-8.1974358974358665</v>
      </c>
      <c r="J39" s="64">
        <f t="shared" si="5"/>
        <v>67.197955292570171</v>
      </c>
    </row>
    <row r="40" spans="1:10" x14ac:dyDescent="0.3">
      <c r="A40" s="57" t="s">
        <v>93</v>
      </c>
      <c r="B40" s="58">
        <v>2699.1232424985801</v>
      </c>
      <c r="C40" s="60">
        <v>74.3</v>
      </c>
      <c r="D40" s="65">
        <f t="shared" si="0"/>
        <v>200544.8569176445</v>
      </c>
      <c r="E40" s="65">
        <f t="shared" si="1"/>
        <v>7285266.2781960489</v>
      </c>
      <c r="F40" s="62">
        <f t="shared" si="1"/>
        <v>5520.49</v>
      </c>
      <c r="G40" s="65">
        <f t="shared" si="2"/>
        <v>-4788.3430967447821</v>
      </c>
      <c r="H40" s="65">
        <f t="shared" si="4"/>
        <v>22928229.612143409</v>
      </c>
      <c r="I40" s="63">
        <f t="shared" si="3"/>
        <v>4.4025641025641278</v>
      </c>
      <c r="J40" s="64">
        <f t="shared" si="5"/>
        <v>19.382570677186283</v>
      </c>
    </row>
    <row r="41" spans="1:10" x14ac:dyDescent="0.3">
      <c r="A41" s="57" t="s">
        <v>94</v>
      </c>
      <c r="B41" s="58">
        <v>451.982598570427</v>
      </c>
      <c r="C41" s="60">
        <v>71.3</v>
      </c>
      <c r="D41" s="65">
        <f t="shared" si="0"/>
        <v>32226.359278071443</v>
      </c>
      <c r="E41" s="65">
        <f t="shared" si="1"/>
        <v>204288.26941047577</v>
      </c>
      <c r="F41" s="62">
        <f t="shared" si="1"/>
        <v>5083.6899999999996</v>
      </c>
      <c r="G41" s="65">
        <f t="shared" si="2"/>
        <v>-7035.4837406729348</v>
      </c>
      <c r="H41" s="65">
        <f t="shared" si="4"/>
        <v>49498031.465273231</v>
      </c>
      <c r="I41" s="63">
        <f t="shared" si="3"/>
        <v>1.4025641025641278</v>
      </c>
      <c r="J41" s="64">
        <f t="shared" si="5"/>
        <v>1.9671860618015171</v>
      </c>
    </row>
    <row r="42" spans="1:10" x14ac:dyDescent="0.3">
      <c r="A42" s="70" t="s">
        <v>38</v>
      </c>
      <c r="B42" s="71">
        <f>SUM(B2:B41)</f>
        <v>292011.18723049114</v>
      </c>
      <c r="C42" s="72">
        <f>SUM(C2:C41)</f>
        <v>2725.9999999999991</v>
      </c>
      <c r="D42" s="71">
        <f t="shared" ref="D42:J42" si="6">SUM(D2:D41)</f>
        <v>22547282.152565479</v>
      </c>
      <c r="E42" s="72">
        <f t="shared" si="6"/>
        <v>6425108599.0774336</v>
      </c>
      <c r="F42" s="71">
        <f t="shared" si="6"/>
        <v>193258.32</v>
      </c>
      <c r="G42" s="73">
        <f>ROUND(SUM(G2:G41),2)</f>
        <v>0</v>
      </c>
      <c r="H42" s="71">
        <f t="shared" si="6"/>
        <v>4238684664.00664</v>
      </c>
      <c r="I42" s="74">
        <f>ROUND(SUM(I2:I41),2)</f>
        <v>0</v>
      </c>
      <c r="J42" s="72">
        <f t="shared" si="6"/>
        <v>2717.9097435897424</v>
      </c>
    </row>
    <row r="43" spans="1:10" ht="15" thickBot="1" x14ac:dyDescent="0.35">
      <c r="A43" s="57"/>
      <c r="B43" s="58"/>
      <c r="C43" s="61"/>
    </row>
    <row r="44" spans="1:10" ht="17.399999999999999" x14ac:dyDescent="0.3">
      <c r="A44" s="32" t="s">
        <v>54</v>
      </c>
      <c r="B44" s="33"/>
    </row>
    <row r="45" spans="1:10" x14ac:dyDescent="0.3">
      <c r="A45" s="34" t="s">
        <v>13</v>
      </c>
      <c r="B45" s="35">
        <f>COUNT(B2:B41)</f>
        <v>39</v>
      </c>
    </row>
    <row r="46" spans="1:10" x14ac:dyDescent="0.3">
      <c r="A46" s="34" t="s">
        <v>14</v>
      </c>
      <c r="B46" s="36">
        <f>B45*D42-B42*C42</f>
        <v>83321507.55973506</v>
      </c>
    </row>
    <row r="47" spans="1:10" x14ac:dyDescent="0.3">
      <c r="A47" s="34" t="s">
        <v>15</v>
      </c>
      <c r="B47" s="36">
        <f>(B45*E42-B42^2)^0.5</f>
        <v>406581.72843385243</v>
      </c>
    </row>
    <row r="48" spans="1:10" x14ac:dyDescent="0.3">
      <c r="A48" s="34" t="s">
        <v>16</v>
      </c>
      <c r="B48" s="36">
        <f>(B45*F42-C42^2)^0.5</f>
        <v>325.57407759218961</v>
      </c>
    </row>
    <row r="49" spans="1:2" x14ac:dyDescent="0.3">
      <c r="A49" s="34" t="s">
        <v>17</v>
      </c>
      <c r="B49" s="37">
        <f>ROUND(B46/(B47*B48), 3)</f>
        <v>0.629</v>
      </c>
    </row>
    <row r="50" spans="1:2" x14ac:dyDescent="0.3">
      <c r="A50" s="34" t="s">
        <v>18</v>
      </c>
      <c r="B50" s="37">
        <f>ROUND(CORREL(B2:B41,C2:C41), 3)</f>
        <v>0.629</v>
      </c>
    </row>
    <row r="51" spans="1:2" ht="27" x14ac:dyDescent="0.3">
      <c r="A51" s="34" t="s">
        <v>19</v>
      </c>
      <c r="B51" s="37">
        <f>B50^2</f>
        <v>0.39564100000000002</v>
      </c>
    </row>
    <row r="52" spans="1:2" x14ac:dyDescent="0.3">
      <c r="A52" s="34"/>
      <c r="B52" s="38"/>
    </row>
    <row r="53" spans="1:2" ht="34.799999999999997" x14ac:dyDescent="0.3">
      <c r="A53" s="39" t="s">
        <v>53</v>
      </c>
      <c r="B53" s="38"/>
    </row>
    <row r="54" spans="1:2" x14ac:dyDescent="0.3">
      <c r="A54" s="40" t="s">
        <v>55</v>
      </c>
      <c r="B54" s="38"/>
    </row>
    <row r="55" spans="1:2" x14ac:dyDescent="0.3">
      <c r="A55" s="34" t="s">
        <v>20</v>
      </c>
      <c r="B55" s="38">
        <f>B42/countone</f>
        <v>7487.4663392433622</v>
      </c>
    </row>
    <row r="56" spans="1:2" ht="27" x14ac:dyDescent="0.3">
      <c r="A56" s="34" t="s">
        <v>21</v>
      </c>
      <c r="B56" s="38">
        <f>(H42/countone)^0.5</f>
        <v>10425.172523944935</v>
      </c>
    </row>
    <row r="57" spans="1:2" x14ac:dyDescent="0.3">
      <c r="A57" s="34" t="s">
        <v>22</v>
      </c>
      <c r="B57" s="38">
        <f>_xlfn.STDEV.P($B$2:$B$41)</f>
        <v>10425.172523944935</v>
      </c>
    </row>
    <row r="58" spans="1:2" x14ac:dyDescent="0.3">
      <c r="A58" s="34" t="s">
        <v>23</v>
      </c>
      <c r="B58" s="38">
        <f>MEDIAN($B$2:$B$41)</f>
        <v>2242.6892590816201</v>
      </c>
    </row>
    <row r="59" spans="1:2" x14ac:dyDescent="0.3">
      <c r="A59" s="40" t="s">
        <v>24</v>
      </c>
      <c r="B59" s="38"/>
    </row>
    <row r="60" spans="1:2" x14ac:dyDescent="0.3">
      <c r="A60" s="34" t="s">
        <v>25</v>
      </c>
      <c r="B60" s="38">
        <f>QUARTILE($B$2:$B$41, 0)</f>
        <v>154.809661243308</v>
      </c>
    </row>
    <row r="61" spans="1:2" x14ac:dyDescent="0.3">
      <c r="A61" s="34" t="s">
        <v>26</v>
      </c>
      <c r="B61" s="38">
        <f>QUARTILE($B$2:$B$41, 1)</f>
        <v>912.74082264372703</v>
      </c>
    </row>
    <row r="62" spans="1:2" x14ac:dyDescent="0.3">
      <c r="A62" s="34" t="s">
        <v>27</v>
      </c>
      <c r="B62" s="38">
        <f>QUARTILE($B$2:$B$41, 2)</f>
        <v>2242.6892590816201</v>
      </c>
    </row>
    <row r="63" spans="1:2" x14ac:dyDescent="0.3">
      <c r="A63" s="34" t="s">
        <v>28</v>
      </c>
      <c r="B63" s="38">
        <f>QUARTILE($B$2:$B$41, 3)</f>
        <v>7700.33974196083</v>
      </c>
    </row>
    <row r="64" spans="1:2" x14ac:dyDescent="0.3">
      <c r="A64" s="34" t="s">
        <v>29</v>
      </c>
      <c r="B64" s="38">
        <f>QUARTILE($B$2:$B$41, 4)</f>
        <v>39170.413709038199</v>
      </c>
    </row>
    <row r="65" spans="1:2" x14ac:dyDescent="0.3">
      <c r="A65" s="34"/>
      <c r="B65" s="38"/>
    </row>
    <row r="66" spans="1:2" x14ac:dyDescent="0.3">
      <c r="A66" s="40" t="s">
        <v>51</v>
      </c>
      <c r="B66" s="38"/>
    </row>
    <row r="67" spans="1:2" x14ac:dyDescent="0.3">
      <c r="A67" s="34" t="s">
        <v>95</v>
      </c>
      <c r="B67" s="38">
        <f>C42/B45</f>
        <v>69.897435897435869</v>
      </c>
    </row>
    <row r="68" spans="1:2" x14ac:dyDescent="0.3">
      <c r="A68" s="34" t="s">
        <v>21</v>
      </c>
      <c r="B68" s="38">
        <f>ROUND(SQRT(J42/B45), 0)</f>
        <v>8</v>
      </c>
    </row>
    <row r="69" spans="1:2" x14ac:dyDescent="0.3">
      <c r="A69" s="34" t="s">
        <v>22</v>
      </c>
      <c r="B69" s="38">
        <f>ROUND(_xlfn.STDEV.P($C$2:$C$41),0)</f>
        <v>8</v>
      </c>
    </row>
    <row r="70" spans="1:2" x14ac:dyDescent="0.3">
      <c r="A70" s="34" t="s">
        <v>30</v>
      </c>
      <c r="B70" s="38"/>
    </row>
    <row r="71" spans="1:2" x14ac:dyDescent="0.3">
      <c r="A71" s="34" t="s">
        <v>23</v>
      </c>
      <c r="B71" s="38">
        <f>MEDIAN($C$2:$C$41)</f>
        <v>71.2</v>
      </c>
    </row>
    <row r="72" spans="1:2" x14ac:dyDescent="0.3">
      <c r="A72" s="40" t="s">
        <v>24</v>
      </c>
      <c r="B72" s="38"/>
    </row>
    <row r="73" spans="1:2" x14ac:dyDescent="0.3">
      <c r="A73" s="34" t="s">
        <v>25</v>
      </c>
      <c r="B73" s="38">
        <f>QUARTILE($C$2:$C$41, 0)</f>
        <v>48</v>
      </c>
    </row>
    <row r="74" spans="1:2" x14ac:dyDescent="0.3">
      <c r="A74" s="34" t="s">
        <v>26</v>
      </c>
      <c r="B74" s="38">
        <f>QUARTILE($C$2:$C$41, 1)</f>
        <v>63.4</v>
      </c>
    </row>
    <row r="75" spans="1:2" x14ac:dyDescent="0.3">
      <c r="A75" s="34" t="s">
        <v>27</v>
      </c>
      <c r="B75" s="38">
        <f>QUARTILE($C$2:$C$41, 2)</f>
        <v>71.2</v>
      </c>
    </row>
    <row r="76" spans="1:2" x14ac:dyDescent="0.3">
      <c r="A76" s="34" t="s">
        <v>28</v>
      </c>
      <c r="B76" s="38">
        <f>QUARTILE($C$2:$C$41, 3)</f>
        <v>75.699999999999989</v>
      </c>
    </row>
    <row r="77" spans="1:2" x14ac:dyDescent="0.3">
      <c r="A77" s="34" t="s">
        <v>29</v>
      </c>
      <c r="B77" s="38">
        <f>QUARTILE($C$2:$C$41, 4)</f>
        <v>82.6</v>
      </c>
    </row>
    <row r="78" spans="1:2" ht="15.6" x14ac:dyDescent="0.3">
      <c r="A78" s="69" t="s">
        <v>50</v>
      </c>
      <c r="B78" s="38"/>
    </row>
    <row r="79" spans="1:2" x14ac:dyDescent="0.3">
      <c r="A79" s="40" t="s">
        <v>31</v>
      </c>
      <c r="B79" s="38"/>
    </row>
    <row r="80" spans="1:2" x14ac:dyDescent="0.3">
      <c r="A80" s="34" t="s">
        <v>14</v>
      </c>
      <c r="B80" s="36">
        <f>countone*D42-B42*C42</f>
        <v>83321507.55973506</v>
      </c>
    </row>
    <row r="81" spans="1:6" x14ac:dyDescent="0.3">
      <c r="A81" s="34" t="s">
        <v>32</v>
      </c>
      <c r="B81" s="36">
        <f>countone*E42-B42^2</f>
        <v>165308701896.25894</v>
      </c>
    </row>
    <row r="82" spans="1:6" x14ac:dyDescent="0.3">
      <c r="A82" s="34" t="s">
        <v>33</v>
      </c>
      <c r="B82" s="41">
        <f>B80/B81</f>
        <v>5.0403582269991005E-4</v>
      </c>
    </row>
    <row r="83" spans="1:6" x14ac:dyDescent="0.3">
      <c r="A83" s="34" t="s">
        <v>34</v>
      </c>
      <c r="B83" s="41">
        <f>SLOPE(C2:C41,B2:B41)</f>
        <v>5.0403582269990886E-4</v>
      </c>
    </row>
    <row r="84" spans="1:6" x14ac:dyDescent="0.3">
      <c r="A84" s="34"/>
      <c r="B84" s="36"/>
    </row>
    <row r="85" spans="1:6" x14ac:dyDescent="0.3">
      <c r="A85" s="40" t="s">
        <v>35</v>
      </c>
      <c r="B85" s="36"/>
    </row>
    <row r="86" spans="1:6" x14ac:dyDescent="0.3">
      <c r="A86" s="34" t="s">
        <v>36</v>
      </c>
      <c r="B86" s="42">
        <f>(C42-B82*B42)/countone</f>
        <v>66.123484641197464</v>
      </c>
    </row>
    <row r="87" spans="1:6" ht="15" thickBot="1" x14ac:dyDescent="0.35">
      <c r="A87" s="43" t="s">
        <v>37</v>
      </c>
      <c r="B87" s="68">
        <f>INTERCEPT(C2:C41,B2:B41)</f>
        <v>66.123484641197464</v>
      </c>
    </row>
    <row r="88" spans="1:6" x14ac:dyDescent="0.3">
      <c r="A88" s="66"/>
      <c r="B88" s="67"/>
    </row>
    <row r="89" spans="1:6" x14ac:dyDescent="0.3">
      <c r="A89" s="66"/>
      <c r="B89" s="67"/>
    </row>
    <row r="92" spans="1:6" x14ac:dyDescent="0.3">
      <c r="B92" t="s">
        <v>98</v>
      </c>
      <c r="C92" t="s">
        <v>99</v>
      </c>
      <c r="E92" t="s">
        <v>100</v>
      </c>
      <c r="F92" t="s">
        <v>101</v>
      </c>
    </row>
    <row r="93" spans="1:6" x14ac:dyDescent="0.3">
      <c r="A93" s="79">
        <v>1</v>
      </c>
      <c r="B93" s="80" t="s">
        <v>102</v>
      </c>
      <c r="C93" s="80">
        <v>27</v>
      </c>
      <c r="D93" s="87" t="s">
        <v>118</v>
      </c>
      <c r="E93" s="80" t="s">
        <v>110</v>
      </c>
      <c r="F93" s="88">
        <v>1</v>
      </c>
    </row>
    <row r="94" spans="1:6" x14ac:dyDescent="0.3">
      <c r="A94" s="81">
        <v>2</v>
      </c>
      <c r="B94" s="82" t="s">
        <v>103</v>
      </c>
      <c r="C94" s="82">
        <v>3</v>
      </c>
      <c r="D94" s="89">
        <v>2</v>
      </c>
      <c r="E94" s="82" t="s">
        <v>111</v>
      </c>
      <c r="F94" s="90">
        <v>1</v>
      </c>
    </row>
    <row r="95" spans="1:6" x14ac:dyDescent="0.3">
      <c r="A95" s="81">
        <v>3</v>
      </c>
      <c r="B95" s="82" t="s">
        <v>104</v>
      </c>
      <c r="C95" s="82">
        <v>1</v>
      </c>
      <c r="D95" s="89">
        <v>3</v>
      </c>
      <c r="E95" s="82" t="s">
        <v>112</v>
      </c>
      <c r="F95" s="90">
        <v>3</v>
      </c>
    </row>
    <row r="96" spans="1:6" x14ac:dyDescent="0.3">
      <c r="A96" s="81">
        <v>4</v>
      </c>
      <c r="B96" s="82" t="s">
        <v>105</v>
      </c>
      <c r="C96" s="82">
        <v>1</v>
      </c>
      <c r="D96" s="89">
        <v>4</v>
      </c>
      <c r="E96" s="82" t="s">
        <v>113</v>
      </c>
      <c r="F96" s="90">
        <v>6</v>
      </c>
    </row>
    <row r="97" spans="1:6" x14ac:dyDescent="0.3">
      <c r="A97" s="81">
        <v>5</v>
      </c>
      <c r="B97" s="82" t="s">
        <v>106</v>
      </c>
      <c r="C97" s="82">
        <v>3</v>
      </c>
      <c r="D97" s="89">
        <v>5</v>
      </c>
      <c r="E97" s="82" t="s">
        <v>114</v>
      </c>
      <c r="F97" s="90">
        <v>3</v>
      </c>
    </row>
    <row r="98" spans="1:6" x14ac:dyDescent="0.3">
      <c r="A98" s="81">
        <v>6</v>
      </c>
      <c r="B98" s="82" t="s">
        <v>107</v>
      </c>
      <c r="C98" s="82">
        <v>2</v>
      </c>
      <c r="D98" s="89">
        <v>6</v>
      </c>
      <c r="E98" s="82" t="s">
        <v>115</v>
      </c>
      <c r="F98" s="90">
        <v>14</v>
      </c>
    </row>
    <row r="99" spans="1:6" x14ac:dyDescent="0.3">
      <c r="A99" s="81">
        <v>7</v>
      </c>
      <c r="B99" s="82" t="s">
        <v>108</v>
      </c>
      <c r="C99" s="82">
        <v>1</v>
      </c>
      <c r="D99" s="89">
        <v>7</v>
      </c>
      <c r="E99" s="82" t="s">
        <v>116</v>
      </c>
      <c r="F99" s="90">
        <v>4</v>
      </c>
    </row>
    <row r="100" spans="1:6" x14ac:dyDescent="0.3">
      <c r="A100" s="81">
        <v>8</v>
      </c>
      <c r="B100" s="82" t="s">
        <v>109</v>
      </c>
      <c r="C100" s="82">
        <v>1</v>
      </c>
      <c r="D100" s="91">
        <v>8</v>
      </c>
      <c r="E100" s="85" t="s">
        <v>117</v>
      </c>
      <c r="F100" s="92">
        <v>7</v>
      </c>
    </row>
    <row r="101" spans="1:6" x14ac:dyDescent="0.3">
      <c r="A101" s="81"/>
      <c r="B101" s="82"/>
      <c r="C101" s="83"/>
    </row>
    <row r="102" spans="1:6" x14ac:dyDescent="0.3">
      <c r="A102" s="81"/>
      <c r="B102" s="82"/>
      <c r="C102" s="83"/>
    </row>
    <row r="103" spans="1:6" x14ac:dyDescent="0.3">
      <c r="A103" s="81"/>
      <c r="B103" s="82"/>
      <c r="C103" s="83"/>
    </row>
    <row r="104" spans="1:6" x14ac:dyDescent="0.3">
      <c r="A104" s="81"/>
      <c r="B104" s="82"/>
      <c r="C104" s="83"/>
    </row>
    <row r="105" spans="1:6" x14ac:dyDescent="0.3">
      <c r="A105" s="84"/>
      <c r="B105" s="85"/>
      <c r="C105" s="86"/>
    </row>
    <row r="106" spans="1:6" x14ac:dyDescent="0.3">
      <c r="B106" s="24"/>
      <c r="C106">
        <f>SUM(C93:C105)</f>
        <v>39</v>
      </c>
    </row>
    <row r="107" spans="1:6" x14ac:dyDescent="0.3">
      <c r="B107" s="24"/>
    </row>
    <row r="108" spans="1:6" x14ac:dyDescent="0.3">
      <c r="B108" s="24"/>
    </row>
  </sheetData>
  <conditionalFormatting sqref="B49">
    <cfRule type="cellIs" dxfId="41" priority="7" operator="equal">
      <formula>$B$50</formula>
    </cfRule>
  </conditionalFormatting>
  <conditionalFormatting sqref="B50">
    <cfRule type="cellIs" dxfId="40" priority="6" operator="equal">
      <formula>$B$49</formula>
    </cfRule>
  </conditionalFormatting>
  <conditionalFormatting sqref="B68">
    <cfRule type="cellIs" dxfId="39" priority="5" operator="equal">
      <formula>$B$69</formula>
    </cfRule>
  </conditionalFormatting>
  <conditionalFormatting sqref="B69:B72">
    <cfRule type="cellIs" dxfId="38" priority="4" operator="equal">
      <formula>$B$68</formula>
    </cfRule>
  </conditionalFormatting>
  <conditionalFormatting sqref="B56">
    <cfRule type="cellIs" dxfId="37" priority="3" operator="equal">
      <formula>$B$57</formula>
    </cfRule>
  </conditionalFormatting>
  <conditionalFormatting sqref="B57:B58">
    <cfRule type="cellIs" dxfId="36" priority="2" operator="equal">
      <formula>$B$56</formula>
    </cfRule>
  </conditionalFormatting>
  <conditionalFormatting sqref="B59">
    <cfRule type="cellIs" dxfId="35" priority="1" operator="equal">
      <formula>$B$68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J89"/>
  <sheetViews>
    <sheetView tabSelected="1" zoomScaleNormal="100" workbookViewId="0">
      <selection activeCell="B56" sqref="B56"/>
    </sheetView>
  </sheetViews>
  <sheetFormatPr defaultRowHeight="14.4" x14ac:dyDescent="0.3"/>
  <cols>
    <col min="1" max="1" width="26.6640625" customWidth="1"/>
    <col min="2" max="2" width="17.77734375" customWidth="1"/>
    <col min="3" max="3" width="12.77734375" customWidth="1"/>
    <col min="4" max="5" width="15.6640625" bestFit="1" customWidth="1"/>
    <col min="6" max="53" width="16.6640625" bestFit="1" customWidth="1"/>
  </cols>
  <sheetData>
    <row r="2" spans="1:218" x14ac:dyDescent="0.3">
      <c r="A2" s="1" t="s">
        <v>6</v>
      </c>
      <c r="B2" s="29">
        <v>1960</v>
      </c>
      <c r="C2" s="29">
        <v>1961</v>
      </c>
      <c r="D2" s="29">
        <v>1962</v>
      </c>
      <c r="E2" s="29">
        <v>1963</v>
      </c>
      <c r="F2" s="29">
        <v>1964</v>
      </c>
      <c r="G2" s="29">
        <v>1965</v>
      </c>
      <c r="H2" s="29">
        <v>1966</v>
      </c>
      <c r="I2" s="29">
        <v>1967</v>
      </c>
      <c r="J2" s="29">
        <v>1968</v>
      </c>
      <c r="K2" s="29">
        <v>1969</v>
      </c>
      <c r="L2" s="29">
        <v>1970</v>
      </c>
      <c r="M2" s="29">
        <v>1971</v>
      </c>
      <c r="N2" s="29">
        <v>1972</v>
      </c>
      <c r="O2" s="29">
        <v>1973</v>
      </c>
      <c r="P2" s="29">
        <v>1974</v>
      </c>
      <c r="Q2" s="29">
        <v>1975</v>
      </c>
      <c r="R2" s="29">
        <v>1976</v>
      </c>
      <c r="S2" s="29">
        <v>1977</v>
      </c>
      <c r="T2" s="29">
        <v>1978</v>
      </c>
      <c r="U2" s="29">
        <v>1979</v>
      </c>
      <c r="V2" s="29">
        <v>1980</v>
      </c>
      <c r="W2" s="29">
        <v>1981</v>
      </c>
      <c r="X2" s="29">
        <v>1982</v>
      </c>
      <c r="Y2" s="29">
        <v>1983</v>
      </c>
      <c r="Z2" s="29">
        <v>1984</v>
      </c>
      <c r="AA2" s="29">
        <v>1985</v>
      </c>
      <c r="AB2" s="29">
        <v>1986</v>
      </c>
      <c r="AC2" s="29">
        <v>1987</v>
      </c>
      <c r="AD2" s="29">
        <v>1988</v>
      </c>
      <c r="AE2" s="29">
        <v>1989</v>
      </c>
      <c r="AF2" s="29">
        <v>1990</v>
      </c>
      <c r="AG2" s="29">
        <v>1991</v>
      </c>
      <c r="AH2" s="29">
        <v>1992</v>
      </c>
      <c r="AI2" s="29">
        <v>1993</v>
      </c>
      <c r="AJ2" s="29">
        <v>1994</v>
      </c>
      <c r="AK2" s="29">
        <v>1995</v>
      </c>
      <c r="AL2" s="29">
        <v>1996</v>
      </c>
      <c r="AM2" s="29">
        <v>1997</v>
      </c>
      <c r="AN2" s="29">
        <v>1998</v>
      </c>
      <c r="AO2" s="29">
        <v>1999</v>
      </c>
      <c r="AP2" s="29">
        <v>2000</v>
      </c>
      <c r="AQ2" s="29">
        <v>2001</v>
      </c>
      <c r="AR2" s="29">
        <v>2002</v>
      </c>
      <c r="AS2" s="29">
        <v>2003</v>
      </c>
      <c r="AT2" s="29">
        <v>2004</v>
      </c>
      <c r="AU2" s="29">
        <v>2005</v>
      </c>
      <c r="AV2" s="29">
        <v>2006</v>
      </c>
      <c r="AW2" s="29">
        <v>2007</v>
      </c>
      <c r="AX2" s="29">
        <v>2008</v>
      </c>
      <c r="AY2" s="29">
        <v>2009</v>
      </c>
      <c r="AZ2" s="29"/>
      <c r="BA2" s="29"/>
    </row>
    <row r="3" spans="1:218" x14ac:dyDescent="0.3">
      <c r="A3" s="2" t="s">
        <v>0</v>
      </c>
      <c r="B3" s="30">
        <v>1280.38482759165</v>
      </c>
      <c r="C3" s="30">
        <v>1085.4146119652501</v>
      </c>
      <c r="D3" s="30">
        <v>855.94798600418096</v>
      </c>
      <c r="E3" s="30">
        <v>1128.4157799935299</v>
      </c>
      <c r="F3" s="30">
        <v>1170.32389585482</v>
      </c>
      <c r="G3" s="30">
        <v>1215.0157831444101</v>
      </c>
      <c r="H3" s="30">
        <v>1127.6142879557201</v>
      </c>
      <c r="I3" s="30">
        <v>1200.5582248497001</v>
      </c>
      <c r="J3" s="30">
        <v>1291.86398268998</v>
      </c>
      <c r="K3" s="30">
        <v>1359.49100330069</v>
      </c>
      <c r="L3" s="30">
        <v>1436.12977498743</v>
      </c>
      <c r="M3" s="30">
        <v>1235.6638034431501</v>
      </c>
      <c r="N3" s="30">
        <v>1527.64636527988</v>
      </c>
      <c r="O3" s="30">
        <v>1538.3064253898001</v>
      </c>
      <c r="P3" s="30">
        <v>1603.3496199968699</v>
      </c>
      <c r="Q3" s="30">
        <v>1632.2960182125601</v>
      </c>
      <c r="R3" s="30">
        <v>1714.0700531739201</v>
      </c>
      <c r="S3" s="30">
        <v>1747.6651274195001</v>
      </c>
      <c r="T3" s="30">
        <v>1848.4375084061201</v>
      </c>
      <c r="U3" s="30">
        <v>1923.2906202521499</v>
      </c>
      <c r="V3" s="30">
        <v>1876.07563869197</v>
      </c>
      <c r="W3" s="30">
        <v>1869.6212790007501</v>
      </c>
      <c r="X3" s="30">
        <v>1924.61408565743</v>
      </c>
      <c r="Y3" s="30">
        <v>1963.3651043320399</v>
      </c>
      <c r="Z3" s="30">
        <v>2008.4721757979</v>
      </c>
      <c r="AA3" s="30">
        <v>2020.08722020044</v>
      </c>
      <c r="AB3" s="30">
        <v>1969.7642169031701</v>
      </c>
      <c r="AC3" s="30">
        <v>1902.06109765119</v>
      </c>
      <c r="AD3" s="30">
        <v>1833.1528780459901</v>
      </c>
      <c r="AE3" s="30">
        <v>1864.7125820569399</v>
      </c>
      <c r="AF3" s="30">
        <v>1832.7433693967</v>
      </c>
      <c r="AG3" s="30">
        <v>1766.66083880419</v>
      </c>
      <c r="AH3" s="30">
        <v>1755.9736977047501</v>
      </c>
      <c r="AI3" s="30">
        <v>1680.3798556290899</v>
      </c>
      <c r="AJ3" s="30">
        <v>1630.3815076155199</v>
      </c>
      <c r="AK3" s="30">
        <v>1660.00419222038</v>
      </c>
      <c r="AL3" s="30">
        <v>1698.3338226988999</v>
      </c>
      <c r="AM3" s="30">
        <v>1690.2375383583901</v>
      </c>
      <c r="AN3" s="30">
        <v>1750.6508999330799</v>
      </c>
      <c r="AO3" s="30">
        <v>1781.1424639499801</v>
      </c>
      <c r="AP3" s="30">
        <v>1794.40523316556</v>
      </c>
      <c r="AQ3" s="30">
        <v>1814.4151300144099</v>
      </c>
      <c r="AR3" s="30">
        <v>1871.9219861649999</v>
      </c>
      <c r="AS3" s="30">
        <v>1971.5128025844699</v>
      </c>
      <c r="AT3" s="30">
        <v>2043.13571301002</v>
      </c>
      <c r="AU3" s="30">
        <v>2115.18602810314</v>
      </c>
      <c r="AV3" s="30">
        <v>2124.9577538049498</v>
      </c>
      <c r="AW3" s="30">
        <v>2155.4852310931201</v>
      </c>
      <c r="AX3" s="30">
        <v>2173.78790285474</v>
      </c>
      <c r="AY3" s="30">
        <v>2192.7039756832501</v>
      </c>
      <c r="AZ3" s="30"/>
      <c r="BA3" s="30"/>
    </row>
    <row r="4" spans="1:218" x14ac:dyDescent="0.3">
      <c r="A4" s="3" t="s">
        <v>1</v>
      </c>
      <c r="B4" s="30">
        <v>5251.8767540514</v>
      </c>
      <c r="C4" s="30">
        <v>5448.30362743764</v>
      </c>
      <c r="D4" s="30">
        <v>5316.5789694198702</v>
      </c>
      <c r="E4" s="30">
        <v>4956.2165220010602</v>
      </c>
      <c r="F4" s="30">
        <v>5375.4637072920796</v>
      </c>
      <c r="G4" s="30">
        <v>5855.6115625116299</v>
      </c>
      <c r="H4" s="30">
        <v>5733.3119457734401</v>
      </c>
      <c r="I4" s="30">
        <v>5833.0523050075799</v>
      </c>
      <c r="J4" s="30">
        <v>6028.1243345276698</v>
      </c>
      <c r="K4" s="30">
        <v>6515.3642607933598</v>
      </c>
      <c r="L4" s="30">
        <v>6611.2342033401101</v>
      </c>
      <c r="M4" s="30">
        <v>6872.7583448087998</v>
      </c>
      <c r="N4" s="30">
        <v>6867.5107886433798</v>
      </c>
      <c r="O4" s="30">
        <v>6940.1686346336201</v>
      </c>
      <c r="P4" s="30">
        <v>7200.9083140401499</v>
      </c>
      <c r="Q4" s="30">
        <v>7081.6606937407996</v>
      </c>
      <c r="R4" s="30">
        <v>6830.3077237196903</v>
      </c>
      <c r="S4" s="30">
        <v>7193.5650314955401</v>
      </c>
      <c r="T4" s="30">
        <v>6767.8122065335501</v>
      </c>
      <c r="U4" s="30">
        <v>7349.6239442290698</v>
      </c>
      <c r="V4" s="30">
        <v>7540.68526345994</v>
      </c>
      <c r="W4" s="30">
        <v>7004.4587400595401</v>
      </c>
      <c r="X4" s="30">
        <v>6556.3475857289304</v>
      </c>
      <c r="Y4" s="30">
        <v>6707.0568596827898</v>
      </c>
      <c r="Z4" s="30">
        <v>6751.8201114435396</v>
      </c>
      <c r="AA4" s="30">
        <v>6146.15545473564</v>
      </c>
      <c r="AB4" s="30">
        <v>6531.9264224035596</v>
      </c>
      <c r="AC4" s="30">
        <v>6623.3745064477798</v>
      </c>
      <c r="AD4" s="30">
        <v>6360.5886189623698</v>
      </c>
      <c r="AE4" s="30">
        <v>5800.0569816624902</v>
      </c>
      <c r="AF4" s="30">
        <v>5581.9623414429498</v>
      </c>
      <c r="AG4" s="30">
        <v>6203.44566219025</v>
      </c>
      <c r="AH4" s="30">
        <v>6851.7525860490296</v>
      </c>
      <c r="AI4" s="30">
        <v>7162.0934206128004</v>
      </c>
      <c r="AJ4" s="30">
        <v>7483.5609175719301</v>
      </c>
      <c r="AK4" s="30">
        <v>7179.9388261926397</v>
      </c>
      <c r="AL4" s="30">
        <v>7484.0040157722697</v>
      </c>
      <c r="AM4" s="30">
        <v>7994.1155471509301</v>
      </c>
      <c r="AN4" s="30">
        <v>8205.4745896152599</v>
      </c>
      <c r="AO4" s="30">
        <v>7839.5149381336396</v>
      </c>
      <c r="AP4" s="30">
        <v>7695.5940726726903</v>
      </c>
      <c r="AQ4" s="30">
        <v>7283.0629162149799</v>
      </c>
      <c r="AR4" s="30">
        <v>6428.3938359497497</v>
      </c>
      <c r="AS4" s="30">
        <v>6933.1555938845604</v>
      </c>
      <c r="AT4" s="30">
        <v>7492.2495076526302</v>
      </c>
      <c r="AU4" s="30">
        <v>8107.9753648205797</v>
      </c>
      <c r="AV4" s="30">
        <v>8717.17629634478</v>
      </c>
      <c r="AW4" s="30">
        <v>9388.6885225844198</v>
      </c>
      <c r="AX4" s="30">
        <v>9935.8342457628696</v>
      </c>
      <c r="AY4" s="30">
        <v>9933.2290236548597</v>
      </c>
      <c r="AZ4" s="30"/>
      <c r="BA4" s="30"/>
    </row>
    <row r="5" spans="1:218" x14ac:dyDescent="0.3">
      <c r="A5" s="4" t="s">
        <v>2</v>
      </c>
      <c r="B5" s="30">
        <v>9407.68508156194</v>
      </c>
      <c r="C5" s="30">
        <v>9451.5463036559704</v>
      </c>
      <c r="D5" s="30">
        <v>9351.0232718227599</v>
      </c>
      <c r="E5" s="30">
        <v>9749.1285631656101</v>
      </c>
      <c r="F5" s="30">
        <v>10231.144465485901</v>
      </c>
      <c r="G5" s="30">
        <v>10633.094400362201</v>
      </c>
      <c r="H5" s="30">
        <v>10635.6779118589</v>
      </c>
      <c r="I5" s="30">
        <v>11165.706459339801</v>
      </c>
      <c r="J5" s="30">
        <v>11533.0283159519</v>
      </c>
      <c r="K5" s="30">
        <v>12091.755331706499</v>
      </c>
      <c r="L5" s="30">
        <v>12708.919345574899</v>
      </c>
      <c r="M5" s="30">
        <v>12777.834069209301</v>
      </c>
      <c r="N5" s="30">
        <v>13034.081352417301</v>
      </c>
      <c r="O5" s="30">
        <v>13176.5853785868</v>
      </c>
      <c r="P5" s="30">
        <v>13375.981200792699</v>
      </c>
      <c r="Q5" s="30">
        <v>13375.559561329401</v>
      </c>
      <c r="R5" s="30">
        <v>13590.094399543499</v>
      </c>
      <c r="S5" s="30">
        <v>13918.040431310401</v>
      </c>
      <c r="T5" s="30">
        <v>13879.185252298599</v>
      </c>
      <c r="U5" s="30">
        <v>14297.381426169701</v>
      </c>
      <c r="V5" s="30">
        <v>14555.9477005139</v>
      </c>
      <c r="W5" s="30">
        <v>14814.0730690976</v>
      </c>
      <c r="X5" s="30">
        <v>15040.848219350401</v>
      </c>
      <c r="Y5" s="30">
        <v>14510.143695784</v>
      </c>
      <c r="Z5" s="30">
        <v>15027.669488976</v>
      </c>
      <c r="AA5" s="30">
        <v>15574.4414435333</v>
      </c>
      <c r="AB5" s="30">
        <v>16024.0340185151</v>
      </c>
      <c r="AC5" s="30">
        <v>16195.4682147772</v>
      </c>
      <c r="AD5" s="30">
        <v>16832.698651603499</v>
      </c>
      <c r="AE5" s="30">
        <v>17199.911024255201</v>
      </c>
      <c r="AF5" s="30">
        <v>17553.376841730798</v>
      </c>
      <c r="AG5" s="30">
        <v>17270.328698310299</v>
      </c>
      <c r="AH5" s="30">
        <v>17137.558497886799</v>
      </c>
      <c r="AI5" s="30">
        <v>17669.319897835401</v>
      </c>
      <c r="AJ5" s="30">
        <v>18191.1645734755</v>
      </c>
      <c r="AK5" s="30">
        <v>18690.436584216201</v>
      </c>
      <c r="AL5" s="30">
        <v>19183.140388277701</v>
      </c>
      <c r="AM5" s="30">
        <v>19709.660504855601</v>
      </c>
      <c r="AN5" s="30">
        <v>20387.772843990901</v>
      </c>
      <c r="AO5" s="30">
        <v>21154.758050782999</v>
      </c>
      <c r="AP5" s="30">
        <v>21708.037255559801</v>
      </c>
      <c r="AQ5" s="30">
        <v>21824.0860667657</v>
      </c>
      <c r="AR5" s="30">
        <v>22402.991019202</v>
      </c>
      <c r="AS5" s="30">
        <v>22825.571021886499</v>
      </c>
      <c r="AT5" s="30">
        <v>23498.2619912382</v>
      </c>
      <c r="AU5" s="30">
        <v>23929.164397004599</v>
      </c>
      <c r="AV5" s="30">
        <v>24295.081379913201</v>
      </c>
      <c r="AW5" s="30">
        <v>24765.548901759699</v>
      </c>
      <c r="AX5" s="30">
        <v>25190.7206264823</v>
      </c>
      <c r="AY5" s="30">
        <v>25007.697756298101</v>
      </c>
      <c r="AZ5" s="30"/>
      <c r="BA5" s="30"/>
    </row>
    <row r="6" spans="1:218" ht="13.2" customHeight="1" x14ac:dyDescent="0.3">
      <c r="A6" s="5" t="s">
        <v>3</v>
      </c>
      <c r="B6" s="30">
        <v>254.82507913241099</v>
      </c>
      <c r="C6" s="30">
        <v>262.76563466694802</v>
      </c>
      <c r="D6" s="30">
        <v>269.532072909345</v>
      </c>
      <c r="E6" s="30">
        <v>260.92989634381303</v>
      </c>
      <c r="F6" s="30">
        <v>281.26438589234198</v>
      </c>
      <c r="G6" s="30">
        <v>277.27331076903698</v>
      </c>
      <c r="H6" s="30">
        <v>275.38706411315502</v>
      </c>
      <c r="I6" s="30">
        <v>261.36778682789202</v>
      </c>
      <c r="J6" s="30">
        <v>277.183262779963</v>
      </c>
      <c r="K6" s="30">
        <v>272.97766400219001</v>
      </c>
      <c r="L6" s="30">
        <v>282.25451840981498</v>
      </c>
      <c r="M6" s="30">
        <v>262.98157800736402</v>
      </c>
      <c r="N6" s="30">
        <v>224.209107738032</v>
      </c>
      <c r="O6" s="30">
        <v>230.08098011278801</v>
      </c>
      <c r="P6" s="30">
        <v>249.851769966094</v>
      </c>
      <c r="Q6" s="30">
        <v>236.19234108527399</v>
      </c>
      <c r="R6" s="30">
        <v>244.46651134555401</v>
      </c>
      <c r="S6" s="30">
        <v>244.67898244619201</v>
      </c>
      <c r="T6" s="30">
        <v>254.58002934544399</v>
      </c>
      <c r="U6" s="30">
        <v>259.05154440822298</v>
      </c>
      <c r="V6" s="30">
        <v>253.782281488064</v>
      </c>
      <c r="W6" s="30">
        <v>256.25062900741102</v>
      </c>
      <c r="X6" s="30">
        <v>255.33861269181301</v>
      </c>
      <c r="Y6" s="30">
        <v>258.59837637562299</v>
      </c>
      <c r="Z6" s="30">
        <v>264.82342463750399</v>
      </c>
      <c r="AA6" s="30">
        <v>266.08682104031499</v>
      </c>
      <c r="AB6" s="30">
        <v>269.95591961486298</v>
      </c>
      <c r="AC6" s="30">
        <v>272.54756715847202</v>
      </c>
      <c r="AD6" s="30">
        <v>271.10577190336801</v>
      </c>
      <c r="AE6" s="30">
        <v>271.09171222817702</v>
      </c>
      <c r="AF6" s="30">
        <v>280.173683718706</v>
      </c>
      <c r="AG6" s="30">
        <v>282.779040472828</v>
      </c>
      <c r="AH6" s="30">
        <v>290.40821182653002</v>
      </c>
      <c r="AI6" s="30">
        <v>297.16850129173702</v>
      </c>
      <c r="AJ6" s="30">
        <v>302.81872363335799</v>
      </c>
      <c r="AK6" s="30">
        <v>311.16657048493101</v>
      </c>
      <c r="AL6" s="30">
        <v>318.92046919201903</v>
      </c>
      <c r="AM6" s="30">
        <v>329.39604503101998</v>
      </c>
      <c r="AN6" s="30">
        <v>339.85832008223201</v>
      </c>
      <c r="AO6" s="30">
        <v>349.65074135140401</v>
      </c>
      <c r="AP6" s="30">
        <v>363.63992731923798</v>
      </c>
      <c r="AQ6" s="30">
        <v>375.99346012069299</v>
      </c>
      <c r="AR6" s="30">
        <v>385.80604317100398</v>
      </c>
      <c r="AS6" s="30">
        <v>399.39595664927401</v>
      </c>
      <c r="AT6" s="30">
        <v>417.95368381447298</v>
      </c>
      <c r="AU6" s="30">
        <v>436.68818344131</v>
      </c>
      <c r="AV6" s="30">
        <v>459.862513886697</v>
      </c>
      <c r="AW6" s="30">
        <v>483.97086803765302</v>
      </c>
      <c r="AX6" s="30">
        <v>508.55577254507199</v>
      </c>
      <c r="AY6" s="30">
        <v>532.07699849130404</v>
      </c>
      <c r="AZ6" s="30"/>
      <c r="BA6" s="30"/>
    </row>
    <row r="7" spans="1:218" x14ac:dyDescent="0.3">
      <c r="A7" s="6" t="s">
        <v>4</v>
      </c>
      <c r="B7" s="30">
        <v>7454.7165364289804</v>
      </c>
      <c r="C7" s="30">
        <v>7799.8890806845002</v>
      </c>
      <c r="D7" s="30">
        <v>8173.8184555521102</v>
      </c>
      <c r="E7" s="30">
        <v>8465.97962493671</v>
      </c>
      <c r="F7" s="30">
        <v>8969.6325507005604</v>
      </c>
      <c r="G7" s="30">
        <v>9205.0355932995808</v>
      </c>
      <c r="H7" s="30">
        <v>9431.6140882542095</v>
      </c>
      <c r="I7" s="30">
        <v>9742.0628096404998</v>
      </c>
      <c r="J7" s="30">
        <v>10110.8042089842</v>
      </c>
      <c r="K7" s="30">
        <v>10750.644578276901</v>
      </c>
      <c r="L7" s="30">
        <v>11360.197466564799</v>
      </c>
      <c r="M7" s="30">
        <v>11791.486091454401</v>
      </c>
      <c r="N7" s="30">
        <v>12367.392637177099</v>
      </c>
      <c r="O7" s="30">
        <v>13115.309326168501</v>
      </c>
      <c r="P7" s="30">
        <v>13670.975814192199</v>
      </c>
      <c r="Q7" s="30">
        <v>13363.538854991601</v>
      </c>
      <c r="R7" s="30">
        <v>14093.7413222631</v>
      </c>
      <c r="S7" s="30">
        <v>14164.4888966872</v>
      </c>
      <c r="T7" s="30">
        <v>14553.4443279773</v>
      </c>
      <c r="U7" s="30">
        <v>14880.7698603756</v>
      </c>
      <c r="V7" s="30">
        <v>15524.959643771699</v>
      </c>
      <c r="W7" s="30">
        <v>15482.0092536912</v>
      </c>
      <c r="X7" s="30">
        <v>15578.358324548901</v>
      </c>
      <c r="Y7" s="30">
        <v>15628.179829152499</v>
      </c>
      <c r="Z7" s="30">
        <v>16013.8710261133</v>
      </c>
      <c r="AA7" s="30">
        <v>16273.5389744924</v>
      </c>
      <c r="AB7" s="30">
        <v>16564.260858435799</v>
      </c>
      <c r="AC7" s="30">
        <v>16931.900980596201</v>
      </c>
      <c r="AD7" s="30">
        <v>17675.346047268398</v>
      </c>
      <c r="AE7" s="30">
        <v>18222.221069484101</v>
      </c>
      <c r="AF7" s="30">
        <v>18737.958782184</v>
      </c>
      <c r="AG7" s="30">
        <v>19010.665740086199</v>
      </c>
      <c r="AH7" s="30">
        <v>19223.5026381756</v>
      </c>
      <c r="AI7" s="30">
        <v>18964.369920354398</v>
      </c>
      <c r="AJ7" s="30">
        <v>19516.103883267599</v>
      </c>
      <c r="AK7" s="30">
        <v>19939.710718305501</v>
      </c>
      <c r="AL7" s="30">
        <v>20184.329500693901</v>
      </c>
      <c r="AM7" s="30">
        <v>20887.614200107299</v>
      </c>
      <c r="AN7" s="30">
        <v>21245.0910090119</v>
      </c>
      <c r="AO7" s="30">
        <v>21946.745683520701</v>
      </c>
      <c r="AP7" s="30">
        <v>22697.012303303502</v>
      </c>
      <c r="AQ7" s="30">
        <v>22801.776717080898</v>
      </c>
      <c r="AR7" s="30">
        <v>23008.449937272901</v>
      </c>
      <c r="AS7" s="30">
        <v>23097.2126174062</v>
      </c>
      <c r="AT7" s="30">
        <v>23750.459811992801</v>
      </c>
      <c r="AU7" s="30">
        <v>24033.783302456399</v>
      </c>
      <c r="AV7" s="30">
        <v>24512.413135779101</v>
      </c>
      <c r="AW7" s="30">
        <v>25034.666922931701</v>
      </c>
      <c r="AX7" s="30">
        <v>25082.3741266453</v>
      </c>
      <c r="AY7" s="30">
        <v>24190.594952251002</v>
      </c>
      <c r="AZ7" s="30"/>
      <c r="BA7" s="30"/>
    </row>
    <row r="8" spans="1:218" x14ac:dyDescent="0.3">
      <c r="A8" s="7" t="s">
        <v>5</v>
      </c>
      <c r="B8" s="30">
        <v>256.978766703448</v>
      </c>
      <c r="C8" s="30">
        <v>261.64722155880401</v>
      </c>
      <c r="D8" s="30">
        <v>249.212531306665</v>
      </c>
      <c r="E8" s="30">
        <v>257.20486475841602</v>
      </c>
      <c r="F8" s="30">
        <v>270.12294169370102</v>
      </c>
      <c r="G8" s="30">
        <v>279.89089379059698</v>
      </c>
      <c r="H8" s="30">
        <v>285.09899080848999</v>
      </c>
      <c r="I8" s="30">
        <v>283.21829020228398</v>
      </c>
      <c r="J8" s="30">
        <v>288.83758285001699</v>
      </c>
      <c r="K8" s="30">
        <v>291.59702377049803</v>
      </c>
      <c r="L8" s="30">
        <v>291.90122340894698</v>
      </c>
      <c r="M8" s="30">
        <v>281.679394627237</v>
      </c>
      <c r="N8" s="30">
        <v>293.44537108316399</v>
      </c>
      <c r="O8" s="30">
        <v>297.66202089103098</v>
      </c>
      <c r="P8" s="30">
        <v>300.655609152333</v>
      </c>
      <c r="Q8" s="30">
        <v>279.29244438857597</v>
      </c>
      <c r="R8" s="30">
        <v>275.03898484335298</v>
      </c>
      <c r="S8" s="30">
        <v>281.686384427733</v>
      </c>
      <c r="T8" s="30">
        <v>278.09337537339297</v>
      </c>
      <c r="U8" s="30">
        <v>288.71723360265202</v>
      </c>
      <c r="V8" s="30">
        <v>300.29989869456398</v>
      </c>
      <c r="W8" s="30">
        <v>321.458627975556</v>
      </c>
      <c r="X8" s="30">
        <v>319.79203968914101</v>
      </c>
      <c r="Y8" s="30">
        <v>297.56422396639903</v>
      </c>
      <c r="Z8" s="30">
        <v>312.41002674889302</v>
      </c>
      <c r="AA8" s="30">
        <v>326.80770897701598</v>
      </c>
      <c r="AB8" s="30">
        <v>324.92907043261602</v>
      </c>
      <c r="AC8" s="30">
        <v>311.49283189311001</v>
      </c>
      <c r="AD8" s="30">
        <v>313.300923090845</v>
      </c>
      <c r="AE8" s="30">
        <v>295.61374684761603</v>
      </c>
      <c r="AF8" s="30">
        <v>295.78328512477901</v>
      </c>
      <c r="AG8" s="30">
        <v>299.648180848756</v>
      </c>
      <c r="AH8" s="30">
        <v>301.03237929167301</v>
      </c>
      <c r="AI8" s="30">
        <v>300.89313577558602</v>
      </c>
      <c r="AJ8" s="30">
        <v>303.568931873157</v>
      </c>
      <c r="AK8" s="30">
        <v>307.54822478691</v>
      </c>
      <c r="AL8" s="30">
        <v>315.08362918355198</v>
      </c>
      <c r="AM8" s="30">
        <v>325.17750079732701</v>
      </c>
      <c r="AN8" s="30">
        <v>330.74034653620299</v>
      </c>
      <c r="AO8" s="30">
        <v>336.71468066048999</v>
      </c>
      <c r="AP8" s="30">
        <v>345.95035518269998</v>
      </c>
      <c r="AQ8" s="30">
        <v>352.24846168835501</v>
      </c>
      <c r="AR8" s="30">
        <v>356.60523142991502</v>
      </c>
      <c r="AS8" s="30">
        <v>358.77475300670801</v>
      </c>
      <c r="AT8" s="30">
        <v>358.246398449666</v>
      </c>
      <c r="AU8" s="30">
        <v>357.25007031448098</v>
      </c>
      <c r="AV8" s="30">
        <v>360.65541070430902</v>
      </c>
      <c r="AW8" s="30">
        <v>366.04496652249799</v>
      </c>
      <c r="AX8" s="30">
        <v>373.50668674629799</v>
      </c>
      <c r="AY8" s="30">
        <v>376.62162264985102</v>
      </c>
      <c r="AZ8" s="30"/>
      <c r="BA8" s="30"/>
    </row>
    <row r="9" spans="1:218" x14ac:dyDescent="0.3"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</row>
    <row r="10" spans="1:218" ht="27" x14ac:dyDescent="0.3">
      <c r="A10" s="8" t="s">
        <v>7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</row>
    <row r="11" spans="1:218" x14ac:dyDescent="0.3">
      <c r="A11" s="9" t="s">
        <v>0</v>
      </c>
      <c r="B11" s="27">
        <v>47.5</v>
      </c>
      <c r="C11" s="27">
        <v>48.02</v>
      </c>
      <c r="D11" s="27">
        <v>48.55</v>
      </c>
      <c r="E11" s="27">
        <v>49.07</v>
      </c>
      <c r="F11" s="27">
        <v>49.58</v>
      </c>
      <c r="G11" s="27">
        <v>50.09</v>
      </c>
      <c r="H11" s="27">
        <v>50.58</v>
      </c>
      <c r="I11" s="27">
        <v>51.05</v>
      </c>
      <c r="J11" s="27">
        <v>51.49</v>
      </c>
      <c r="K11" s="27">
        <v>51.95</v>
      </c>
      <c r="L11" s="27">
        <v>52.41</v>
      </c>
      <c r="M11" s="27">
        <v>52.88</v>
      </c>
      <c r="N11" s="27">
        <v>53.38</v>
      </c>
      <c r="O11" s="27">
        <v>53.91</v>
      </c>
      <c r="P11" s="27">
        <v>54.52</v>
      </c>
      <c r="Q11" s="27">
        <v>55.24</v>
      </c>
      <c r="R11" s="27">
        <v>56.11</v>
      </c>
      <c r="S11" s="27">
        <v>57.13</v>
      </c>
      <c r="T11" s="27">
        <v>58.28</v>
      </c>
      <c r="U11" s="27">
        <v>59.56</v>
      </c>
      <c r="V11" s="27">
        <v>60.92</v>
      </c>
      <c r="W11" s="27">
        <v>62.31</v>
      </c>
      <c r="X11" s="27">
        <v>63.69</v>
      </c>
      <c r="Y11" s="27">
        <v>64.97</v>
      </c>
      <c r="Z11" s="27">
        <v>66.150000000000006</v>
      </c>
      <c r="AA11" s="27">
        <v>67.180000000000007</v>
      </c>
      <c r="AB11" s="27">
        <v>68.040000000000006</v>
      </c>
      <c r="AC11" s="27">
        <v>68.75</v>
      </c>
      <c r="AD11" s="27">
        <v>69.33</v>
      </c>
      <c r="AE11" s="27">
        <v>69.81</v>
      </c>
      <c r="AF11" s="27">
        <v>70.2</v>
      </c>
      <c r="AG11" s="27">
        <v>70.5</v>
      </c>
      <c r="AH11" s="27">
        <v>70.900000000000006</v>
      </c>
      <c r="AI11" s="27">
        <v>71.2</v>
      </c>
      <c r="AJ11" s="27">
        <v>71.400000000000006</v>
      </c>
      <c r="AK11" s="27">
        <v>71.599999999999994</v>
      </c>
      <c r="AL11" s="27">
        <v>72.099999999999994</v>
      </c>
      <c r="AM11" s="27">
        <v>72.400000000000006</v>
      </c>
      <c r="AN11" s="27">
        <v>72.599999999999994</v>
      </c>
      <c r="AO11" s="27">
        <v>73</v>
      </c>
      <c r="AP11" s="27">
        <v>73.3</v>
      </c>
      <c r="AQ11" s="27">
        <v>73.5</v>
      </c>
      <c r="AR11" s="27">
        <v>73.8</v>
      </c>
      <c r="AS11" s="27">
        <v>73.900000000000006</v>
      </c>
      <c r="AT11" s="27">
        <v>74.400000000000006</v>
      </c>
      <c r="AU11" s="27">
        <v>74.8</v>
      </c>
      <c r="AV11" s="27">
        <v>75</v>
      </c>
      <c r="AW11" s="27">
        <v>75.3</v>
      </c>
      <c r="AX11" s="27">
        <v>75.5</v>
      </c>
      <c r="AY11" s="27">
        <v>75.7</v>
      </c>
      <c r="AZ11" s="27"/>
      <c r="BA11" s="27"/>
      <c r="BB11" s="18"/>
      <c r="BC11" s="18"/>
      <c r="BD11" s="18"/>
      <c r="BE11" s="18"/>
      <c r="BF11" s="18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</row>
    <row r="12" spans="1:218" x14ac:dyDescent="0.3">
      <c r="A12" s="11" t="s">
        <v>1</v>
      </c>
      <c r="B12" s="27">
        <v>65.39</v>
      </c>
      <c r="C12" s="27">
        <v>65.53</v>
      </c>
      <c r="D12" s="27">
        <v>65.64</v>
      </c>
      <c r="E12" s="27">
        <v>65.739999999999995</v>
      </c>
      <c r="F12" s="27">
        <v>65.84</v>
      </c>
      <c r="G12" s="27">
        <v>65.95</v>
      </c>
      <c r="H12" s="27">
        <v>66.08</v>
      </c>
      <c r="I12" s="27">
        <v>66.260000000000005</v>
      </c>
      <c r="J12" s="27">
        <v>66.47</v>
      </c>
      <c r="K12" s="27">
        <v>66.72</v>
      </c>
      <c r="L12" s="27">
        <v>67.010000000000005</v>
      </c>
      <c r="M12" s="27">
        <v>67.319999999999993</v>
      </c>
      <c r="N12" s="27">
        <v>67.64</v>
      </c>
      <c r="O12" s="27">
        <v>67.959999999999994</v>
      </c>
      <c r="P12" s="27">
        <v>68.28</v>
      </c>
      <c r="Q12" s="27">
        <v>68.599999999999994</v>
      </c>
      <c r="R12" s="27">
        <v>68.92</v>
      </c>
      <c r="S12" s="27">
        <v>69.239999999999995</v>
      </c>
      <c r="T12" s="27">
        <v>69.569999999999993</v>
      </c>
      <c r="U12" s="27">
        <v>69.89</v>
      </c>
      <c r="V12" s="27">
        <v>70.2</v>
      </c>
      <c r="W12" s="27">
        <v>70.510000000000005</v>
      </c>
      <c r="X12" s="27">
        <v>70.78</v>
      </c>
      <c r="Y12" s="27">
        <v>71.040000000000006</v>
      </c>
      <c r="Z12" s="27">
        <v>71.260000000000005</v>
      </c>
      <c r="AA12" s="27">
        <v>71.459999999999994</v>
      </c>
      <c r="AB12" s="27">
        <v>71.66</v>
      </c>
      <c r="AC12" s="27">
        <v>71.84</v>
      </c>
      <c r="AD12" s="27">
        <v>72.05</v>
      </c>
      <c r="AE12" s="27">
        <v>72.260000000000005</v>
      </c>
      <c r="AF12" s="27">
        <v>72.5</v>
      </c>
      <c r="AG12" s="27">
        <v>72.7</v>
      </c>
      <c r="AH12" s="27">
        <v>72.8</v>
      </c>
      <c r="AI12" s="27">
        <v>73.099999999999994</v>
      </c>
      <c r="AJ12" s="27">
        <v>73.400000000000006</v>
      </c>
      <c r="AK12" s="27">
        <v>73.5</v>
      </c>
      <c r="AL12" s="27">
        <v>73.5</v>
      </c>
      <c r="AM12" s="27">
        <v>73.599999999999994</v>
      </c>
      <c r="AN12" s="27">
        <v>73.8</v>
      </c>
      <c r="AO12" s="27">
        <v>73.900000000000006</v>
      </c>
      <c r="AP12" s="27">
        <v>74.2</v>
      </c>
      <c r="AQ12" s="27">
        <v>74.3</v>
      </c>
      <c r="AR12" s="27">
        <v>74.3</v>
      </c>
      <c r="AS12" s="27">
        <v>74.5</v>
      </c>
      <c r="AT12" s="27">
        <v>75</v>
      </c>
      <c r="AU12" s="27">
        <v>75.3</v>
      </c>
      <c r="AV12" s="27">
        <v>75.3</v>
      </c>
      <c r="AW12" s="27">
        <v>75.2</v>
      </c>
      <c r="AX12" s="27">
        <v>75.400000000000006</v>
      </c>
      <c r="AY12" s="27">
        <v>75.599999999999994</v>
      </c>
      <c r="AZ12" s="27"/>
      <c r="BA12" s="27"/>
      <c r="BB12" s="19"/>
      <c r="BC12" s="19"/>
      <c r="BD12" s="19"/>
      <c r="BE12" s="19"/>
      <c r="BF12" s="19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</row>
    <row r="13" spans="1:218" x14ac:dyDescent="0.3">
      <c r="A13" s="13" t="s">
        <v>2</v>
      </c>
      <c r="B13" s="27">
        <v>70.87</v>
      </c>
      <c r="C13" s="27">
        <v>71.14</v>
      </c>
      <c r="D13" s="27">
        <v>70.91</v>
      </c>
      <c r="E13" s="27">
        <v>70.97</v>
      </c>
      <c r="F13" s="27">
        <v>70.63</v>
      </c>
      <c r="G13" s="27">
        <v>70.959999999999994</v>
      </c>
      <c r="H13" s="27">
        <v>70.790000000000006</v>
      </c>
      <c r="I13" s="27">
        <v>71.069999999999993</v>
      </c>
      <c r="J13" s="27">
        <v>70.7</v>
      </c>
      <c r="K13" s="27">
        <v>71.11</v>
      </c>
      <c r="L13" s="27">
        <v>70.78</v>
      </c>
      <c r="M13" s="27">
        <v>71.38</v>
      </c>
      <c r="N13" s="27">
        <v>71.900000000000006</v>
      </c>
      <c r="O13" s="27">
        <v>72.11</v>
      </c>
      <c r="P13" s="27">
        <v>71.86</v>
      </c>
      <c r="Q13" s="27">
        <v>72.81</v>
      </c>
      <c r="R13" s="27">
        <v>72.84</v>
      </c>
      <c r="S13" s="27">
        <v>73.45</v>
      </c>
      <c r="T13" s="27">
        <v>73.84</v>
      </c>
      <c r="U13" s="27">
        <v>74.400000000000006</v>
      </c>
      <c r="V13" s="27">
        <v>74.56</v>
      </c>
      <c r="W13" s="27">
        <v>74.92</v>
      </c>
      <c r="X13" s="27">
        <v>74.7</v>
      </c>
      <c r="Y13" s="27">
        <v>75.510000000000005</v>
      </c>
      <c r="Z13" s="27">
        <v>75.98</v>
      </c>
      <c r="AA13" s="27">
        <v>75.41</v>
      </c>
      <c r="AB13" s="27">
        <v>76.08</v>
      </c>
      <c r="AC13" s="27">
        <v>76.27</v>
      </c>
      <c r="AD13" s="27">
        <v>76.3</v>
      </c>
      <c r="AE13" s="27">
        <v>76.400000000000006</v>
      </c>
      <c r="AF13" s="27">
        <v>77</v>
      </c>
      <c r="AG13" s="27">
        <v>77.400000000000006</v>
      </c>
      <c r="AH13" s="27">
        <v>77.599999999999994</v>
      </c>
      <c r="AI13" s="27">
        <v>77.900000000000006</v>
      </c>
      <c r="AJ13" s="27">
        <v>78.099999999999994</v>
      </c>
      <c r="AK13" s="27">
        <v>78.3</v>
      </c>
      <c r="AL13" s="27">
        <v>78.5</v>
      </c>
      <c r="AM13" s="27">
        <v>78.8</v>
      </c>
      <c r="AN13" s="27">
        <v>79.2</v>
      </c>
      <c r="AO13" s="27">
        <v>79.400000000000006</v>
      </c>
      <c r="AP13" s="27">
        <v>79.8</v>
      </c>
      <c r="AQ13" s="27">
        <v>80.099999999999994</v>
      </c>
      <c r="AR13" s="27">
        <v>80.3</v>
      </c>
      <c r="AS13" s="27">
        <v>80.599999999999994</v>
      </c>
      <c r="AT13" s="27">
        <v>80.900000000000006</v>
      </c>
      <c r="AU13" s="27">
        <v>81.2</v>
      </c>
      <c r="AV13" s="27">
        <v>81.400000000000006</v>
      </c>
      <c r="AW13" s="27">
        <v>81.5</v>
      </c>
      <c r="AX13" s="27">
        <v>81.599999999999994</v>
      </c>
      <c r="AY13" s="27">
        <v>81.8</v>
      </c>
      <c r="AZ13" s="27"/>
      <c r="BA13" s="27"/>
      <c r="BB13" s="20"/>
      <c r="BC13" s="20"/>
      <c r="BD13" s="20"/>
      <c r="BE13" s="20"/>
      <c r="BF13" s="20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</row>
    <row r="14" spans="1:218" x14ac:dyDescent="0.3">
      <c r="A14" s="21" t="s">
        <v>3</v>
      </c>
      <c r="B14" s="28">
        <v>46.2</v>
      </c>
      <c r="C14" s="28">
        <v>46.73</v>
      </c>
      <c r="D14" s="28">
        <v>47.28</v>
      </c>
      <c r="E14" s="28">
        <v>47.81</v>
      </c>
      <c r="F14" s="28">
        <v>48.29</v>
      </c>
      <c r="G14" s="28">
        <v>48.6</v>
      </c>
      <c r="H14" s="28">
        <v>48.63</v>
      </c>
      <c r="I14" s="28">
        <v>48.37</v>
      </c>
      <c r="J14" s="28">
        <v>47.83</v>
      </c>
      <c r="K14" s="28">
        <v>47.09</v>
      </c>
      <c r="L14" s="28">
        <v>46.31</v>
      </c>
      <c r="M14" s="28">
        <v>45.74</v>
      </c>
      <c r="N14" s="28">
        <v>45.52</v>
      </c>
      <c r="O14" s="28">
        <v>45.77</v>
      </c>
      <c r="P14" s="28">
        <v>46.49</v>
      </c>
      <c r="Q14" s="28">
        <v>47.58</v>
      </c>
      <c r="R14" s="28">
        <v>48.92</v>
      </c>
      <c r="S14" s="28">
        <v>50.27</v>
      </c>
      <c r="T14" s="28">
        <v>51.47</v>
      </c>
      <c r="U14" s="28">
        <v>52.44</v>
      </c>
      <c r="V14" s="28">
        <v>53.18</v>
      </c>
      <c r="W14" s="28">
        <v>53.72</v>
      </c>
      <c r="X14" s="28">
        <v>54.15</v>
      </c>
      <c r="Y14" s="28">
        <v>54.57</v>
      </c>
      <c r="Z14" s="28">
        <v>55</v>
      </c>
      <c r="AA14" s="28">
        <v>55.47</v>
      </c>
      <c r="AB14" s="28">
        <v>55.96</v>
      </c>
      <c r="AC14" s="28">
        <v>56.46</v>
      </c>
      <c r="AD14" s="28">
        <v>56.94</v>
      </c>
      <c r="AE14" s="28">
        <v>57.42</v>
      </c>
      <c r="AF14" s="28">
        <v>57.9</v>
      </c>
      <c r="AG14" s="28">
        <v>56.4</v>
      </c>
      <c r="AH14" s="28">
        <v>59.7</v>
      </c>
      <c r="AI14" s="28">
        <v>60.5</v>
      </c>
      <c r="AJ14" s="28">
        <v>61.2</v>
      </c>
      <c r="AK14" s="28">
        <v>61.6</v>
      </c>
      <c r="AL14" s="28">
        <v>62.4</v>
      </c>
      <c r="AM14" s="28">
        <v>63.2</v>
      </c>
      <c r="AN14" s="28">
        <v>63.9</v>
      </c>
      <c r="AO14" s="28">
        <v>64.599999999999994</v>
      </c>
      <c r="AP14" s="28">
        <v>64.900000000000006</v>
      </c>
      <c r="AQ14" s="28">
        <v>65.400000000000006</v>
      </c>
      <c r="AR14" s="28">
        <v>65.8</v>
      </c>
      <c r="AS14" s="28">
        <v>66.3</v>
      </c>
      <c r="AT14" s="28">
        <v>66.8</v>
      </c>
      <c r="AU14" s="28">
        <v>67.099999999999994</v>
      </c>
      <c r="AV14" s="28">
        <v>67.5</v>
      </c>
      <c r="AW14" s="28">
        <v>67.7</v>
      </c>
      <c r="AX14" s="28">
        <v>68.3</v>
      </c>
      <c r="AY14" s="28">
        <v>68.599999999999994</v>
      </c>
      <c r="AZ14" s="28"/>
      <c r="BA14" s="28"/>
      <c r="BB14" s="22"/>
      <c r="BC14" s="22"/>
      <c r="BD14" s="22"/>
      <c r="BE14" s="22"/>
      <c r="BF14" s="22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</row>
    <row r="15" spans="1:218" x14ac:dyDescent="0.3">
      <c r="A15" s="21" t="s">
        <v>4</v>
      </c>
      <c r="B15" s="28">
        <v>69.59</v>
      </c>
      <c r="C15" s="28">
        <v>70.459999999999994</v>
      </c>
      <c r="D15" s="28">
        <v>70.19</v>
      </c>
      <c r="E15" s="28">
        <v>70</v>
      </c>
      <c r="F15" s="28">
        <v>70.66</v>
      </c>
      <c r="G15" s="28">
        <v>70.510000000000005</v>
      </c>
      <c r="H15" s="28">
        <v>70.58</v>
      </c>
      <c r="I15" s="28">
        <v>70.86</v>
      </c>
      <c r="J15" s="28">
        <v>70.55</v>
      </c>
      <c r="K15" s="28">
        <v>70.63</v>
      </c>
      <c r="L15" s="28">
        <v>70.89</v>
      </c>
      <c r="M15" s="28">
        <v>71.010000000000005</v>
      </c>
      <c r="N15" s="28">
        <v>71.349999999999994</v>
      </c>
      <c r="O15" s="28">
        <v>71.56</v>
      </c>
      <c r="P15" s="28">
        <v>71.91</v>
      </c>
      <c r="Q15" s="28">
        <v>71.900000000000006</v>
      </c>
      <c r="R15" s="28">
        <v>72.05</v>
      </c>
      <c r="S15" s="28">
        <v>72.7</v>
      </c>
      <c r="T15" s="28">
        <v>72.64</v>
      </c>
      <c r="U15" s="28">
        <v>73.13</v>
      </c>
      <c r="V15" s="28">
        <v>73.180000000000007</v>
      </c>
      <c r="W15" s="28">
        <v>73.59</v>
      </c>
      <c r="X15" s="28">
        <v>73.81</v>
      </c>
      <c r="Y15" s="28">
        <v>73.81</v>
      </c>
      <c r="Z15" s="28">
        <v>74.31</v>
      </c>
      <c r="AA15" s="28">
        <v>74.41</v>
      </c>
      <c r="AB15" s="28">
        <v>74.61</v>
      </c>
      <c r="AC15" s="28">
        <v>75.22</v>
      </c>
      <c r="AD15" s="28">
        <v>75.53</v>
      </c>
      <c r="AE15" s="28">
        <v>75.59</v>
      </c>
      <c r="AF15" s="28">
        <v>76</v>
      </c>
      <c r="AG15" s="28">
        <v>76.2</v>
      </c>
      <c r="AH15" s="28">
        <v>76.3</v>
      </c>
      <c r="AI15" s="28">
        <v>76.5</v>
      </c>
      <c r="AJ15" s="28">
        <v>76.599999999999994</v>
      </c>
      <c r="AK15" s="28">
        <v>76.900000000000006</v>
      </c>
      <c r="AL15" s="28">
        <v>77.2</v>
      </c>
      <c r="AM15" s="28">
        <v>77.400000000000006</v>
      </c>
      <c r="AN15" s="28">
        <v>77.5</v>
      </c>
      <c r="AO15" s="28">
        <v>77.7</v>
      </c>
      <c r="AP15" s="28">
        <v>77.8</v>
      </c>
      <c r="AQ15" s="28">
        <v>78</v>
      </c>
      <c r="AR15" s="28">
        <v>78.2</v>
      </c>
      <c r="AS15" s="28">
        <v>78.5</v>
      </c>
      <c r="AT15" s="28">
        <v>79</v>
      </c>
      <c r="AU15" s="28">
        <v>79.099999999999994</v>
      </c>
      <c r="AV15" s="28">
        <v>79.5</v>
      </c>
      <c r="AW15" s="28">
        <v>79.5</v>
      </c>
      <c r="AX15" s="28">
        <v>79.599999999999994</v>
      </c>
      <c r="AY15" s="28">
        <v>79.8</v>
      </c>
      <c r="AZ15" s="28"/>
      <c r="BA15" s="28"/>
      <c r="BB15" s="23"/>
      <c r="BC15" s="23"/>
      <c r="BD15" s="23"/>
      <c r="BE15" s="23"/>
      <c r="BF15" s="23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</row>
    <row r="16" spans="1:218" x14ac:dyDescent="0.3">
      <c r="A16" s="21" t="s">
        <v>5</v>
      </c>
      <c r="B16" s="28">
        <v>38.29</v>
      </c>
      <c r="C16" s="28">
        <v>38.799999999999997</v>
      </c>
      <c r="D16" s="28">
        <v>39.32</v>
      </c>
      <c r="E16" s="28">
        <v>39.85</v>
      </c>
      <c r="F16" s="28">
        <v>40.380000000000003</v>
      </c>
      <c r="G16" s="28">
        <v>40.93</v>
      </c>
      <c r="H16" s="28">
        <v>41.5</v>
      </c>
      <c r="I16" s="28">
        <v>42.09</v>
      </c>
      <c r="J16" s="28">
        <v>42.69</v>
      </c>
      <c r="K16" s="28">
        <v>43.31</v>
      </c>
      <c r="L16" s="28">
        <v>43.93</v>
      </c>
      <c r="M16" s="28">
        <v>44.55</v>
      </c>
      <c r="N16" s="28">
        <v>45.16</v>
      </c>
      <c r="O16" s="28">
        <v>45.77</v>
      </c>
      <c r="P16" s="28">
        <v>46.36</v>
      </c>
      <c r="Q16" s="28">
        <v>46.93</v>
      </c>
      <c r="R16" s="28">
        <v>47.46</v>
      </c>
      <c r="S16" s="28">
        <v>47.96</v>
      </c>
      <c r="T16" s="28">
        <v>48.43</v>
      </c>
      <c r="U16" s="28">
        <v>48.88</v>
      </c>
      <c r="V16" s="28">
        <v>49.34</v>
      </c>
      <c r="W16" s="28">
        <v>49.84</v>
      </c>
      <c r="X16" s="28">
        <v>50.38</v>
      </c>
      <c r="Y16" s="28">
        <v>50.97</v>
      </c>
      <c r="Z16" s="28">
        <v>51.62</v>
      </c>
      <c r="AA16" s="28">
        <v>52.33</v>
      </c>
      <c r="AB16" s="28">
        <v>53.09</v>
      </c>
      <c r="AC16" s="28">
        <v>53.89</v>
      </c>
      <c r="AD16" s="28">
        <v>54.67</v>
      </c>
      <c r="AE16" s="28">
        <v>55.42</v>
      </c>
      <c r="AF16" s="28">
        <v>56.1</v>
      </c>
      <c r="AG16" s="28">
        <v>56.3</v>
      </c>
      <c r="AH16" s="28">
        <v>56.6</v>
      </c>
      <c r="AI16" s="28">
        <v>56.9</v>
      </c>
      <c r="AJ16" s="28">
        <v>56.8</v>
      </c>
      <c r="AK16" s="28">
        <v>56.7</v>
      </c>
      <c r="AL16" s="28">
        <v>56.6</v>
      </c>
      <c r="AM16" s="28">
        <v>56.9</v>
      </c>
      <c r="AN16" s="28">
        <v>57</v>
      </c>
      <c r="AO16" s="28">
        <v>57.1</v>
      </c>
      <c r="AP16" s="28">
        <v>57.2</v>
      </c>
      <c r="AQ16" s="28">
        <v>57.4</v>
      </c>
      <c r="AR16" s="28">
        <v>57.7</v>
      </c>
      <c r="AS16" s="28">
        <v>57.9</v>
      </c>
      <c r="AT16" s="28">
        <v>58.2</v>
      </c>
      <c r="AU16" s="28">
        <v>58.6</v>
      </c>
      <c r="AV16" s="28">
        <v>58.9</v>
      </c>
      <c r="AW16" s="28">
        <v>59.2</v>
      </c>
      <c r="AX16" s="28">
        <v>59.7</v>
      </c>
      <c r="AY16" s="28">
        <v>60.4</v>
      </c>
      <c r="AZ16" s="28"/>
      <c r="BA16" s="28"/>
      <c r="BB16" s="25"/>
      <c r="BC16" s="25"/>
      <c r="BD16" s="25"/>
      <c r="BE16" s="25"/>
      <c r="BF16" s="25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</row>
    <row r="19" spans="1:6" x14ac:dyDescent="0.3">
      <c r="A19" s="76" t="s">
        <v>6</v>
      </c>
      <c r="B19" s="77" t="s">
        <v>8</v>
      </c>
      <c r="C19" s="77" t="s">
        <v>9</v>
      </c>
      <c r="D19" s="77" t="s">
        <v>10</v>
      </c>
      <c r="E19" s="77" t="s">
        <v>11</v>
      </c>
      <c r="F19" s="77" t="s">
        <v>12</v>
      </c>
    </row>
    <row r="20" spans="1:6" x14ac:dyDescent="0.3">
      <c r="A20" s="31" t="s">
        <v>0</v>
      </c>
      <c r="B20" s="77">
        <f t="shared" ref="B20:B25" si="0">SUM(B3:K3)/10</f>
        <v>1171.5030383349931</v>
      </c>
      <c r="C20" s="77">
        <f t="shared" ref="C20:C25" si="1">SUM(L3:U3)/10</f>
        <v>1620.6855316561382</v>
      </c>
      <c r="D20" s="77">
        <f t="shared" ref="D20:D25" si="2">SUM(V3:AE3)/10</f>
        <v>1923.1926278337821</v>
      </c>
      <c r="E20" s="77">
        <f t="shared" ref="E20:E25" si="3">SUM(AF3:AO3)/10</f>
        <v>1724.650818631098</v>
      </c>
      <c r="F20" s="77">
        <f t="shared" ref="F20:F25" si="4">SUM(AP3:AY3)/10</f>
        <v>2025.7511756478659</v>
      </c>
    </row>
    <row r="21" spans="1:6" x14ac:dyDescent="0.3">
      <c r="A21" t="s">
        <v>1</v>
      </c>
      <c r="B21" s="77">
        <f t="shared" si="0"/>
        <v>5631.3903988815728</v>
      </c>
      <c r="C21" s="77">
        <f t="shared" si="1"/>
        <v>6971.554988518471</v>
      </c>
      <c r="D21" s="77">
        <f t="shared" si="2"/>
        <v>6602.2470544586586</v>
      </c>
      <c r="E21" s="77">
        <f t="shared" si="3"/>
        <v>7198.5862844731691</v>
      </c>
      <c r="F21" s="77">
        <f t="shared" si="4"/>
        <v>8191.5359379542115</v>
      </c>
    </row>
    <row r="22" spans="1:6" x14ac:dyDescent="0.3">
      <c r="A22" t="s">
        <v>2</v>
      </c>
      <c r="B22" s="77">
        <f t="shared" si="0"/>
        <v>10424.979010491148</v>
      </c>
      <c r="C22" s="77">
        <f t="shared" si="1"/>
        <v>13413.366241723261</v>
      </c>
      <c r="D22" s="77">
        <f t="shared" si="2"/>
        <v>15577.523552640621</v>
      </c>
      <c r="E22" s="77">
        <f t="shared" si="3"/>
        <v>18694.751688136217</v>
      </c>
      <c r="F22" s="77">
        <f t="shared" si="4"/>
        <v>23544.716041611009</v>
      </c>
    </row>
    <row r="23" spans="1:6" x14ac:dyDescent="0.3">
      <c r="A23" t="s">
        <v>3</v>
      </c>
      <c r="B23" s="77">
        <f t="shared" si="0"/>
        <v>269.35061574370962</v>
      </c>
      <c r="C23" s="77">
        <f t="shared" si="1"/>
        <v>248.83473628647798</v>
      </c>
      <c r="D23" s="77">
        <f t="shared" si="2"/>
        <v>263.95811161456106</v>
      </c>
      <c r="E23" s="77">
        <f t="shared" si="3"/>
        <v>310.2340307084765</v>
      </c>
      <c r="F23" s="77">
        <f t="shared" si="4"/>
        <v>436.39434074767178</v>
      </c>
    </row>
    <row r="24" spans="1:6" x14ac:dyDescent="0.3">
      <c r="A24" t="s">
        <v>4</v>
      </c>
      <c r="B24" s="77">
        <f t="shared" si="0"/>
        <v>9010.4197526758253</v>
      </c>
      <c r="C24" s="77">
        <f t="shared" si="1"/>
        <v>13336.13445978518</v>
      </c>
      <c r="D24" s="77">
        <f t="shared" si="2"/>
        <v>16389.464600755447</v>
      </c>
      <c r="E24" s="77">
        <f t="shared" si="3"/>
        <v>19965.609207570709</v>
      </c>
      <c r="F24" s="77">
        <f t="shared" si="4"/>
        <v>23820.87438271198</v>
      </c>
    </row>
    <row r="25" spans="1:6" x14ac:dyDescent="0.3">
      <c r="A25" t="s">
        <v>5</v>
      </c>
      <c r="B25" s="77">
        <f t="shared" si="0"/>
        <v>272.38091074429201</v>
      </c>
      <c r="C25" s="77">
        <f t="shared" si="1"/>
        <v>286.81720417984189</v>
      </c>
      <c r="D25" s="77">
        <f t="shared" si="2"/>
        <v>312.36690983157558</v>
      </c>
      <c r="E25" s="77">
        <f t="shared" si="3"/>
        <v>311.61902948784331</v>
      </c>
      <c r="F25" s="77">
        <f t="shared" si="4"/>
        <v>360.59039566947803</v>
      </c>
    </row>
    <row r="26" spans="1:6" x14ac:dyDescent="0.3">
      <c r="B26" s="77"/>
      <c r="C26" s="77"/>
      <c r="D26" s="77"/>
      <c r="E26" s="77"/>
      <c r="F26" s="77"/>
    </row>
    <row r="27" spans="1:6" x14ac:dyDescent="0.3">
      <c r="A27" t="s">
        <v>7</v>
      </c>
      <c r="B27" s="77"/>
      <c r="C27" s="77"/>
      <c r="D27" s="77"/>
      <c r="E27" s="77"/>
      <c r="F27" s="77"/>
    </row>
    <row r="28" spans="1:6" x14ac:dyDescent="0.3">
      <c r="A28" s="31" t="s">
        <v>0</v>
      </c>
      <c r="B28" s="77">
        <f t="shared" ref="B28:B33" si="5">SUM(B11:K11)/10</f>
        <v>49.787999999999997</v>
      </c>
      <c r="C28" s="77">
        <f t="shared" ref="C28:C33" si="6">SUM(L11:U11)/10</f>
        <v>55.342000000000006</v>
      </c>
      <c r="D28" s="77">
        <f t="shared" ref="D28:D33" si="7">SUM(V11:AE11)/10</f>
        <v>66.115000000000009</v>
      </c>
      <c r="E28" s="77">
        <f t="shared" ref="E28:E33" si="8">SUM(AF11:AO11)/10</f>
        <v>71.59</v>
      </c>
      <c r="F28" s="77">
        <f t="shared" ref="F28:F33" si="9">SUM(AP11:AY11)/10</f>
        <v>74.52000000000001</v>
      </c>
    </row>
    <row r="29" spans="1:6" x14ac:dyDescent="0.3">
      <c r="A29" s="24" t="s">
        <v>1</v>
      </c>
      <c r="B29" s="77">
        <f t="shared" si="5"/>
        <v>65.962000000000003</v>
      </c>
      <c r="C29" s="77">
        <f t="shared" si="6"/>
        <v>68.442999999999998</v>
      </c>
      <c r="D29" s="77">
        <f t="shared" si="7"/>
        <v>71.305999999999997</v>
      </c>
      <c r="E29" s="77">
        <f t="shared" si="8"/>
        <v>73.28</v>
      </c>
      <c r="F29" s="77">
        <f t="shared" si="9"/>
        <v>74.91</v>
      </c>
    </row>
    <row r="30" spans="1:6" x14ac:dyDescent="0.3">
      <c r="A30" s="24" t="s">
        <v>2</v>
      </c>
      <c r="B30" s="77">
        <f t="shared" si="5"/>
        <v>70.914999999999992</v>
      </c>
      <c r="C30" s="77">
        <f t="shared" si="6"/>
        <v>72.537000000000006</v>
      </c>
      <c r="D30" s="77">
        <f t="shared" si="7"/>
        <v>75.613</v>
      </c>
      <c r="E30" s="77">
        <f t="shared" si="8"/>
        <v>78.22</v>
      </c>
      <c r="F30" s="77">
        <f t="shared" si="9"/>
        <v>80.919999999999987</v>
      </c>
    </row>
    <row r="31" spans="1:6" x14ac:dyDescent="0.3">
      <c r="A31" s="24" t="s">
        <v>3</v>
      </c>
      <c r="B31" s="77">
        <f t="shared" si="5"/>
        <v>47.683000000000007</v>
      </c>
      <c r="C31" s="77">
        <f t="shared" si="6"/>
        <v>48.051000000000002</v>
      </c>
      <c r="D31" s="77">
        <f t="shared" si="7"/>
        <v>55.286999999999999</v>
      </c>
      <c r="E31" s="77">
        <f t="shared" si="8"/>
        <v>61.14</v>
      </c>
      <c r="F31" s="77">
        <f t="shared" si="9"/>
        <v>66.84</v>
      </c>
    </row>
    <row r="32" spans="1:6" x14ac:dyDescent="0.3">
      <c r="A32" s="24" t="s">
        <v>4</v>
      </c>
      <c r="B32" s="77">
        <f t="shared" si="5"/>
        <v>70.402999999999992</v>
      </c>
      <c r="C32" s="77">
        <f t="shared" si="6"/>
        <v>71.914000000000001</v>
      </c>
      <c r="D32" s="77">
        <f t="shared" si="7"/>
        <v>74.406000000000006</v>
      </c>
      <c r="E32" s="77">
        <f t="shared" si="8"/>
        <v>76.830000000000013</v>
      </c>
      <c r="F32" s="77">
        <f t="shared" si="9"/>
        <v>78.900000000000006</v>
      </c>
    </row>
    <row r="33" spans="1:10" x14ac:dyDescent="0.3">
      <c r="A33" s="24" t="s">
        <v>5</v>
      </c>
      <c r="B33" s="77">
        <f t="shared" si="5"/>
        <v>40.715999999999994</v>
      </c>
      <c r="C33" s="77">
        <f t="shared" si="6"/>
        <v>46.542999999999992</v>
      </c>
      <c r="D33" s="77">
        <f t="shared" si="7"/>
        <v>52.155000000000008</v>
      </c>
      <c r="E33" s="77">
        <f t="shared" si="8"/>
        <v>56.7</v>
      </c>
      <c r="F33" s="77">
        <f t="shared" si="9"/>
        <v>58.52</v>
      </c>
    </row>
    <row r="34" spans="1:10" x14ac:dyDescent="0.3">
      <c r="B34" s="24"/>
      <c r="C34" s="24"/>
      <c r="D34" s="24"/>
      <c r="E34" s="24"/>
      <c r="F34" s="24"/>
    </row>
    <row r="35" spans="1:10" x14ac:dyDescent="0.3">
      <c r="A35" s="1" t="s">
        <v>8</v>
      </c>
      <c r="B35" s="1" t="s">
        <v>39</v>
      </c>
      <c r="C35" s="1" t="s">
        <v>40</v>
      </c>
      <c r="D35" s="1" t="s">
        <v>41</v>
      </c>
      <c r="E35" s="1" t="s">
        <v>42</v>
      </c>
      <c r="F35" s="1" t="s">
        <v>43</v>
      </c>
      <c r="G35" s="1" t="s">
        <v>44</v>
      </c>
      <c r="H35" s="1" t="s">
        <v>45</v>
      </c>
      <c r="I35" s="1" t="s">
        <v>46</v>
      </c>
      <c r="J35" s="1" t="s">
        <v>47</v>
      </c>
    </row>
    <row r="36" spans="1:10" x14ac:dyDescent="0.3">
      <c r="A36" s="93" t="s">
        <v>0</v>
      </c>
      <c r="B36" s="94">
        <v>1171.5029999999999</v>
      </c>
      <c r="C36" s="24">
        <v>49.79</v>
      </c>
      <c r="D36" s="24">
        <f t="shared" ref="D36:D41" si="10">SUM(B36*C36)</f>
        <v>58329.134369999992</v>
      </c>
      <c r="E36" s="24">
        <f>SUM(B36^2)</f>
        <v>1372419.2790089999</v>
      </c>
      <c r="F36" s="24">
        <f>SUM(C36^2)</f>
        <v>2479.0441000000001</v>
      </c>
      <c r="G36">
        <f>SUM(B36 - mean_gdp)</f>
        <v>-3291.8343333333332</v>
      </c>
      <c r="H36">
        <f>G36^2</f>
        <v>10836173.27811211</v>
      </c>
      <c r="I36">
        <f t="shared" ref="I36:I41" si="11">C36-mean_le</f>
        <v>-7.7883333333333411</v>
      </c>
      <c r="J36">
        <f>I36^2</f>
        <v>60.658136111111233</v>
      </c>
    </row>
    <row r="37" spans="1:10" x14ac:dyDescent="0.3">
      <c r="A37" s="94" t="s">
        <v>1</v>
      </c>
      <c r="B37" s="94">
        <v>5631.39</v>
      </c>
      <c r="C37">
        <v>65.959999999999994</v>
      </c>
      <c r="D37">
        <f t="shared" si="10"/>
        <v>371446.48439999996</v>
      </c>
      <c r="E37">
        <f>SUM(B37^2)</f>
        <v>31712553.332100004</v>
      </c>
      <c r="F37">
        <f>SUM(C37^2)</f>
        <v>4350.7215999999989</v>
      </c>
      <c r="G37">
        <f>SUM(B37-mean_gdp)</f>
        <v>1168.0526666666674</v>
      </c>
      <c r="H37">
        <f>G37^2</f>
        <v>1364347.0321071127</v>
      </c>
      <c r="I37">
        <f t="shared" si="11"/>
        <v>8.3816666666666535</v>
      </c>
      <c r="J37">
        <f>I37^2</f>
        <v>70.252336111110893</v>
      </c>
    </row>
    <row r="38" spans="1:10" x14ac:dyDescent="0.3">
      <c r="A38" s="94" t="s">
        <v>2</v>
      </c>
      <c r="B38" s="94">
        <v>10424.978999999999</v>
      </c>
      <c r="C38">
        <v>70.92</v>
      </c>
      <c r="D38" s="24">
        <f t="shared" si="10"/>
        <v>739339.51067999995</v>
      </c>
      <c r="E38" s="24">
        <f>SUM(B38^2)</f>
        <v>108680187.15044099</v>
      </c>
      <c r="F38" s="24">
        <f t="shared" ref="F38:F41" si="12">SUM(C38^2)</f>
        <v>5029.6464000000005</v>
      </c>
      <c r="G38" s="24">
        <f>SUM(B38 - mean_gdp)</f>
        <v>5961.6416666666664</v>
      </c>
      <c r="H38" s="24">
        <f t="shared" ref="H38:H41" si="13">G38^2</f>
        <v>35541171.361736111</v>
      </c>
      <c r="I38" s="24">
        <f t="shared" si="11"/>
        <v>13.341666666666661</v>
      </c>
      <c r="J38" s="24">
        <f t="shared" ref="J38:J41" si="14">I38^2</f>
        <v>178.00006944444431</v>
      </c>
    </row>
    <row r="39" spans="1:10" x14ac:dyDescent="0.3">
      <c r="A39" s="94" t="s">
        <v>3</v>
      </c>
      <c r="B39" s="94">
        <v>269.351</v>
      </c>
      <c r="C39">
        <v>47.68</v>
      </c>
      <c r="D39" s="24">
        <f t="shared" si="10"/>
        <v>12842.65568</v>
      </c>
      <c r="E39" s="24">
        <f>SUM(B39^2)</f>
        <v>72549.961200999998</v>
      </c>
      <c r="F39" s="24">
        <f t="shared" si="12"/>
        <v>2273.3824</v>
      </c>
      <c r="G39" s="24">
        <f>SUM(B39-mean_gdp)</f>
        <v>-4193.9863333333333</v>
      </c>
      <c r="H39" s="24">
        <f t="shared" si="13"/>
        <v>17589521.364186779</v>
      </c>
      <c r="I39" s="24">
        <f t="shared" si="11"/>
        <v>-9.8983333333333405</v>
      </c>
      <c r="J39" s="24">
        <f t="shared" si="14"/>
        <v>97.977002777777926</v>
      </c>
    </row>
    <row r="40" spans="1:10" x14ac:dyDescent="0.3">
      <c r="A40" s="94" t="s">
        <v>4</v>
      </c>
      <c r="B40" s="94">
        <v>9010.42</v>
      </c>
      <c r="C40">
        <v>70.400000000000006</v>
      </c>
      <c r="D40" s="24">
        <f t="shared" si="10"/>
        <v>634333.56800000009</v>
      </c>
      <c r="E40" s="24">
        <f>SUM(B40^2)</f>
        <v>81187668.576399997</v>
      </c>
      <c r="F40" s="24">
        <f t="shared" si="12"/>
        <v>4956.1600000000008</v>
      </c>
      <c r="G40" s="24">
        <f>SUM(B40 - mean_gdp)</f>
        <v>4547.0826666666671</v>
      </c>
      <c r="H40" s="24">
        <f t="shared" si="13"/>
        <v>20675960.777500447</v>
      </c>
      <c r="I40" s="24">
        <f t="shared" si="11"/>
        <v>12.821666666666665</v>
      </c>
      <c r="J40" s="24">
        <f t="shared" si="14"/>
        <v>164.39513611111107</v>
      </c>
    </row>
    <row r="41" spans="1:10" x14ac:dyDescent="0.3">
      <c r="A41" s="94" t="s">
        <v>5</v>
      </c>
      <c r="B41" s="94">
        <v>272.38099999999997</v>
      </c>
      <c r="C41">
        <v>40.72</v>
      </c>
      <c r="D41" s="24">
        <f t="shared" si="10"/>
        <v>11091.354319999999</v>
      </c>
      <c r="E41" s="24">
        <f>SUM(B41^2)</f>
        <v>74191.409160999989</v>
      </c>
      <c r="F41" s="24">
        <f t="shared" si="12"/>
        <v>1658.1183999999998</v>
      </c>
      <c r="G41" s="24">
        <f>SUM(B41-mean_gdp)</f>
        <v>-4190.9563333333326</v>
      </c>
      <c r="H41" s="24">
        <f t="shared" si="13"/>
        <v>17564114.987906773</v>
      </c>
      <c r="I41" s="24">
        <f t="shared" si="11"/>
        <v>-16.858333333333341</v>
      </c>
      <c r="J41" s="24">
        <f t="shared" si="14"/>
        <v>284.20340277777802</v>
      </c>
    </row>
    <row r="42" spans="1:10" x14ac:dyDescent="0.3">
      <c r="A42" s="78" t="s">
        <v>38</v>
      </c>
      <c r="B42" s="95">
        <f>SUM(B36:B41)</f>
        <v>26780.023999999998</v>
      </c>
      <c r="C42" s="75">
        <f>SUM(C36:C41)</f>
        <v>345.47</v>
      </c>
      <c r="D42" s="75">
        <f t="shared" ref="D42:H42" si="15">SUM(D36:D41)</f>
        <v>1827382.7074500001</v>
      </c>
      <c r="E42" s="75">
        <f t="shared" si="15"/>
        <v>223099569.708312</v>
      </c>
      <c r="F42" s="75">
        <f t="shared" si="15"/>
        <v>20747.072899999999</v>
      </c>
      <c r="G42" s="75">
        <f t="shared" si="15"/>
        <v>0</v>
      </c>
      <c r="H42" s="75">
        <f t="shared" si="15"/>
        <v>103571288.80154933</v>
      </c>
      <c r="I42" s="75">
        <f>ROUND(SUM(I36:I41), 2)</f>
        <v>0</v>
      </c>
      <c r="J42" s="75">
        <f t="shared" ref="J42" si="16">SUM(J36:J41)</f>
        <v>855.48608333333334</v>
      </c>
    </row>
    <row r="43" spans="1:10" ht="15" thickBot="1" x14ac:dyDescent="0.35">
      <c r="A43" s="94"/>
      <c r="B43" s="94"/>
    </row>
    <row r="44" spans="1:10" ht="18" x14ac:dyDescent="0.35">
      <c r="A44" s="96" t="s">
        <v>54</v>
      </c>
      <c r="B44" s="97"/>
    </row>
    <row r="45" spans="1:10" x14ac:dyDescent="0.3">
      <c r="A45" s="98" t="s">
        <v>13</v>
      </c>
      <c r="B45" s="99">
        <f>COUNT(B36:B41)</f>
        <v>6</v>
      </c>
    </row>
    <row r="46" spans="1:10" x14ac:dyDescent="0.3">
      <c r="A46" s="98" t="s">
        <v>14</v>
      </c>
      <c r="B46" s="100">
        <f>B45*D42-B42*C42</f>
        <v>1712601.3534200005</v>
      </c>
    </row>
    <row r="47" spans="1:10" x14ac:dyDescent="0.3">
      <c r="A47" s="98" t="s">
        <v>15</v>
      </c>
      <c r="B47" s="100">
        <f>(B45*E42-B42^2)^0.5</f>
        <v>24928.452274645857</v>
      </c>
    </row>
    <row r="48" spans="1:10" x14ac:dyDescent="0.3">
      <c r="A48" s="98" t="s">
        <v>16</v>
      </c>
      <c r="B48" s="100">
        <f>(B45*F42-C42^2)^0.5</f>
        <v>71.644375215364803</v>
      </c>
    </row>
    <row r="49" spans="1:2" x14ac:dyDescent="0.3">
      <c r="A49" s="98" t="s">
        <v>17</v>
      </c>
      <c r="B49" s="101">
        <f>ROUND(B46/(B47*B48), 3)</f>
        <v>0.95899999999999996</v>
      </c>
    </row>
    <row r="50" spans="1:2" x14ac:dyDescent="0.3">
      <c r="A50" s="98" t="s">
        <v>56</v>
      </c>
      <c r="B50" s="101">
        <f>ROUND(CORREL(B36:B41,C36:C41), 3)</f>
        <v>0.95899999999999996</v>
      </c>
    </row>
    <row r="51" spans="1:2" x14ac:dyDescent="0.3">
      <c r="A51" s="98" t="s">
        <v>19</v>
      </c>
      <c r="B51" s="101">
        <f>B50^2</f>
        <v>0.91968099999999997</v>
      </c>
    </row>
    <row r="52" spans="1:2" x14ac:dyDescent="0.3">
      <c r="A52" s="98"/>
      <c r="B52" s="102"/>
    </row>
    <row r="53" spans="1:2" ht="18" x14ac:dyDescent="0.35">
      <c r="A53" s="103" t="s">
        <v>53</v>
      </c>
      <c r="B53" s="102"/>
    </row>
    <row r="54" spans="1:2" x14ac:dyDescent="0.3">
      <c r="A54" s="104" t="s">
        <v>55</v>
      </c>
      <c r="B54" s="102"/>
    </row>
    <row r="55" spans="1:2" x14ac:dyDescent="0.3">
      <c r="A55" s="98" t="s">
        <v>20</v>
      </c>
      <c r="B55" s="102">
        <f>B42/count</f>
        <v>4463.3373333333329</v>
      </c>
    </row>
    <row r="56" spans="1:2" x14ac:dyDescent="0.3">
      <c r="A56" s="98" t="s">
        <v>21</v>
      </c>
      <c r="B56" s="102">
        <f>(H42/count)^0.5</f>
        <v>4154.7420457743083</v>
      </c>
    </row>
    <row r="57" spans="1:2" x14ac:dyDescent="0.3">
      <c r="A57" s="98" t="s">
        <v>22</v>
      </c>
      <c r="B57" s="102">
        <f>_xlfn.STDEV.P($B$36:$B$41)</f>
        <v>4154.7420457743092</v>
      </c>
    </row>
    <row r="58" spans="1:2" x14ac:dyDescent="0.3">
      <c r="A58" s="98" t="s">
        <v>23</v>
      </c>
      <c r="B58" s="102">
        <f>MEDIAN($B$36:$B$41)</f>
        <v>3401.4465</v>
      </c>
    </row>
    <row r="59" spans="1:2" x14ac:dyDescent="0.3">
      <c r="A59" s="104" t="s">
        <v>24</v>
      </c>
      <c r="B59" s="102"/>
    </row>
    <row r="60" spans="1:2" x14ac:dyDescent="0.3">
      <c r="A60" s="98" t="s">
        <v>25</v>
      </c>
      <c r="B60" s="102">
        <f>QUARTILE($B$36:$B$41, 0)</f>
        <v>269.351</v>
      </c>
    </row>
    <row r="61" spans="1:2" x14ac:dyDescent="0.3">
      <c r="A61" s="98" t="s">
        <v>26</v>
      </c>
      <c r="B61" s="102">
        <f>QUARTILE($B$36:$B$41, 1)</f>
        <v>497.16149999999993</v>
      </c>
    </row>
    <row r="62" spans="1:2" x14ac:dyDescent="0.3">
      <c r="A62" s="98" t="s">
        <v>27</v>
      </c>
      <c r="B62" s="102">
        <f>QUARTILE($B$36:$B$41, 2)</f>
        <v>3401.4465</v>
      </c>
    </row>
    <row r="63" spans="1:2" x14ac:dyDescent="0.3">
      <c r="A63" s="98" t="s">
        <v>28</v>
      </c>
      <c r="B63" s="102">
        <f>QUARTILE($B$36:$B$41, 3)</f>
        <v>8165.6625000000004</v>
      </c>
    </row>
    <row r="64" spans="1:2" x14ac:dyDescent="0.3">
      <c r="A64" s="98" t="s">
        <v>29</v>
      </c>
      <c r="B64" s="102">
        <f>QUARTILE($B$36:$B$41, 4)</f>
        <v>10424.978999999999</v>
      </c>
    </row>
    <row r="65" spans="1:2" x14ac:dyDescent="0.3">
      <c r="A65" s="98"/>
      <c r="B65" s="102"/>
    </row>
    <row r="66" spans="1:2" x14ac:dyDescent="0.3">
      <c r="A66" s="104" t="s">
        <v>51</v>
      </c>
      <c r="B66" s="102"/>
    </row>
    <row r="67" spans="1:2" x14ac:dyDescent="0.3">
      <c r="A67" s="98" t="s">
        <v>49</v>
      </c>
      <c r="B67" s="102">
        <f>C42/B45</f>
        <v>57.57833333333334</v>
      </c>
    </row>
    <row r="68" spans="1:2" x14ac:dyDescent="0.3">
      <c r="A68" s="98" t="s">
        <v>21</v>
      </c>
      <c r="B68" s="102">
        <f>ROUND(SQRT(J42/B45), 0)</f>
        <v>12</v>
      </c>
    </row>
    <row r="69" spans="1:2" x14ac:dyDescent="0.3">
      <c r="A69" s="98" t="s">
        <v>22</v>
      </c>
      <c r="B69" s="102">
        <f>ROUND(_xlfn.STDEV.P($C$36:$C$41),0)</f>
        <v>12</v>
      </c>
    </row>
    <row r="70" spans="1:2" x14ac:dyDescent="0.3">
      <c r="A70" s="98" t="s">
        <v>30</v>
      </c>
      <c r="B70" s="102"/>
    </row>
    <row r="71" spans="1:2" x14ac:dyDescent="0.3">
      <c r="A71" s="98" t="s">
        <v>23</v>
      </c>
      <c r="B71" s="102">
        <f>MEDIAN($C$36:$C$41)</f>
        <v>57.875</v>
      </c>
    </row>
    <row r="72" spans="1:2" x14ac:dyDescent="0.3">
      <c r="A72" s="104" t="s">
        <v>24</v>
      </c>
      <c r="B72" s="102"/>
    </row>
    <row r="73" spans="1:2" x14ac:dyDescent="0.3">
      <c r="A73" s="98" t="s">
        <v>25</v>
      </c>
      <c r="B73" s="102">
        <f>QUARTILE($C$36:$C$41, 0)</f>
        <v>40.72</v>
      </c>
    </row>
    <row r="74" spans="1:2" x14ac:dyDescent="0.3">
      <c r="A74" s="98" t="s">
        <v>26</v>
      </c>
      <c r="B74" s="102">
        <f>QUARTILE($C$36:$C$41, 1)</f>
        <v>48.207499999999996</v>
      </c>
    </row>
    <row r="75" spans="1:2" x14ac:dyDescent="0.3">
      <c r="A75" s="98" t="s">
        <v>27</v>
      </c>
      <c r="B75" s="102">
        <f>QUARTILE($C$36:$C$41, 2)</f>
        <v>57.875</v>
      </c>
    </row>
    <row r="76" spans="1:2" x14ac:dyDescent="0.3">
      <c r="A76" s="98" t="s">
        <v>28</v>
      </c>
      <c r="B76" s="102">
        <f>QUARTILE($C$36:$C$41, 3)</f>
        <v>69.290000000000006</v>
      </c>
    </row>
    <row r="77" spans="1:2" x14ac:dyDescent="0.3">
      <c r="A77" s="98" t="s">
        <v>29</v>
      </c>
      <c r="B77" s="102">
        <f>QUARTILE($C$36:$C$41, 4)</f>
        <v>70.92</v>
      </c>
    </row>
    <row r="78" spans="1:2" ht="18" x14ac:dyDescent="0.35">
      <c r="A78" s="103" t="s">
        <v>50</v>
      </c>
      <c r="B78" s="102"/>
    </row>
    <row r="79" spans="1:2" x14ac:dyDescent="0.3">
      <c r="A79" s="104" t="s">
        <v>31</v>
      </c>
      <c r="B79" s="102"/>
    </row>
    <row r="80" spans="1:2" x14ac:dyDescent="0.3">
      <c r="A80" s="98" t="s">
        <v>14</v>
      </c>
      <c r="B80" s="100">
        <f>count*D42-B42*C42</f>
        <v>1712601.3534200005</v>
      </c>
    </row>
    <row r="81" spans="1:2" x14ac:dyDescent="0.3">
      <c r="A81" s="98" t="s">
        <v>32</v>
      </c>
      <c r="B81" s="100">
        <f>count*E42-B42^2</f>
        <v>621427732.80929613</v>
      </c>
    </row>
    <row r="82" spans="1:2" x14ac:dyDescent="0.3">
      <c r="A82" s="98" t="s">
        <v>33</v>
      </c>
      <c r="B82" s="105">
        <f>B80/B81</f>
        <v>2.7559139430064091E-3</v>
      </c>
    </row>
    <row r="83" spans="1:2" x14ac:dyDescent="0.3">
      <c r="A83" s="98" t="s">
        <v>34</v>
      </c>
      <c r="B83" s="105">
        <f>SLOPE(C36:C41,B36:B41)</f>
        <v>2.7559139430064095E-3</v>
      </c>
    </row>
    <row r="84" spans="1:2" x14ac:dyDescent="0.3">
      <c r="A84" s="98"/>
      <c r="B84" s="100"/>
    </row>
    <row r="85" spans="1:2" x14ac:dyDescent="0.3">
      <c r="A85" s="104" t="s">
        <v>35</v>
      </c>
      <c r="B85" s="100"/>
    </row>
    <row r="86" spans="1:2" x14ac:dyDescent="0.3">
      <c r="A86" s="98" t="s">
        <v>36</v>
      </c>
      <c r="B86" s="106">
        <f>(C42-B82*B42)/count</f>
        <v>45.277759744058962</v>
      </c>
    </row>
    <row r="87" spans="1:2" ht="15" thickBot="1" x14ac:dyDescent="0.35">
      <c r="A87" s="107" t="s">
        <v>37</v>
      </c>
      <c r="B87" s="108">
        <f>INTERCEPT(C36:C41,B36:B41)</f>
        <v>45.277759744058962</v>
      </c>
    </row>
    <row r="88" spans="1:2" ht="15" thickTop="1" x14ac:dyDescent="0.3">
      <c r="A88" s="66"/>
      <c r="B88" s="67"/>
    </row>
    <row r="89" spans="1:2" x14ac:dyDescent="0.3">
      <c r="A89" s="66"/>
      <c r="B89" s="67"/>
    </row>
  </sheetData>
  <conditionalFormatting sqref="B49">
    <cfRule type="cellIs" dxfId="34" priority="7" operator="equal">
      <formula>$B$50</formula>
    </cfRule>
  </conditionalFormatting>
  <conditionalFormatting sqref="B50">
    <cfRule type="cellIs" dxfId="33" priority="6" operator="equal">
      <formula>$B$49</formula>
    </cfRule>
  </conditionalFormatting>
  <conditionalFormatting sqref="B68">
    <cfRule type="cellIs" dxfId="32" priority="5" operator="equal">
      <formula>$B$69</formula>
    </cfRule>
  </conditionalFormatting>
  <conditionalFormatting sqref="B69:B72">
    <cfRule type="cellIs" dxfId="31" priority="4" operator="equal">
      <formula>$B$68</formula>
    </cfRule>
  </conditionalFormatting>
  <conditionalFormatting sqref="B56">
    <cfRule type="cellIs" dxfId="30" priority="3" operator="equal">
      <formula>$B$57</formula>
    </cfRule>
  </conditionalFormatting>
  <conditionalFormatting sqref="B57:B58">
    <cfRule type="cellIs" dxfId="29" priority="2" operator="equal">
      <formula>$B$56</formula>
    </cfRule>
  </conditionalFormatting>
  <conditionalFormatting sqref="B59">
    <cfRule type="cellIs" dxfId="28" priority="1" operator="equal">
      <formula>$B$68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:J89"/>
  <sheetViews>
    <sheetView topLeftCell="A28" workbookViewId="0">
      <selection activeCell="D45" sqref="D45:D49"/>
    </sheetView>
  </sheetViews>
  <sheetFormatPr defaultRowHeight="14.4" x14ac:dyDescent="0.3"/>
  <cols>
    <col min="1" max="1" width="29.6640625" customWidth="1"/>
    <col min="2" max="2" width="23.5546875" customWidth="1"/>
    <col min="3" max="3" width="16.5546875" customWidth="1"/>
    <col min="4" max="4" width="15" customWidth="1"/>
    <col min="5" max="5" width="14" customWidth="1"/>
    <col min="6" max="6" width="14.33203125" customWidth="1"/>
    <col min="7" max="7" width="13.44140625" customWidth="1"/>
    <col min="8" max="8" width="15" customWidth="1"/>
    <col min="9" max="9" width="18.33203125" customWidth="1"/>
    <col min="10" max="10" width="13.5546875" customWidth="1"/>
  </cols>
  <sheetData>
    <row r="35" spans="1:10" x14ac:dyDescent="0.3">
      <c r="A35" s="1" t="s">
        <v>9</v>
      </c>
      <c r="B35" s="1" t="s">
        <v>52</v>
      </c>
      <c r="C35" s="1" t="s">
        <v>40</v>
      </c>
      <c r="D35" s="1" t="s">
        <v>41</v>
      </c>
      <c r="E35" s="1" t="s">
        <v>42</v>
      </c>
      <c r="F35" s="1" t="s">
        <v>43</v>
      </c>
      <c r="G35" s="1" t="s">
        <v>44</v>
      </c>
      <c r="H35" s="1" t="s">
        <v>45</v>
      </c>
      <c r="I35" s="1" t="s">
        <v>46</v>
      </c>
      <c r="J35" s="1" t="s">
        <v>47</v>
      </c>
    </row>
    <row r="36" spans="1:10" x14ac:dyDescent="0.3">
      <c r="A36" s="93" t="s">
        <v>0</v>
      </c>
      <c r="B36" s="94">
        <v>1620.6859999999999</v>
      </c>
      <c r="C36">
        <v>55.341999999999999</v>
      </c>
      <c r="D36" s="24">
        <f>SUM(B36*C36)</f>
        <v>89692.00461199999</v>
      </c>
      <c r="E36" s="24">
        <f>SUM(B36^2)</f>
        <v>2626623.1105959998</v>
      </c>
      <c r="F36" s="24">
        <f>SUM(C36^2)</f>
        <v>3062.7369639999997</v>
      </c>
      <c r="G36" s="24">
        <f>SUM(B36 - mean_gpd1970)</f>
        <v>-4692.2128333333339</v>
      </c>
      <c r="H36" s="24">
        <f>G36^2</f>
        <v>22016861.273298033</v>
      </c>
      <c r="I36" s="24">
        <f t="shared" ref="I36:I41" si="0">C36-mean_le1970</f>
        <v>-5.1296666666666653</v>
      </c>
      <c r="J36" s="24">
        <f>I36^2</f>
        <v>26.313480111111097</v>
      </c>
    </row>
    <row r="37" spans="1:10" x14ac:dyDescent="0.3">
      <c r="A37" s="94" t="s">
        <v>1</v>
      </c>
      <c r="B37" s="94">
        <v>6971.5550000000003</v>
      </c>
      <c r="C37">
        <v>68.442999999999998</v>
      </c>
      <c r="D37" s="24">
        <f>SUM(B37*C37)</f>
        <v>477154.13886499999</v>
      </c>
      <c r="E37" s="24">
        <f>SUM(B37^2)</f>
        <v>48602579.118025005</v>
      </c>
      <c r="F37" s="24">
        <f>SUM(C37^2)</f>
        <v>4684.4442490000001</v>
      </c>
      <c r="G37" s="24">
        <f>SUM(B37-mean_gpd1970)</f>
        <v>658.65616666666665</v>
      </c>
      <c r="H37" s="24">
        <f>G37^2</f>
        <v>433827.94588802778</v>
      </c>
      <c r="I37" s="24">
        <f t="shared" si="0"/>
        <v>7.9713333333333338</v>
      </c>
      <c r="J37" s="24">
        <f>I37^2</f>
        <v>63.542155111111121</v>
      </c>
    </row>
    <row r="38" spans="1:10" x14ac:dyDescent="0.3">
      <c r="A38" s="94" t="s">
        <v>2</v>
      </c>
      <c r="B38" s="94">
        <v>13413.366</v>
      </c>
      <c r="C38">
        <v>72.537000000000006</v>
      </c>
      <c r="D38" s="24">
        <f t="shared" ref="D38:D41" si="1">SUM(B38*C38)</f>
        <v>972965.32954200008</v>
      </c>
      <c r="E38" s="24">
        <f t="shared" ref="E38:F41" si="2">SUM(B38^2)</f>
        <v>179918387.449956</v>
      </c>
      <c r="F38" s="24">
        <f t="shared" si="2"/>
        <v>5261.6163690000012</v>
      </c>
      <c r="G38" s="24">
        <f>SUM(B38 - mean_gpd1970)</f>
        <v>7100.4671666666663</v>
      </c>
      <c r="H38" s="24">
        <f t="shared" ref="H38:H41" si="3">G38^2</f>
        <v>50416633.98491136</v>
      </c>
      <c r="I38" s="24">
        <f t="shared" si="0"/>
        <v>12.065333333333342</v>
      </c>
      <c r="J38" s="24">
        <f t="shared" ref="J38:J41" si="4">I38^2</f>
        <v>145.57226844444466</v>
      </c>
    </row>
    <row r="39" spans="1:10" x14ac:dyDescent="0.3">
      <c r="A39" s="94" t="s">
        <v>3</v>
      </c>
      <c r="B39" s="94">
        <v>2248.835</v>
      </c>
      <c r="C39">
        <v>48.051000000000002</v>
      </c>
      <c r="D39" s="24">
        <f t="shared" si="1"/>
        <v>108058.77058500001</v>
      </c>
      <c r="E39" s="24">
        <f t="shared" si="2"/>
        <v>5057258.8572249999</v>
      </c>
      <c r="F39" s="24">
        <f t="shared" si="2"/>
        <v>2308.8986010000003</v>
      </c>
      <c r="G39" s="24">
        <f>SUM(B39-mean_gpd1970)</f>
        <v>-4064.0638333333336</v>
      </c>
      <c r="H39" s="24">
        <f t="shared" si="3"/>
        <v>16516614.841408029</v>
      </c>
      <c r="I39" s="24">
        <f t="shared" si="0"/>
        <v>-12.420666666666662</v>
      </c>
      <c r="J39" s="24">
        <f t="shared" si="4"/>
        <v>154.27296044444432</v>
      </c>
    </row>
    <row r="40" spans="1:10" x14ac:dyDescent="0.3">
      <c r="A40" s="94" t="s">
        <v>4</v>
      </c>
      <c r="B40" s="94">
        <v>13336.134</v>
      </c>
      <c r="C40">
        <v>71.914000000000001</v>
      </c>
      <c r="D40" s="24">
        <f t="shared" si="1"/>
        <v>959054.74047600001</v>
      </c>
      <c r="E40" s="24">
        <f t="shared" si="2"/>
        <v>177852470.065956</v>
      </c>
      <c r="F40" s="24">
        <f t="shared" si="2"/>
        <v>5171.623396</v>
      </c>
      <c r="G40" s="24">
        <f>SUM(B40 - mean_gpd1970)</f>
        <v>7023.2351666666664</v>
      </c>
      <c r="H40" s="24">
        <f t="shared" si="3"/>
        <v>49325832.206303358</v>
      </c>
      <c r="I40" s="24">
        <f t="shared" si="0"/>
        <v>11.442333333333337</v>
      </c>
      <c r="J40" s="24">
        <f t="shared" si="4"/>
        <v>130.92699211111122</v>
      </c>
    </row>
    <row r="41" spans="1:10" x14ac:dyDescent="0.3">
      <c r="A41" s="94" t="s">
        <v>5</v>
      </c>
      <c r="B41" s="94">
        <v>286.81700000000001</v>
      </c>
      <c r="C41">
        <v>46.542999999999999</v>
      </c>
      <c r="D41" s="24">
        <f t="shared" si="1"/>
        <v>13349.323630999999</v>
      </c>
      <c r="E41" s="24">
        <f t="shared" si="2"/>
        <v>82263.991489000007</v>
      </c>
      <c r="F41" s="24">
        <f t="shared" si="2"/>
        <v>2166.250849</v>
      </c>
      <c r="G41" s="24">
        <f>SUM(B41-mean_gpd1970)</f>
        <v>-6026.0818333333336</v>
      </c>
      <c r="H41" s="24">
        <f t="shared" si="3"/>
        <v>36313662.262030028</v>
      </c>
      <c r="I41" s="24">
        <f t="shared" si="0"/>
        <v>-13.928666666666665</v>
      </c>
      <c r="J41" s="24">
        <f t="shared" si="4"/>
        <v>194.00775511111107</v>
      </c>
    </row>
    <row r="42" spans="1:10" x14ac:dyDescent="0.3">
      <c r="A42" s="78" t="s">
        <v>38</v>
      </c>
      <c r="B42" s="95">
        <f>SUM(B36:B41)</f>
        <v>37877.393000000004</v>
      </c>
      <c r="C42" s="75">
        <f>SUM(C36:C41)</f>
        <v>362.83</v>
      </c>
      <c r="D42" s="75">
        <f t="shared" ref="D42:H42" si="5">SUM(D36:D41)</f>
        <v>2620274.3077110001</v>
      </c>
      <c r="E42" s="75">
        <f t="shared" si="5"/>
        <v>414139582.593247</v>
      </c>
      <c r="F42" s="75">
        <f t="shared" si="5"/>
        <v>22655.570428000003</v>
      </c>
      <c r="G42" s="75">
        <f t="shared" si="5"/>
        <v>0</v>
      </c>
      <c r="H42" s="75">
        <f t="shared" si="5"/>
        <v>175023432.51383886</v>
      </c>
      <c r="I42" s="75">
        <f>ROUND(SUM(I36:I41), 2)</f>
        <v>0</v>
      </c>
      <c r="J42" s="75">
        <f t="shared" ref="J42" si="6">SUM(J36:J41)</f>
        <v>714.63561133333337</v>
      </c>
    </row>
    <row r="43" spans="1:10" ht="15" thickBot="1" x14ac:dyDescent="0.35">
      <c r="A43" s="94"/>
      <c r="B43" s="94"/>
    </row>
    <row r="44" spans="1:10" ht="22.8" customHeight="1" x14ac:dyDescent="0.35">
      <c r="A44" s="96" t="s">
        <v>54</v>
      </c>
      <c r="B44" s="97"/>
    </row>
    <row r="45" spans="1:10" x14ac:dyDescent="0.3">
      <c r="A45" s="98" t="s">
        <v>13</v>
      </c>
      <c r="B45" s="99">
        <f>COUNT(B36:B41)</f>
        <v>6</v>
      </c>
    </row>
    <row r="46" spans="1:10" x14ac:dyDescent="0.3">
      <c r="A46" s="98" t="s">
        <v>14</v>
      </c>
      <c r="B46" s="100">
        <f>B45*D42-B42*C42</f>
        <v>1978591.3440760002</v>
      </c>
    </row>
    <row r="47" spans="1:10" x14ac:dyDescent="0.3">
      <c r="A47" s="98" t="s">
        <v>15</v>
      </c>
      <c r="B47" s="100">
        <f>(B45*E42-B42^2)^0.5</f>
        <v>32405.872848652492</v>
      </c>
    </row>
    <row r="48" spans="1:10" x14ac:dyDescent="0.3">
      <c r="A48" s="98" t="s">
        <v>16</v>
      </c>
      <c r="B48" s="100">
        <f>(B45*F42-C42^2)^0.5</f>
        <v>65.481399404716583</v>
      </c>
    </row>
    <row r="49" spans="1:2" x14ac:dyDescent="0.3">
      <c r="A49" s="98" t="s">
        <v>17</v>
      </c>
      <c r="B49" s="101">
        <f>ROUND(B46/(B47*B48), 3)</f>
        <v>0.93200000000000005</v>
      </c>
    </row>
    <row r="50" spans="1:2" x14ac:dyDescent="0.3">
      <c r="A50" s="98" t="s">
        <v>18</v>
      </c>
      <c r="B50" s="101">
        <f>ROUND(CORREL(B36:B41,C36:C41), 3)</f>
        <v>0.93200000000000005</v>
      </c>
    </row>
    <row r="51" spans="1:2" x14ac:dyDescent="0.3">
      <c r="A51" s="98" t="s">
        <v>19</v>
      </c>
      <c r="B51" s="101">
        <f>B50^2</f>
        <v>0.86862400000000006</v>
      </c>
    </row>
    <row r="52" spans="1:2" x14ac:dyDescent="0.3">
      <c r="A52" s="98"/>
      <c r="B52" s="102"/>
    </row>
    <row r="53" spans="1:2" ht="18" x14ac:dyDescent="0.35">
      <c r="A53" s="103" t="s">
        <v>53</v>
      </c>
      <c r="B53" s="102"/>
    </row>
    <row r="54" spans="1:2" x14ac:dyDescent="0.3">
      <c r="A54" s="104" t="s">
        <v>55</v>
      </c>
      <c r="B54" s="102"/>
    </row>
    <row r="55" spans="1:2" x14ac:dyDescent="0.3">
      <c r="A55" s="98" t="s">
        <v>48</v>
      </c>
      <c r="B55" s="102">
        <f>B42/count</f>
        <v>6312.8988333333336</v>
      </c>
    </row>
    <row r="56" spans="1:2" x14ac:dyDescent="0.3">
      <c r="A56" s="98" t="s">
        <v>21</v>
      </c>
      <c r="B56" s="102">
        <f>(H42/count)^0.5</f>
        <v>5400.9788081087499</v>
      </c>
    </row>
    <row r="57" spans="1:2" x14ac:dyDescent="0.3">
      <c r="A57" s="98" t="s">
        <v>22</v>
      </c>
      <c r="B57" s="102">
        <f>_xlfn.STDEV.P($B$36:$B$41)</f>
        <v>5400.978808108749</v>
      </c>
    </row>
    <row r="58" spans="1:2" x14ac:dyDescent="0.3">
      <c r="A58" s="98" t="s">
        <v>23</v>
      </c>
      <c r="B58" s="102">
        <f>MEDIAN($B$36:$B$41)</f>
        <v>4610.1949999999997</v>
      </c>
    </row>
    <row r="59" spans="1:2" x14ac:dyDescent="0.3">
      <c r="A59" s="104" t="s">
        <v>24</v>
      </c>
      <c r="B59" s="102"/>
    </row>
    <row r="60" spans="1:2" x14ac:dyDescent="0.3">
      <c r="A60" s="98" t="s">
        <v>25</v>
      </c>
      <c r="B60" s="102">
        <f>QUARTILE($B$36:$B$41, 0)</f>
        <v>286.81700000000001</v>
      </c>
    </row>
    <row r="61" spans="1:2" x14ac:dyDescent="0.3">
      <c r="A61" s="98" t="s">
        <v>26</v>
      </c>
      <c r="B61" s="102">
        <f>QUARTILE($B$36:$B$41, 1)</f>
        <v>1777.72325</v>
      </c>
    </row>
    <row r="62" spans="1:2" x14ac:dyDescent="0.3">
      <c r="A62" s="98" t="s">
        <v>27</v>
      </c>
      <c r="B62" s="102">
        <f>QUARTILE($B$36:$B$41, 2)</f>
        <v>4610.1949999999997</v>
      </c>
    </row>
    <row r="63" spans="1:2" x14ac:dyDescent="0.3">
      <c r="A63" s="98" t="s">
        <v>28</v>
      </c>
      <c r="B63" s="102">
        <f>QUARTILE($B$36:$B$41, 3)</f>
        <v>11744.989250000001</v>
      </c>
    </row>
    <row r="64" spans="1:2" x14ac:dyDescent="0.3">
      <c r="A64" s="98" t="s">
        <v>29</v>
      </c>
      <c r="B64" s="102">
        <f>QUARTILE($B$36:$B$41, 4)</f>
        <v>13413.366</v>
      </c>
    </row>
    <row r="65" spans="1:2" x14ac:dyDescent="0.3">
      <c r="A65" s="98"/>
      <c r="B65" s="102"/>
    </row>
    <row r="66" spans="1:2" x14ac:dyDescent="0.3">
      <c r="A66" s="104" t="s">
        <v>51</v>
      </c>
      <c r="B66" s="102"/>
    </row>
    <row r="67" spans="1:2" x14ac:dyDescent="0.3">
      <c r="A67" s="98" t="s">
        <v>49</v>
      </c>
      <c r="B67" s="102">
        <f>C42/B45</f>
        <v>60.471666666666664</v>
      </c>
    </row>
    <row r="68" spans="1:2" x14ac:dyDescent="0.3">
      <c r="A68" s="98" t="s">
        <v>21</v>
      </c>
      <c r="B68" s="102">
        <f>ROUND(SQRT(J42/B45), 0)</f>
        <v>11</v>
      </c>
    </row>
    <row r="69" spans="1:2" x14ac:dyDescent="0.3">
      <c r="A69" s="98" t="s">
        <v>22</v>
      </c>
      <c r="B69" s="102">
        <f>ROUND(_xlfn.STDEV.P($C$36:$C$41),0)</f>
        <v>11</v>
      </c>
    </row>
    <row r="70" spans="1:2" x14ac:dyDescent="0.3">
      <c r="A70" s="98" t="s">
        <v>30</v>
      </c>
      <c r="B70" s="102"/>
    </row>
    <row r="71" spans="1:2" x14ac:dyDescent="0.3">
      <c r="A71" s="98" t="s">
        <v>23</v>
      </c>
      <c r="B71" s="102">
        <f>MEDIAN($C$36:$C$41)</f>
        <v>61.892499999999998</v>
      </c>
    </row>
    <row r="72" spans="1:2" x14ac:dyDescent="0.3">
      <c r="A72" s="104" t="s">
        <v>24</v>
      </c>
      <c r="B72" s="102"/>
    </row>
    <row r="73" spans="1:2" x14ac:dyDescent="0.3">
      <c r="A73" s="98" t="s">
        <v>25</v>
      </c>
      <c r="B73" s="102">
        <f>QUARTILE($C$36:$C$41, 0)</f>
        <v>46.542999999999999</v>
      </c>
    </row>
    <row r="74" spans="1:2" x14ac:dyDescent="0.3">
      <c r="A74" s="98" t="s">
        <v>26</v>
      </c>
      <c r="B74" s="102">
        <f>QUARTILE($C$36:$C$41, 1)</f>
        <v>49.873750000000001</v>
      </c>
    </row>
    <row r="75" spans="1:2" x14ac:dyDescent="0.3">
      <c r="A75" s="98" t="s">
        <v>27</v>
      </c>
      <c r="B75" s="102">
        <f>QUARTILE($C$36:$C$41, 2)</f>
        <v>61.892499999999998</v>
      </c>
    </row>
    <row r="76" spans="1:2" x14ac:dyDescent="0.3">
      <c r="A76" s="98" t="s">
        <v>28</v>
      </c>
      <c r="B76" s="102">
        <f>QUARTILE($C$36:$C$41, 3)</f>
        <v>71.046250000000001</v>
      </c>
    </row>
    <row r="77" spans="1:2" x14ac:dyDescent="0.3">
      <c r="A77" s="98" t="s">
        <v>29</v>
      </c>
      <c r="B77" s="102">
        <f>QUARTILE($C$36:$C$41, 4)</f>
        <v>72.537000000000006</v>
      </c>
    </row>
    <row r="78" spans="1:2" ht="18" x14ac:dyDescent="0.35">
      <c r="A78" s="103" t="s">
        <v>50</v>
      </c>
      <c r="B78" s="102"/>
    </row>
    <row r="79" spans="1:2" x14ac:dyDescent="0.3">
      <c r="A79" s="104" t="s">
        <v>31</v>
      </c>
      <c r="B79" s="102"/>
    </row>
    <row r="80" spans="1:2" x14ac:dyDescent="0.3">
      <c r="A80" s="98" t="s">
        <v>14</v>
      </c>
      <c r="B80" s="100">
        <f>count*D42-B42*C42</f>
        <v>1978591.3440760002</v>
      </c>
    </row>
    <row r="81" spans="1:2" x14ac:dyDescent="0.3">
      <c r="A81" s="98" t="s">
        <v>32</v>
      </c>
      <c r="B81" s="100">
        <f>count*E42-B42^2</f>
        <v>1050140595.0830328</v>
      </c>
    </row>
    <row r="82" spans="1:2" x14ac:dyDescent="0.3">
      <c r="A82" s="98" t="s">
        <v>33</v>
      </c>
      <c r="B82" s="105">
        <f>B80/B81</f>
        <v>1.8841204247699388E-3</v>
      </c>
    </row>
    <row r="83" spans="1:2" x14ac:dyDescent="0.3">
      <c r="A83" s="98" t="s">
        <v>34</v>
      </c>
      <c r="B83" s="105">
        <f>SLOPE(C36:C41,B36:B41)</f>
        <v>1.8841204247699384E-3</v>
      </c>
    </row>
    <row r="84" spans="1:2" x14ac:dyDescent="0.3">
      <c r="A84" s="98"/>
      <c r="B84" s="100"/>
    </row>
    <row r="85" spans="1:2" x14ac:dyDescent="0.3">
      <c r="A85" s="104" t="s">
        <v>35</v>
      </c>
      <c r="B85" s="100"/>
    </row>
    <row r="86" spans="1:2" x14ac:dyDescent="0.3">
      <c r="A86" s="98" t="s">
        <v>36</v>
      </c>
      <c r="B86" s="106">
        <f>(C42-B82*B42)/count</f>
        <v>48.577405035277017</v>
      </c>
    </row>
    <row r="87" spans="1:2" ht="15" thickBot="1" x14ac:dyDescent="0.35">
      <c r="A87" s="107" t="s">
        <v>37</v>
      </c>
      <c r="B87" s="108">
        <f>INTERCEPT(C36:C41,B36:B41)</f>
        <v>48.577405035277017</v>
      </c>
    </row>
    <row r="88" spans="1:2" ht="15" thickTop="1" x14ac:dyDescent="0.3">
      <c r="A88" s="66"/>
      <c r="B88" s="67"/>
    </row>
    <row r="89" spans="1:2" x14ac:dyDescent="0.3">
      <c r="A89" s="66"/>
      <c r="B89" s="67"/>
    </row>
  </sheetData>
  <conditionalFormatting sqref="B49">
    <cfRule type="cellIs" dxfId="27" priority="7" operator="equal">
      <formula>$B$50</formula>
    </cfRule>
  </conditionalFormatting>
  <conditionalFormatting sqref="B50">
    <cfRule type="cellIs" dxfId="26" priority="6" operator="equal">
      <formula>$B$49</formula>
    </cfRule>
  </conditionalFormatting>
  <conditionalFormatting sqref="B68">
    <cfRule type="cellIs" dxfId="25" priority="5" operator="equal">
      <formula>$B$69</formula>
    </cfRule>
  </conditionalFormatting>
  <conditionalFormatting sqref="B69:B72">
    <cfRule type="cellIs" dxfId="24" priority="4" operator="equal">
      <formula>$B$68</formula>
    </cfRule>
  </conditionalFormatting>
  <conditionalFormatting sqref="B56">
    <cfRule type="cellIs" dxfId="23" priority="3" operator="equal">
      <formula>$B$57</formula>
    </cfRule>
  </conditionalFormatting>
  <conditionalFormatting sqref="B57:B58">
    <cfRule type="cellIs" dxfId="22" priority="2" operator="equal">
      <formula>$B$56</formula>
    </cfRule>
  </conditionalFormatting>
  <conditionalFormatting sqref="B59">
    <cfRule type="cellIs" dxfId="21" priority="1" operator="equal">
      <formula>$B$68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:J89"/>
  <sheetViews>
    <sheetView topLeftCell="A28" workbookViewId="0">
      <selection activeCell="D50" sqref="D46:D50"/>
    </sheetView>
  </sheetViews>
  <sheetFormatPr defaultRowHeight="14.4" x14ac:dyDescent="0.3"/>
  <cols>
    <col min="1" max="1" width="34.109375" customWidth="1"/>
    <col min="2" max="2" width="18.109375" customWidth="1"/>
    <col min="3" max="3" width="18.21875" customWidth="1"/>
    <col min="4" max="4" width="21.44140625" customWidth="1"/>
    <col min="5" max="5" width="15.77734375" customWidth="1"/>
    <col min="6" max="6" width="14.77734375" customWidth="1"/>
    <col min="7" max="7" width="13" customWidth="1"/>
    <col min="8" max="8" width="13.88671875" customWidth="1"/>
    <col min="9" max="9" width="16.77734375" customWidth="1"/>
    <col min="10" max="10" width="16.5546875" customWidth="1"/>
  </cols>
  <sheetData>
    <row r="35" spans="1:10" x14ac:dyDescent="0.3">
      <c r="A35" s="1" t="s">
        <v>10</v>
      </c>
      <c r="B35" s="1" t="s">
        <v>52</v>
      </c>
      <c r="C35" s="1" t="s">
        <v>40</v>
      </c>
      <c r="D35" s="1" t="s">
        <v>41</v>
      </c>
      <c r="E35" s="1" t="s">
        <v>42</v>
      </c>
      <c r="F35" s="1" t="s">
        <v>43</v>
      </c>
      <c r="G35" s="1" t="s">
        <v>44</v>
      </c>
      <c r="H35" s="1" t="s">
        <v>45</v>
      </c>
      <c r="I35" s="1" t="s">
        <v>46</v>
      </c>
      <c r="J35" s="1" t="s">
        <v>47</v>
      </c>
    </row>
    <row r="36" spans="1:10" x14ac:dyDescent="0.3">
      <c r="A36" s="93" t="s">
        <v>0</v>
      </c>
      <c r="B36" s="94">
        <v>1923.193</v>
      </c>
      <c r="C36">
        <v>66.12</v>
      </c>
      <c r="D36" s="24">
        <f>SUM(B36*C36)</f>
        <v>127161.52116</v>
      </c>
      <c r="E36" s="24">
        <f>SUM(B36^2)</f>
        <v>3698671.3152489997</v>
      </c>
      <c r="F36" s="24">
        <f>SUM(C36^2)</f>
        <v>4371.8544000000002</v>
      </c>
      <c r="G36" s="24">
        <f>SUM(B36 - mean_gdp1980)</f>
        <v>-4921.5993333333336</v>
      </c>
      <c r="H36" s="24">
        <f>G36^2</f>
        <v>24222139.997867115</v>
      </c>
      <c r="I36" s="24">
        <f t="shared" ref="I36:I41" si="0">C36-mean_le1980</f>
        <v>0.30333333333334167</v>
      </c>
      <c r="J36" s="24">
        <f>I36^2</f>
        <v>9.2011111111116164E-2</v>
      </c>
    </row>
    <row r="37" spans="1:10" x14ac:dyDescent="0.3">
      <c r="A37" s="94" t="s">
        <v>1</v>
      </c>
      <c r="B37" s="94">
        <v>6602.2470000000003</v>
      </c>
      <c r="C37">
        <v>71.31</v>
      </c>
      <c r="D37" s="24">
        <f>SUM(B37*C37)</f>
        <v>470806.23357000004</v>
      </c>
      <c r="E37" s="24">
        <f>SUM(B37^2)</f>
        <v>43589665.449009001</v>
      </c>
      <c r="F37" s="24">
        <f>SUM(C37^2)</f>
        <v>5085.1161000000002</v>
      </c>
      <c r="G37" s="24">
        <f>SUM(B37-mean_gdp1980)</f>
        <v>-242.54533333333347</v>
      </c>
      <c r="H37" s="24">
        <f>G37^2</f>
        <v>58828.238721777845</v>
      </c>
      <c r="I37" s="24">
        <f t="shared" si="0"/>
        <v>5.4933333333333394</v>
      </c>
      <c r="J37" s="24">
        <f>I37^2</f>
        <v>30.176711111111178</v>
      </c>
    </row>
    <row r="38" spans="1:10" x14ac:dyDescent="0.3">
      <c r="A38" s="94" t="s">
        <v>2</v>
      </c>
      <c r="B38" s="94">
        <v>15577.523999999999</v>
      </c>
      <c r="C38">
        <v>75.61</v>
      </c>
      <c r="D38" s="24">
        <f t="shared" ref="D38:D41" si="1">SUM(B38*C38)</f>
        <v>1177816.5896399999</v>
      </c>
      <c r="E38" s="24">
        <f t="shared" ref="E38:F41" si="2">SUM(B38^2)</f>
        <v>242659253.97057599</v>
      </c>
      <c r="F38" s="24">
        <f t="shared" si="2"/>
        <v>5716.8720999999996</v>
      </c>
      <c r="G38" s="24">
        <f>SUM(B38 - mean_gdp1980)</f>
        <v>8732.7316666666666</v>
      </c>
      <c r="H38" s="24">
        <f t="shared" ref="H38:H41" si="3">G38^2</f>
        <v>76260602.362002775</v>
      </c>
      <c r="I38" s="24">
        <f t="shared" si="0"/>
        <v>9.7933333333333366</v>
      </c>
      <c r="J38" s="24">
        <f t="shared" ref="J38:J41" si="4">I38^2</f>
        <v>95.909377777777834</v>
      </c>
    </row>
    <row r="39" spans="1:10" x14ac:dyDescent="0.3">
      <c r="A39" s="94" t="s">
        <v>3</v>
      </c>
      <c r="B39" s="94">
        <v>263.95800000000003</v>
      </c>
      <c r="C39">
        <v>55.29</v>
      </c>
      <c r="D39" s="24">
        <f t="shared" si="1"/>
        <v>14594.237820000002</v>
      </c>
      <c r="E39" s="24">
        <f t="shared" si="2"/>
        <v>69673.825764000008</v>
      </c>
      <c r="F39" s="24">
        <f t="shared" si="2"/>
        <v>3056.9841000000001</v>
      </c>
      <c r="G39" s="24">
        <f>SUM(B39-mean_gdp1980)</f>
        <v>-6580.8343333333341</v>
      </c>
      <c r="H39" s="24">
        <f t="shared" si="3"/>
        <v>43307380.522778787</v>
      </c>
      <c r="I39" s="24">
        <f t="shared" si="0"/>
        <v>-10.526666666666664</v>
      </c>
      <c r="J39" s="24">
        <f t="shared" si="4"/>
        <v>110.81071111111105</v>
      </c>
    </row>
    <row r="40" spans="1:10" x14ac:dyDescent="0.3">
      <c r="A40" s="94" t="s">
        <v>4</v>
      </c>
      <c r="B40" s="94">
        <v>16389.465</v>
      </c>
      <c r="C40">
        <v>74.41</v>
      </c>
      <c r="D40" s="24">
        <f t="shared" si="1"/>
        <v>1219540.0906499999</v>
      </c>
      <c r="E40" s="24">
        <f t="shared" si="2"/>
        <v>268614562.98622501</v>
      </c>
      <c r="F40" s="24">
        <f t="shared" si="2"/>
        <v>5536.8480999999992</v>
      </c>
      <c r="G40" s="24">
        <f>SUM(B40 - mean_gdp1980)</f>
        <v>9544.6726666666655</v>
      </c>
      <c r="H40" s="24">
        <f t="shared" si="3"/>
        <v>91100776.313813761</v>
      </c>
      <c r="I40" s="24">
        <f t="shared" si="0"/>
        <v>8.5933333333333337</v>
      </c>
      <c r="J40" s="24">
        <f t="shared" si="4"/>
        <v>73.845377777777784</v>
      </c>
    </row>
    <row r="41" spans="1:10" x14ac:dyDescent="0.3">
      <c r="A41" s="94" t="s">
        <v>5</v>
      </c>
      <c r="B41" s="94">
        <v>312.36700000000002</v>
      </c>
      <c r="C41">
        <v>52.16</v>
      </c>
      <c r="D41" s="24">
        <f t="shared" si="1"/>
        <v>16293.06272</v>
      </c>
      <c r="E41" s="24">
        <f t="shared" si="2"/>
        <v>97573.142689000015</v>
      </c>
      <c r="F41" s="24">
        <f t="shared" si="2"/>
        <v>2720.6655999999998</v>
      </c>
      <c r="G41" s="24">
        <f>SUM(B41-mean_gdp1980)</f>
        <v>-6532.4253333333336</v>
      </c>
      <c r="H41" s="24">
        <f t="shared" si="3"/>
        <v>42672580.735575117</v>
      </c>
      <c r="I41" s="24">
        <f t="shared" si="0"/>
        <v>-13.656666666666666</v>
      </c>
      <c r="J41" s="24">
        <f t="shared" si="4"/>
        <v>186.50454444444443</v>
      </c>
    </row>
    <row r="42" spans="1:10" x14ac:dyDescent="0.3">
      <c r="A42" s="78" t="s">
        <v>38</v>
      </c>
      <c r="B42" s="95">
        <f>SUM(B36:B41)</f>
        <v>41068.754000000001</v>
      </c>
      <c r="C42" s="75">
        <f>SUM(C36:C41)</f>
        <v>394.9</v>
      </c>
      <c r="D42" s="75">
        <f t="shared" ref="D42:H42" si="5">SUM(D36:D41)</f>
        <v>3026211.7355599999</v>
      </c>
      <c r="E42" s="75">
        <f t="shared" si="5"/>
        <v>558729400.68951201</v>
      </c>
      <c r="F42" s="75">
        <f t="shared" si="5"/>
        <v>26488.340400000001</v>
      </c>
      <c r="G42" s="75">
        <f t="shared" si="5"/>
        <v>0</v>
      </c>
      <c r="H42" s="75">
        <f t="shared" si="5"/>
        <v>277622308.17075938</v>
      </c>
      <c r="I42" s="75">
        <f>ROUND(SUM(I36:I41), 2)</f>
        <v>0</v>
      </c>
      <c r="J42" s="75">
        <f t="shared" ref="J42" si="6">SUM(J36:J41)</f>
        <v>497.33873333333338</v>
      </c>
    </row>
    <row r="43" spans="1:10" ht="15" thickBot="1" x14ac:dyDescent="0.35">
      <c r="A43" s="94"/>
      <c r="B43" s="94"/>
    </row>
    <row r="44" spans="1:10" ht="18" x14ac:dyDescent="0.35">
      <c r="A44" s="96" t="s">
        <v>54</v>
      </c>
      <c r="B44" s="97"/>
    </row>
    <row r="45" spans="1:10" x14ac:dyDescent="0.3">
      <c r="A45" s="98" t="s">
        <v>13</v>
      </c>
      <c r="B45" s="99">
        <f>COUNT(B36:B41)</f>
        <v>6</v>
      </c>
    </row>
    <row r="46" spans="1:10" x14ac:dyDescent="0.3">
      <c r="A46" s="98" t="s">
        <v>14</v>
      </c>
      <c r="B46" s="100">
        <f>B45*D42-B42*C42</f>
        <v>1939219.4587600008</v>
      </c>
    </row>
    <row r="47" spans="1:10" x14ac:dyDescent="0.3">
      <c r="A47" s="98" t="s">
        <v>15</v>
      </c>
      <c r="B47" s="100">
        <f>(B45*E42-B42^2)^0.5</f>
        <v>40813.402811142274</v>
      </c>
    </row>
    <row r="48" spans="1:10" x14ac:dyDescent="0.3">
      <c r="A48" s="98" t="s">
        <v>16</v>
      </c>
      <c r="B48" s="100">
        <f>(B45*F42-C42^2)^0.5</f>
        <v>54.626297696256387</v>
      </c>
    </row>
    <row r="49" spans="1:2" x14ac:dyDescent="0.3">
      <c r="A49" s="98" t="s">
        <v>17</v>
      </c>
      <c r="B49" s="101">
        <f>ROUND(B46/(B47*B48), 3)</f>
        <v>0.87</v>
      </c>
    </row>
    <row r="50" spans="1:2" x14ac:dyDescent="0.3">
      <c r="A50" s="98" t="s">
        <v>18</v>
      </c>
      <c r="B50" s="101">
        <f>ROUND(CORREL(B36:B41,C36:C41), 3)</f>
        <v>0.87</v>
      </c>
    </row>
    <row r="51" spans="1:2" x14ac:dyDescent="0.3">
      <c r="A51" s="98" t="s">
        <v>19</v>
      </c>
      <c r="B51" s="101">
        <f>B50^2</f>
        <v>0.75690000000000002</v>
      </c>
    </row>
    <row r="52" spans="1:2" x14ac:dyDescent="0.3">
      <c r="A52" s="98"/>
      <c r="B52" s="102"/>
    </row>
    <row r="53" spans="1:2" ht="18" x14ac:dyDescent="0.35">
      <c r="A53" s="103" t="s">
        <v>53</v>
      </c>
      <c r="B53" s="102"/>
    </row>
    <row r="54" spans="1:2" x14ac:dyDescent="0.3">
      <c r="A54" s="104" t="s">
        <v>55</v>
      </c>
      <c r="B54" s="102"/>
    </row>
    <row r="55" spans="1:2" x14ac:dyDescent="0.3">
      <c r="A55" s="98" t="s">
        <v>48</v>
      </c>
      <c r="B55" s="102">
        <f>B42/count</f>
        <v>6844.7923333333338</v>
      </c>
    </row>
    <row r="56" spans="1:2" x14ac:dyDescent="0.3">
      <c r="A56" s="98" t="s">
        <v>21</v>
      </c>
      <c r="B56" s="102">
        <f>(H42/count)^0.5</f>
        <v>6802.2338018570463</v>
      </c>
    </row>
    <row r="57" spans="1:2" x14ac:dyDescent="0.3">
      <c r="A57" s="98" t="s">
        <v>22</v>
      </c>
      <c r="B57" s="102">
        <f>_xlfn.STDEV.P($B$36:$B$41)</f>
        <v>6802.2338018570454</v>
      </c>
    </row>
    <row r="58" spans="1:2" x14ac:dyDescent="0.3">
      <c r="A58" s="98" t="s">
        <v>23</v>
      </c>
      <c r="B58" s="102">
        <f>MEDIAN($B$36:$B$41)</f>
        <v>4262.72</v>
      </c>
    </row>
    <row r="59" spans="1:2" x14ac:dyDescent="0.3">
      <c r="A59" s="104" t="s">
        <v>24</v>
      </c>
      <c r="B59" s="102"/>
    </row>
    <row r="60" spans="1:2" x14ac:dyDescent="0.3">
      <c r="A60" s="98" t="s">
        <v>25</v>
      </c>
      <c r="B60" s="102">
        <f>QUARTILE($B$36:$B$41, 0)</f>
        <v>263.95800000000003</v>
      </c>
    </row>
    <row r="61" spans="1:2" x14ac:dyDescent="0.3">
      <c r="A61" s="98" t="s">
        <v>26</v>
      </c>
      <c r="B61" s="102">
        <f>QUARTILE($B$36:$B$41, 1)</f>
        <v>715.07349999999997</v>
      </c>
    </row>
    <row r="62" spans="1:2" x14ac:dyDescent="0.3">
      <c r="A62" s="98" t="s">
        <v>27</v>
      </c>
      <c r="B62" s="102">
        <f>QUARTILE($B$36:$B$41, 2)</f>
        <v>4262.72</v>
      </c>
    </row>
    <row r="63" spans="1:2" x14ac:dyDescent="0.3">
      <c r="A63" s="98" t="s">
        <v>28</v>
      </c>
      <c r="B63" s="102">
        <f>QUARTILE($B$36:$B$41, 3)</f>
        <v>13333.704749999999</v>
      </c>
    </row>
    <row r="64" spans="1:2" x14ac:dyDescent="0.3">
      <c r="A64" s="98" t="s">
        <v>29</v>
      </c>
      <c r="B64" s="102">
        <f>QUARTILE($B$36:$B$41, 4)</f>
        <v>16389.465</v>
      </c>
    </row>
    <row r="65" spans="1:2" x14ac:dyDescent="0.3">
      <c r="A65" s="98"/>
      <c r="B65" s="102"/>
    </row>
    <row r="66" spans="1:2" x14ac:dyDescent="0.3">
      <c r="A66" s="104" t="s">
        <v>51</v>
      </c>
      <c r="B66" s="102"/>
    </row>
    <row r="67" spans="1:2" x14ac:dyDescent="0.3">
      <c r="A67" s="98" t="s">
        <v>49</v>
      </c>
      <c r="B67" s="102">
        <f>C42/B45</f>
        <v>65.816666666666663</v>
      </c>
    </row>
    <row r="68" spans="1:2" x14ac:dyDescent="0.3">
      <c r="A68" s="98" t="s">
        <v>21</v>
      </c>
      <c r="B68" s="102">
        <f>ROUND(SQRT(J42/B45), 0)</f>
        <v>9</v>
      </c>
    </row>
    <row r="69" spans="1:2" x14ac:dyDescent="0.3">
      <c r="A69" s="98" t="s">
        <v>22</v>
      </c>
      <c r="B69" s="102">
        <f>ROUND(_xlfn.STDEV.P($C$36:$C$41),0)</f>
        <v>9</v>
      </c>
    </row>
    <row r="70" spans="1:2" x14ac:dyDescent="0.3">
      <c r="A70" s="98" t="s">
        <v>30</v>
      </c>
      <c r="B70" s="102"/>
    </row>
    <row r="71" spans="1:2" x14ac:dyDescent="0.3">
      <c r="A71" s="98" t="s">
        <v>23</v>
      </c>
      <c r="B71" s="102">
        <f>MEDIAN($C$36:$C$41)</f>
        <v>68.715000000000003</v>
      </c>
    </row>
    <row r="72" spans="1:2" x14ac:dyDescent="0.3">
      <c r="A72" s="104" t="s">
        <v>24</v>
      </c>
      <c r="B72" s="102"/>
    </row>
    <row r="73" spans="1:2" x14ac:dyDescent="0.3">
      <c r="A73" s="98" t="s">
        <v>25</v>
      </c>
      <c r="B73" s="102">
        <f>QUARTILE($C$36:$C$41, 0)</f>
        <v>52.16</v>
      </c>
    </row>
    <row r="74" spans="1:2" x14ac:dyDescent="0.3">
      <c r="A74" s="98" t="s">
        <v>26</v>
      </c>
      <c r="B74" s="102">
        <f>QUARTILE($C$36:$C$41, 1)</f>
        <v>57.997500000000002</v>
      </c>
    </row>
    <row r="75" spans="1:2" x14ac:dyDescent="0.3">
      <c r="A75" s="98" t="s">
        <v>27</v>
      </c>
      <c r="B75" s="102">
        <f>QUARTILE($C$36:$C$41, 2)</f>
        <v>68.715000000000003</v>
      </c>
    </row>
    <row r="76" spans="1:2" x14ac:dyDescent="0.3">
      <c r="A76" s="98" t="s">
        <v>28</v>
      </c>
      <c r="B76" s="102">
        <f>QUARTILE($C$36:$C$41, 3)</f>
        <v>73.634999999999991</v>
      </c>
    </row>
    <row r="77" spans="1:2" x14ac:dyDescent="0.3">
      <c r="A77" s="98" t="s">
        <v>29</v>
      </c>
      <c r="B77" s="102">
        <f>QUARTILE($C$36:$C$41, 4)</f>
        <v>75.61</v>
      </c>
    </row>
    <row r="78" spans="1:2" ht="18" x14ac:dyDescent="0.35">
      <c r="A78" s="103" t="s">
        <v>50</v>
      </c>
      <c r="B78" s="102"/>
    </row>
    <row r="79" spans="1:2" x14ac:dyDescent="0.3">
      <c r="A79" s="104" t="s">
        <v>31</v>
      </c>
      <c r="B79" s="102"/>
    </row>
    <row r="80" spans="1:2" x14ac:dyDescent="0.3">
      <c r="A80" s="98" t="s">
        <v>14</v>
      </c>
      <c r="B80" s="100">
        <f>count*D42-B42*C42</f>
        <v>1939219.4587600008</v>
      </c>
    </row>
    <row r="81" spans="1:2" x14ac:dyDescent="0.3">
      <c r="A81" s="98" t="s">
        <v>32</v>
      </c>
      <c r="B81" s="100">
        <f>count*E42-B42^2</f>
        <v>1665733849.0245559</v>
      </c>
    </row>
    <row r="82" spans="1:2" x14ac:dyDescent="0.3">
      <c r="A82" s="98" t="s">
        <v>33</v>
      </c>
      <c r="B82" s="105">
        <f>B80/B81</f>
        <v>1.1641832576648403E-3</v>
      </c>
    </row>
    <row r="83" spans="1:2" x14ac:dyDescent="0.3">
      <c r="A83" s="98" t="s">
        <v>34</v>
      </c>
      <c r="B83" s="105">
        <f>SLOPE(C36:C41,B36:B41)</f>
        <v>1.1641832576648394E-3</v>
      </c>
    </row>
    <row r="84" spans="1:2" x14ac:dyDescent="0.3">
      <c r="A84" s="98"/>
      <c r="B84" s="100"/>
    </row>
    <row r="85" spans="1:2" x14ac:dyDescent="0.3">
      <c r="A85" s="104" t="s">
        <v>35</v>
      </c>
      <c r="B85" s="100"/>
    </row>
    <row r="86" spans="1:2" x14ac:dyDescent="0.3">
      <c r="A86" s="98" t="s">
        <v>36</v>
      </c>
      <c r="B86" s="106">
        <f>(C42-B82*B42)/count</f>
        <v>57.848074030007332</v>
      </c>
    </row>
    <row r="87" spans="1:2" ht="15" thickBot="1" x14ac:dyDescent="0.35">
      <c r="A87" s="107" t="s">
        <v>37</v>
      </c>
      <c r="B87" s="108">
        <f>INTERCEPT(C36:C41,B36:B41)</f>
        <v>57.848074030007346</v>
      </c>
    </row>
    <row r="88" spans="1:2" ht="15" thickTop="1" x14ac:dyDescent="0.3">
      <c r="A88" s="66"/>
      <c r="B88" s="67"/>
    </row>
    <row r="89" spans="1:2" x14ac:dyDescent="0.3">
      <c r="A89" s="66"/>
      <c r="B89" s="67"/>
    </row>
  </sheetData>
  <conditionalFormatting sqref="B59">
    <cfRule type="cellIs" dxfId="20" priority="1" operator="equal">
      <formula>$B$68</formula>
    </cfRule>
  </conditionalFormatting>
  <conditionalFormatting sqref="B49">
    <cfRule type="cellIs" dxfId="19" priority="7" operator="equal">
      <formula>$B$50</formula>
    </cfRule>
  </conditionalFormatting>
  <conditionalFormatting sqref="B50">
    <cfRule type="cellIs" dxfId="18" priority="6" operator="equal">
      <formula>$B$49</formula>
    </cfRule>
  </conditionalFormatting>
  <conditionalFormatting sqref="B68">
    <cfRule type="cellIs" dxfId="17" priority="5" operator="equal">
      <formula>$B$69</formula>
    </cfRule>
  </conditionalFormatting>
  <conditionalFormatting sqref="B69:B72">
    <cfRule type="cellIs" dxfId="16" priority="4" operator="equal">
      <formula>$B$68</formula>
    </cfRule>
  </conditionalFormatting>
  <conditionalFormatting sqref="B56">
    <cfRule type="cellIs" dxfId="15" priority="3" operator="equal">
      <formula>$B$57</formula>
    </cfRule>
  </conditionalFormatting>
  <conditionalFormatting sqref="B57:B58">
    <cfRule type="cellIs" dxfId="14" priority="2" operator="equal">
      <formula>$B$56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:J89"/>
  <sheetViews>
    <sheetView topLeftCell="A19" workbookViewId="0">
      <selection activeCell="D46" sqref="D46:D50"/>
    </sheetView>
  </sheetViews>
  <sheetFormatPr defaultRowHeight="14.4" x14ac:dyDescent="0.3"/>
  <cols>
    <col min="1" max="1" width="32" customWidth="1"/>
    <col min="2" max="2" width="12.6640625" customWidth="1"/>
    <col min="3" max="3" width="16.5546875" customWidth="1"/>
    <col min="4" max="4" width="13.77734375" customWidth="1"/>
    <col min="5" max="5" width="13.6640625" customWidth="1"/>
    <col min="7" max="7" width="13.77734375" customWidth="1"/>
    <col min="8" max="8" width="12.77734375" customWidth="1"/>
    <col min="9" max="9" width="11.5546875" customWidth="1"/>
    <col min="10" max="10" width="13.44140625" customWidth="1"/>
  </cols>
  <sheetData>
    <row r="35" spans="1:10" x14ac:dyDescent="0.3">
      <c r="A35" s="1" t="s">
        <v>11</v>
      </c>
      <c r="B35" s="1" t="s">
        <v>52</v>
      </c>
      <c r="C35" s="1" t="s">
        <v>40</v>
      </c>
      <c r="D35" s="1" t="s">
        <v>41</v>
      </c>
      <c r="E35" s="1" t="s">
        <v>42</v>
      </c>
      <c r="F35" s="1" t="s">
        <v>43</v>
      </c>
      <c r="G35" s="1" t="s">
        <v>44</v>
      </c>
      <c r="H35" s="1" t="s">
        <v>45</v>
      </c>
      <c r="I35" s="1" t="s">
        <v>46</v>
      </c>
      <c r="J35" s="1" t="s">
        <v>47</v>
      </c>
    </row>
    <row r="36" spans="1:10" x14ac:dyDescent="0.3">
      <c r="A36" s="93" t="s">
        <v>0</v>
      </c>
      <c r="B36" s="94">
        <v>1724.6510000000001</v>
      </c>
      <c r="C36" s="24">
        <v>71.59</v>
      </c>
      <c r="D36" s="24">
        <f>SUM(B36*C36)</f>
        <v>123467.76509000002</v>
      </c>
      <c r="E36" s="24">
        <f>SUM(B36^2)</f>
        <v>2974421.0718010003</v>
      </c>
      <c r="F36" s="24">
        <f>SUM(C36^2)</f>
        <v>5125.1281000000008</v>
      </c>
      <c r="G36" s="24">
        <f>SUM(B36 - mean_gdp1990)</f>
        <v>-6309.5908333333336</v>
      </c>
      <c r="H36" s="24">
        <f>G36^2</f>
        <v>39810936.484084032</v>
      </c>
      <c r="I36" s="24">
        <f t="shared" ref="I36:I41" si="0">C36-Mean_Years199</f>
        <v>1.9633333333333383</v>
      </c>
      <c r="J36" s="24">
        <f>I36^2</f>
        <v>3.854677777777797</v>
      </c>
    </row>
    <row r="37" spans="1:10" x14ac:dyDescent="0.3">
      <c r="A37" s="94" t="s">
        <v>1</v>
      </c>
      <c r="B37" s="94">
        <v>7198.5860000000002</v>
      </c>
      <c r="C37" s="24">
        <v>73.28</v>
      </c>
      <c r="D37" s="24">
        <f>SUM(B37*C37)</f>
        <v>527512.38208000001</v>
      </c>
      <c r="E37" s="24">
        <f>SUM(B37^2)</f>
        <v>51819640.399396002</v>
      </c>
      <c r="F37" s="24">
        <f>SUM(C37^2)</f>
        <v>5369.9584000000004</v>
      </c>
      <c r="G37" s="24">
        <f>SUM(B37-mean_gdp1990)</f>
        <v>-835.65583333333325</v>
      </c>
      <c r="H37" s="24">
        <f>G37^2</f>
        <v>698320.6717840276</v>
      </c>
      <c r="I37" s="24">
        <f t="shared" si="0"/>
        <v>3.653333333333336</v>
      </c>
      <c r="J37" s="24">
        <f>I37^2</f>
        <v>13.346844444444464</v>
      </c>
    </row>
    <row r="38" spans="1:10" x14ac:dyDescent="0.3">
      <c r="A38" s="94" t="s">
        <v>2</v>
      </c>
      <c r="B38" s="94">
        <v>18694.752</v>
      </c>
      <c r="C38" s="24">
        <v>78.22</v>
      </c>
      <c r="D38" s="24">
        <f t="shared" ref="D38:D41" si="1">SUM(B38*C38)</f>
        <v>1462303.50144</v>
      </c>
      <c r="E38" s="24">
        <f t="shared" ref="E38:F41" si="2">SUM(B38^2)</f>
        <v>349493752.34150404</v>
      </c>
      <c r="F38" s="24">
        <f t="shared" si="2"/>
        <v>6118.3683999999994</v>
      </c>
      <c r="G38" s="24">
        <f>SUM(B38 - mean_gdp1990)</f>
        <v>10660.510166666667</v>
      </c>
      <c r="H38" s="24">
        <f t="shared" ref="H38:H41" si="3">G38^2</f>
        <v>113646477.01360336</v>
      </c>
      <c r="I38" s="24">
        <f t="shared" si="0"/>
        <v>8.5933333333333337</v>
      </c>
      <c r="J38" s="24">
        <f t="shared" ref="J38:J41" si="4">I38^2</f>
        <v>73.845377777777784</v>
      </c>
    </row>
    <row r="39" spans="1:10" x14ac:dyDescent="0.3">
      <c r="A39" s="94" t="s">
        <v>3</v>
      </c>
      <c r="B39" s="94">
        <v>310.23399999999998</v>
      </c>
      <c r="C39" s="24">
        <v>61.14</v>
      </c>
      <c r="D39" s="24">
        <f t="shared" si="1"/>
        <v>18967.706759999997</v>
      </c>
      <c r="E39" s="24">
        <f t="shared" si="2"/>
        <v>96245.134755999985</v>
      </c>
      <c r="F39" s="24">
        <f t="shared" si="2"/>
        <v>3738.0996</v>
      </c>
      <c r="G39" s="24">
        <f>SUM(B39-mean_gdp1990)</f>
        <v>-7724.0078333333331</v>
      </c>
      <c r="H39" s="24">
        <f t="shared" si="3"/>
        <v>59660297.00939469</v>
      </c>
      <c r="I39" s="24">
        <f t="shared" si="0"/>
        <v>-8.4866666666666646</v>
      </c>
      <c r="J39" s="24">
        <f t="shared" si="4"/>
        <v>72.023511111111077</v>
      </c>
    </row>
    <row r="40" spans="1:10" x14ac:dyDescent="0.3">
      <c r="A40" s="94" t="s">
        <v>4</v>
      </c>
      <c r="B40" s="94">
        <v>19965.609</v>
      </c>
      <c r="C40" s="24">
        <v>76.83</v>
      </c>
      <c r="D40" s="24">
        <f t="shared" si="1"/>
        <v>1533957.7394699999</v>
      </c>
      <c r="E40" s="24">
        <f t="shared" si="2"/>
        <v>398625542.74088103</v>
      </c>
      <c r="F40" s="24">
        <f t="shared" si="2"/>
        <v>5902.8489</v>
      </c>
      <c r="G40" s="24">
        <f>SUM(B40 - mean_gdp1990)</f>
        <v>11931.367166666667</v>
      </c>
      <c r="H40" s="24">
        <f t="shared" si="3"/>
        <v>142357522.46581137</v>
      </c>
      <c r="I40" s="24">
        <f t="shared" si="0"/>
        <v>7.2033333333333331</v>
      </c>
      <c r="J40" s="24">
        <f t="shared" si="4"/>
        <v>51.888011111111105</v>
      </c>
    </row>
    <row r="41" spans="1:10" x14ac:dyDescent="0.3">
      <c r="A41" s="94" t="s">
        <v>5</v>
      </c>
      <c r="B41" s="94">
        <v>311.61900000000003</v>
      </c>
      <c r="C41" s="24">
        <v>56.7</v>
      </c>
      <c r="D41" s="24">
        <f t="shared" si="1"/>
        <v>17668.797300000002</v>
      </c>
      <c r="E41" s="24">
        <f t="shared" si="2"/>
        <v>97106.401161000016</v>
      </c>
      <c r="F41" s="24">
        <f t="shared" si="2"/>
        <v>3214.8900000000003</v>
      </c>
      <c r="G41" s="24">
        <f>SUM(B41-mean_gdp1990)</f>
        <v>-7722.6228333333338</v>
      </c>
      <c r="H41" s="24">
        <f t="shared" si="3"/>
        <v>59638903.425921366</v>
      </c>
      <c r="I41" s="24">
        <f t="shared" si="0"/>
        <v>-12.926666666666662</v>
      </c>
      <c r="J41" s="24">
        <f t="shared" si="4"/>
        <v>167.09871111111099</v>
      </c>
    </row>
    <row r="42" spans="1:10" x14ac:dyDescent="0.3">
      <c r="A42" s="78" t="s">
        <v>38</v>
      </c>
      <c r="B42" s="95">
        <f>SUM(B36:B41)</f>
        <v>48205.451000000001</v>
      </c>
      <c r="C42" s="75">
        <f>SUM(C36:C41)</f>
        <v>417.76</v>
      </c>
      <c r="D42" s="75">
        <f t="shared" ref="D42:F42" si="5">SUM(D36:D41)</f>
        <v>3683877.8921400001</v>
      </c>
      <c r="E42" s="75">
        <f t="shared" si="5"/>
        <v>803106708.089499</v>
      </c>
      <c r="F42" s="75">
        <f t="shared" si="5"/>
        <v>29469.293400000002</v>
      </c>
      <c r="G42" s="75">
        <f>SUM(G36:G41)</f>
        <v>0</v>
      </c>
      <c r="H42" s="75">
        <f>SUM(H36:H41)</f>
        <v>415812457.07059884</v>
      </c>
      <c r="I42" s="75">
        <f>ROUND(SUM(I36:I41),2)</f>
        <v>0</v>
      </c>
      <c r="J42" s="75">
        <f t="shared" ref="J42" si="6">SUM(J36:J41)</f>
        <v>382.05713333333324</v>
      </c>
    </row>
    <row r="43" spans="1:10" ht="15" thickBot="1" x14ac:dyDescent="0.35">
      <c r="A43" s="94"/>
      <c r="B43" s="94"/>
    </row>
    <row r="44" spans="1:10" ht="18" x14ac:dyDescent="0.35">
      <c r="A44" s="96" t="s">
        <v>54</v>
      </c>
      <c r="B44" s="97"/>
    </row>
    <row r="45" spans="1:10" x14ac:dyDescent="0.3">
      <c r="A45" s="98" t="s">
        <v>13</v>
      </c>
      <c r="B45" s="99">
        <f>COUNT(B36:B41)</f>
        <v>6</v>
      </c>
    </row>
    <row r="46" spans="1:10" x14ac:dyDescent="0.3">
      <c r="A46" s="98" t="s">
        <v>14</v>
      </c>
      <c r="B46" s="100">
        <f>B45*D42-B42*C42</f>
        <v>1964958.1430799998</v>
      </c>
    </row>
    <row r="47" spans="1:10" x14ac:dyDescent="0.3">
      <c r="A47" s="98" t="s">
        <v>15</v>
      </c>
      <c r="B47" s="100">
        <f>(B45*E42-B42^2)^0.5</f>
        <v>49948.721129009828</v>
      </c>
    </row>
    <row r="48" spans="1:10" x14ac:dyDescent="0.3">
      <c r="A48" s="98" t="s">
        <v>16</v>
      </c>
      <c r="B48" s="100">
        <f>(B45*F42-C42^2)^0.5</f>
        <v>47.878416849349165</v>
      </c>
    </row>
    <row r="49" spans="1:2" x14ac:dyDescent="0.3">
      <c r="A49" s="98" t="s">
        <v>17</v>
      </c>
      <c r="B49" s="101">
        <f>ROUND(B46/(B47*B48), 3)</f>
        <v>0.82199999999999995</v>
      </c>
    </row>
    <row r="50" spans="1:2" x14ac:dyDescent="0.3">
      <c r="A50" s="98" t="s">
        <v>18</v>
      </c>
      <c r="B50" s="101">
        <f>ROUND(CORREL(B36:B41,C36:C41), 3)</f>
        <v>0.82199999999999995</v>
      </c>
    </row>
    <row r="51" spans="1:2" x14ac:dyDescent="0.3">
      <c r="A51" s="98" t="s">
        <v>19</v>
      </c>
      <c r="B51" s="101">
        <f>B50^2</f>
        <v>0.67568399999999995</v>
      </c>
    </row>
    <row r="52" spans="1:2" x14ac:dyDescent="0.3">
      <c r="A52" s="98"/>
      <c r="B52" s="102"/>
    </row>
    <row r="53" spans="1:2" ht="18" x14ac:dyDescent="0.35">
      <c r="A53" s="103" t="s">
        <v>53</v>
      </c>
      <c r="B53" s="102"/>
    </row>
    <row r="54" spans="1:2" x14ac:dyDescent="0.3">
      <c r="A54" s="104" t="s">
        <v>55</v>
      </c>
      <c r="B54" s="102"/>
    </row>
    <row r="55" spans="1:2" x14ac:dyDescent="0.3">
      <c r="A55" s="98" t="s">
        <v>48</v>
      </c>
      <c r="B55" s="102">
        <f>B42/count</f>
        <v>8034.2418333333335</v>
      </c>
    </row>
    <row r="56" spans="1:2" x14ac:dyDescent="0.3">
      <c r="A56" s="98" t="s">
        <v>21</v>
      </c>
      <c r="B56" s="102">
        <f>(H42/count)^0.5</f>
        <v>8324.7868548349707</v>
      </c>
    </row>
    <row r="57" spans="1:2" x14ac:dyDescent="0.3">
      <c r="A57" s="98" t="s">
        <v>22</v>
      </c>
      <c r="B57" s="102">
        <f>_xlfn.STDEV.P($B$36:$B$41)</f>
        <v>8324.7868548349707</v>
      </c>
    </row>
    <row r="58" spans="1:2" x14ac:dyDescent="0.3">
      <c r="A58" s="98" t="s">
        <v>23</v>
      </c>
      <c r="B58" s="102">
        <f>MEDIAN($B$36:$B$41)</f>
        <v>4461.6185000000005</v>
      </c>
    </row>
    <row r="59" spans="1:2" x14ac:dyDescent="0.3">
      <c r="A59" s="104" t="s">
        <v>24</v>
      </c>
      <c r="B59" s="102"/>
    </row>
    <row r="60" spans="1:2" x14ac:dyDescent="0.3">
      <c r="A60" s="98" t="s">
        <v>25</v>
      </c>
      <c r="B60" s="102">
        <f>QUARTILE($B$36:$B$41, 0)</f>
        <v>310.23399999999998</v>
      </c>
    </row>
    <row r="61" spans="1:2" x14ac:dyDescent="0.3">
      <c r="A61" s="98" t="s">
        <v>26</v>
      </c>
      <c r="B61" s="102">
        <f>QUARTILE($B$36:$B$41, 1)</f>
        <v>664.87700000000007</v>
      </c>
    </row>
    <row r="62" spans="1:2" x14ac:dyDescent="0.3">
      <c r="A62" s="98" t="s">
        <v>27</v>
      </c>
      <c r="B62" s="102">
        <f>QUARTILE($B$36:$B$41, 2)</f>
        <v>4461.6185000000005</v>
      </c>
    </row>
    <row r="63" spans="1:2" x14ac:dyDescent="0.3">
      <c r="A63" s="98" t="s">
        <v>28</v>
      </c>
      <c r="B63" s="102">
        <f>QUARTILE($B$36:$B$41, 3)</f>
        <v>15820.710500000001</v>
      </c>
    </row>
    <row r="64" spans="1:2" x14ac:dyDescent="0.3">
      <c r="A64" s="98" t="s">
        <v>29</v>
      </c>
      <c r="B64" s="102">
        <f>QUARTILE($B$36:$B$41, 4)</f>
        <v>19965.609</v>
      </c>
    </row>
    <row r="65" spans="1:2" x14ac:dyDescent="0.3">
      <c r="A65" s="98"/>
      <c r="B65" s="102"/>
    </row>
    <row r="66" spans="1:2" x14ac:dyDescent="0.3">
      <c r="A66" s="104" t="s">
        <v>51</v>
      </c>
      <c r="B66" s="102"/>
    </row>
    <row r="67" spans="1:2" x14ac:dyDescent="0.3">
      <c r="A67" s="98" t="s">
        <v>49</v>
      </c>
      <c r="B67" s="102">
        <f>C42/B45</f>
        <v>69.626666666666665</v>
      </c>
    </row>
    <row r="68" spans="1:2" x14ac:dyDescent="0.3">
      <c r="A68" s="98" t="s">
        <v>21</v>
      </c>
      <c r="B68" s="102">
        <f>ROUND(SQRT(J42/B45), 0)</f>
        <v>8</v>
      </c>
    </row>
    <row r="69" spans="1:2" x14ac:dyDescent="0.3">
      <c r="A69" s="98" t="s">
        <v>22</v>
      </c>
      <c r="B69" s="102">
        <f>ROUND(_xlfn.STDEV.P($C$36:$C$41),0)</f>
        <v>8</v>
      </c>
    </row>
    <row r="70" spans="1:2" x14ac:dyDescent="0.3">
      <c r="A70" s="98" t="s">
        <v>30</v>
      </c>
      <c r="B70" s="102"/>
    </row>
    <row r="71" spans="1:2" x14ac:dyDescent="0.3">
      <c r="A71" s="98" t="s">
        <v>23</v>
      </c>
      <c r="B71" s="102">
        <f>MEDIAN($C$36:$C$41)</f>
        <v>72.435000000000002</v>
      </c>
    </row>
    <row r="72" spans="1:2" x14ac:dyDescent="0.3">
      <c r="A72" s="104" t="s">
        <v>24</v>
      </c>
      <c r="B72" s="102"/>
    </row>
    <row r="73" spans="1:2" x14ac:dyDescent="0.3">
      <c r="A73" s="98" t="s">
        <v>25</v>
      </c>
      <c r="B73" s="102">
        <f>QUARTILE($C$36:$C$41, 0)</f>
        <v>56.7</v>
      </c>
    </row>
    <row r="74" spans="1:2" x14ac:dyDescent="0.3">
      <c r="A74" s="98" t="s">
        <v>26</v>
      </c>
      <c r="B74" s="102">
        <f>QUARTILE($C$36:$C$41, 1)</f>
        <v>63.752499999999998</v>
      </c>
    </row>
    <row r="75" spans="1:2" x14ac:dyDescent="0.3">
      <c r="A75" s="98" t="s">
        <v>27</v>
      </c>
      <c r="B75" s="102">
        <f>QUARTILE($C$36:$C$41, 2)</f>
        <v>72.435000000000002</v>
      </c>
    </row>
    <row r="76" spans="1:2" x14ac:dyDescent="0.3">
      <c r="A76" s="98" t="s">
        <v>28</v>
      </c>
      <c r="B76" s="102">
        <f>QUARTILE($C$36:$C$41, 3)</f>
        <v>75.942499999999995</v>
      </c>
    </row>
    <row r="77" spans="1:2" x14ac:dyDescent="0.3">
      <c r="A77" s="98" t="s">
        <v>29</v>
      </c>
      <c r="B77" s="102">
        <f>QUARTILE($C$36:$C$41, 4)</f>
        <v>78.22</v>
      </c>
    </row>
    <row r="78" spans="1:2" ht="18" x14ac:dyDescent="0.35">
      <c r="A78" s="103" t="s">
        <v>50</v>
      </c>
      <c r="B78" s="102"/>
    </row>
    <row r="79" spans="1:2" x14ac:dyDescent="0.3">
      <c r="A79" s="104" t="s">
        <v>31</v>
      </c>
      <c r="B79" s="102"/>
    </row>
    <row r="80" spans="1:2" x14ac:dyDescent="0.3">
      <c r="A80" s="98" t="s">
        <v>14</v>
      </c>
      <c r="B80" s="100">
        <f>count*D42-B42*C42</f>
        <v>1964958.1430799998</v>
      </c>
    </row>
    <row r="81" spans="1:2" x14ac:dyDescent="0.3">
      <c r="A81" s="98" t="s">
        <v>32</v>
      </c>
      <c r="B81" s="100">
        <f>count*E42-B42^2</f>
        <v>2494874742.423593</v>
      </c>
    </row>
    <row r="82" spans="1:2" x14ac:dyDescent="0.3">
      <c r="A82" s="98" t="s">
        <v>33</v>
      </c>
      <c r="B82" s="105">
        <f>B80/B81</f>
        <v>7.8759791410256655E-4</v>
      </c>
    </row>
    <row r="83" spans="1:2" x14ac:dyDescent="0.3">
      <c r="A83" s="98" t="s">
        <v>34</v>
      </c>
      <c r="B83" s="105">
        <f>SLOPE(C36:C41,B36:B41)</f>
        <v>7.8759791410256644E-4</v>
      </c>
    </row>
    <row r="84" spans="1:2" x14ac:dyDescent="0.3">
      <c r="A84" s="98"/>
      <c r="B84" s="100"/>
    </row>
    <row r="85" spans="1:2" x14ac:dyDescent="0.3">
      <c r="A85" s="104" t="s">
        <v>35</v>
      </c>
      <c r="B85" s="100"/>
    </row>
    <row r="86" spans="1:2" x14ac:dyDescent="0.3">
      <c r="A86" s="98" t="s">
        <v>36</v>
      </c>
      <c r="B86" s="106">
        <f>(C42-B82*B42)/count</f>
        <v>63.298914557337753</v>
      </c>
    </row>
    <row r="87" spans="1:2" ht="15" thickBot="1" x14ac:dyDescent="0.35">
      <c r="A87" s="107" t="s">
        <v>37</v>
      </c>
      <c r="B87" s="108">
        <f>INTERCEPT(C36:C41,B36:B41)</f>
        <v>63.298914557337753</v>
      </c>
    </row>
    <row r="88" spans="1:2" ht="15" thickTop="1" x14ac:dyDescent="0.3">
      <c r="A88" s="66"/>
      <c r="B88" s="67"/>
    </row>
    <row r="89" spans="1:2" x14ac:dyDescent="0.3">
      <c r="A89" s="66"/>
      <c r="B89" s="67"/>
    </row>
  </sheetData>
  <conditionalFormatting sqref="B59">
    <cfRule type="cellIs" dxfId="13" priority="1" operator="equal">
      <formula>$B$68</formula>
    </cfRule>
  </conditionalFormatting>
  <conditionalFormatting sqref="B49">
    <cfRule type="cellIs" dxfId="12" priority="7" operator="equal">
      <formula>$B$50</formula>
    </cfRule>
  </conditionalFormatting>
  <conditionalFormatting sqref="B50">
    <cfRule type="cellIs" dxfId="11" priority="6" operator="equal">
      <formula>$B$49</formula>
    </cfRule>
  </conditionalFormatting>
  <conditionalFormatting sqref="B68">
    <cfRule type="cellIs" dxfId="10" priority="5" operator="equal">
      <formula>$B$69</formula>
    </cfRule>
  </conditionalFormatting>
  <conditionalFormatting sqref="B69:B72">
    <cfRule type="cellIs" dxfId="9" priority="4" operator="equal">
      <formula>$B$68</formula>
    </cfRule>
  </conditionalFormatting>
  <conditionalFormatting sqref="B56">
    <cfRule type="cellIs" dxfId="8" priority="3" operator="equal">
      <formula>$B$57</formula>
    </cfRule>
  </conditionalFormatting>
  <conditionalFormatting sqref="B57:B58">
    <cfRule type="cellIs" dxfId="7" priority="2" operator="equal">
      <formula>$B$56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:J88"/>
  <sheetViews>
    <sheetView topLeftCell="A22" workbookViewId="0">
      <selection activeCell="F92" sqref="F92"/>
    </sheetView>
  </sheetViews>
  <sheetFormatPr defaultRowHeight="14.4" x14ac:dyDescent="0.3"/>
  <cols>
    <col min="1" max="1" width="28.5546875" customWidth="1"/>
    <col min="2" max="2" width="15.5546875" customWidth="1"/>
    <col min="3" max="3" width="15.88671875" customWidth="1"/>
    <col min="4" max="4" width="14.5546875" customWidth="1"/>
    <col min="5" max="5" width="13.33203125" customWidth="1"/>
    <col min="6" max="6" width="15.109375" customWidth="1"/>
    <col min="7" max="7" width="15.6640625" customWidth="1"/>
    <col min="8" max="8" width="13.88671875" customWidth="1"/>
    <col min="9" max="9" width="12.5546875" customWidth="1"/>
    <col min="10" max="10" width="15.77734375" customWidth="1"/>
  </cols>
  <sheetData>
    <row r="35" spans="1:10" x14ac:dyDescent="0.3">
      <c r="A35" s="1" t="s">
        <v>12</v>
      </c>
      <c r="B35" s="1" t="s">
        <v>52</v>
      </c>
      <c r="C35" s="1" t="s">
        <v>40</v>
      </c>
      <c r="D35" s="1" t="s">
        <v>41</v>
      </c>
      <c r="E35" s="1" t="s">
        <v>42</v>
      </c>
      <c r="F35" s="1" t="s">
        <v>43</v>
      </c>
      <c r="G35" s="1" t="s">
        <v>44</v>
      </c>
      <c r="H35" s="1" t="s">
        <v>45</v>
      </c>
      <c r="I35" s="1" t="s">
        <v>46</v>
      </c>
      <c r="J35" s="1" t="s">
        <v>47</v>
      </c>
    </row>
    <row r="36" spans="1:10" x14ac:dyDescent="0.3">
      <c r="A36" s="93" t="s">
        <v>0</v>
      </c>
      <c r="B36" s="94">
        <v>2025.751</v>
      </c>
      <c r="C36" s="24">
        <v>74.52</v>
      </c>
      <c r="D36" s="24">
        <f>SUM(B36*C36)</f>
        <v>150958.96451999998</v>
      </c>
      <c r="E36" s="24">
        <f>SUM(B36^2)</f>
        <v>4103667.1140009998</v>
      </c>
      <c r="F36" s="24">
        <f>SUM(C36^2)</f>
        <v>5553.2303999999995</v>
      </c>
      <c r="G36" s="24">
        <f>SUM(B36 - mean_gdp2000)</f>
        <v>-7704.225833333332</v>
      </c>
      <c r="H36" s="24">
        <f>G36^2</f>
        <v>59355095.691000678</v>
      </c>
      <c r="I36" s="24">
        <f t="shared" ref="I36:I41" si="0">C36-mean_le2000</f>
        <v>2.0849999999999937</v>
      </c>
      <c r="J36" s="24">
        <f>I36^2</f>
        <v>4.3472249999999741</v>
      </c>
    </row>
    <row r="37" spans="1:10" x14ac:dyDescent="0.3">
      <c r="A37" s="94" t="s">
        <v>1</v>
      </c>
      <c r="B37" s="94">
        <v>8191.5360000000001</v>
      </c>
      <c r="C37" s="24">
        <v>74.91</v>
      </c>
      <c r="D37" s="24">
        <f>SUM(B37*C37)</f>
        <v>613627.96175999998</v>
      </c>
      <c r="E37" s="24">
        <f>SUM(B37^2)</f>
        <v>67101262.039296001</v>
      </c>
      <c r="F37" s="24">
        <f>SUM(C37^2)</f>
        <v>5611.5080999999991</v>
      </c>
      <c r="G37" s="24">
        <f>SUM(B37-mean_gdp2000)</f>
        <v>-1538.4408333333322</v>
      </c>
      <c r="H37" s="24">
        <f>G37^2</f>
        <v>2366800.1976673575</v>
      </c>
      <c r="I37" s="24">
        <f t="shared" si="0"/>
        <v>2.4749999999999943</v>
      </c>
      <c r="J37" s="24">
        <f>I37^2</f>
        <v>6.1256249999999719</v>
      </c>
    </row>
    <row r="38" spans="1:10" x14ac:dyDescent="0.3">
      <c r="A38" s="94" t="s">
        <v>2</v>
      </c>
      <c r="B38" s="94">
        <v>23544.716</v>
      </c>
      <c r="C38" s="24">
        <v>80.92</v>
      </c>
      <c r="D38" s="24">
        <f t="shared" ref="D38:D41" si="1">SUM(B38*C38)</f>
        <v>1905238.41872</v>
      </c>
      <c r="E38" s="24">
        <f t="shared" ref="E38:F41" si="2">SUM(B38^2)</f>
        <v>554353651.52065599</v>
      </c>
      <c r="F38" s="24">
        <f t="shared" si="2"/>
        <v>6548.0464000000002</v>
      </c>
      <c r="G38" s="24">
        <f>SUM(B38 - mean_gdp2000)</f>
        <v>13814.739166666668</v>
      </c>
      <c r="H38" s="24">
        <f t="shared" ref="H38:H41" si="3">G38^2</f>
        <v>190847018.24303406</v>
      </c>
      <c r="I38" s="24">
        <f t="shared" si="0"/>
        <v>8.4849999999999994</v>
      </c>
      <c r="J38" s="24">
        <f t="shared" ref="J38:J41" si="4">I38^2</f>
        <v>71.995224999999991</v>
      </c>
    </row>
    <row r="39" spans="1:10" x14ac:dyDescent="0.3">
      <c r="A39" s="94" t="s">
        <v>3</v>
      </c>
      <c r="B39" s="94">
        <v>436.39400000000001</v>
      </c>
      <c r="C39" s="24">
        <v>66.84</v>
      </c>
      <c r="D39" s="24">
        <f t="shared" si="1"/>
        <v>29168.574960000002</v>
      </c>
      <c r="E39" s="24">
        <f t="shared" si="2"/>
        <v>190439.72323599999</v>
      </c>
      <c r="F39" s="24">
        <f t="shared" si="2"/>
        <v>4467.5856000000003</v>
      </c>
      <c r="G39" s="24">
        <f>SUM(B39-mean_gdp2000)</f>
        <v>-9293.582833333332</v>
      </c>
      <c r="H39" s="24">
        <f t="shared" si="3"/>
        <v>86370681.880028009</v>
      </c>
      <c r="I39" s="24">
        <f t="shared" si="0"/>
        <v>-5.5949999999999989</v>
      </c>
      <c r="J39" s="24">
        <f t="shared" si="4"/>
        <v>31.304024999999989</v>
      </c>
    </row>
    <row r="40" spans="1:10" x14ac:dyDescent="0.3">
      <c r="A40" s="94" t="s">
        <v>4</v>
      </c>
      <c r="B40" s="94">
        <v>23820.874</v>
      </c>
      <c r="C40" s="24">
        <v>78.900000000000006</v>
      </c>
      <c r="D40" s="24">
        <f t="shared" si="1"/>
        <v>1879466.9586</v>
      </c>
      <c r="E40" s="24">
        <f t="shared" si="2"/>
        <v>567434038.12387598</v>
      </c>
      <c r="F40" s="24">
        <f t="shared" si="2"/>
        <v>6225.2100000000009</v>
      </c>
      <c r="G40" s="24">
        <f>SUM(B40 - mean_gdp2000)</f>
        <v>14090.897166666668</v>
      </c>
      <c r="H40" s="24">
        <f t="shared" si="3"/>
        <v>198553382.96157473</v>
      </c>
      <c r="I40" s="24">
        <f t="shared" si="0"/>
        <v>6.4650000000000034</v>
      </c>
      <c r="J40" s="24">
        <f t="shared" si="4"/>
        <v>41.796225000000042</v>
      </c>
    </row>
    <row r="41" spans="1:10" x14ac:dyDescent="0.3">
      <c r="A41" s="94" t="s">
        <v>5</v>
      </c>
      <c r="B41" s="94">
        <v>360.59</v>
      </c>
      <c r="C41" s="24">
        <v>58.52</v>
      </c>
      <c r="D41" s="24">
        <f t="shared" si="1"/>
        <v>21101.7268</v>
      </c>
      <c r="E41" s="24">
        <f t="shared" si="2"/>
        <v>130025.14809999998</v>
      </c>
      <c r="F41" s="24">
        <f t="shared" si="2"/>
        <v>3424.5904000000005</v>
      </c>
      <c r="G41" s="24">
        <f>SUM(B41-mean_gdp2000)</f>
        <v>-9369.3868333333321</v>
      </c>
      <c r="H41" s="24">
        <f t="shared" si="3"/>
        <v>87785409.632640004</v>
      </c>
      <c r="I41" s="24">
        <f t="shared" si="0"/>
        <v>-13.914999999999999</v>
      </c>
      <c r="J41" s="24">
        <f t="shared" si="4"/>
        <v>193.62722499999998</v>
      </c>
    </row>
    <row r="42" spans="1:10" x14ac:dyDescent="0.3">
      <c r="A42" s="78" t="s">
        <v>38</v>
      </c>
      <c r="B42" s="95">
        <f>SUM(B36:B41)</f>
        <v>58379.86099999999</v>
      </c>
      <c r="C42" s="75">
        <f>SUM(C36:C41)</f>
        <v>434.61</v>
      </c>
      <c r="D42" s="75">
        <f t="shared" ref="D42:J42" si="5">SUM(D36:D41)</f>
        <v>4599562.6053599995</v>
      </c>
      <c r="E42" s="75">
        <f t="shared" si="5"/>
        <v>1193313083.6691649</v>
      </c>
      <c r="F42" s="75">
        <f t="shared" si="5"/>
        <v>31830.170899999997</v>
      </c>
      <c r="G42" s="75">
        <f t="shared" si="5"/>
        <v>0</v>
      </c>
      <c r="H42" s="75">
        <f t="shared" si="5"/>
        <v>625278388.60594475</v>
      </c>
      <c r="I42" s="75">
        <f t="shared" si="5"/>
        <v>0</v>
      </c>
      <c r="J42" s="75">
        <f t="shared" si="5"/>
        <v>349.19554999999997</v>
      </c>
    </row>
    <row r="43" spans="1:10" ht="15" thickBot="1" x14ac:dyDescent="0.35">
      <c r="A43" s="94"/>
      <c r="B43" s="94"/>
    </row>
    <row r="44" spans="1:10" ht="18" x14ac:dyDescent="0.35">
      <c r="A44" s="96" t="s">
        <v>54</v>
      </c>
      <c r="B44" s="97"/>
    </row>
    <row r="45" spans="1:10" x14ac:dyDescent="0.3">
      <c r="A45" s="98" t="s">
        <v>13</v>
      </c>
      <c r="B45" s="99">
        <f>COUNT(B36:B41)</f>
        <v>6</v>
      </c>
    </row>
    <row r="46" spans="1:10" x14ac:dyDescent="0.3">
      <c r="A46" s="98" t="s">
        <v>14</v>
      </c>
      <c r="B46" s="100">
        <f>B45*D42-B42*C42</f>
        <v>2224904.2429499999</v>
      </c>
    </row>
    <row r="47" spans="1:10" x14ac:dyDescent="0.3">
      <c r="A47" s="98" t="s">
        <v>15</v>
      </c>
      <c r="B47" s="100">
        <f>(B45*E42-B42^2)^0.5</f>
        <v>61250.880251925119</v>
      </c>
    </row>
    <row r="48" spans="1:10" x14ac:dyDescent="0.3">
      <c r="A48" s="98" t="s">
        <v>16</v>
      </c>
      <c r="B48" s="100">
        <f>(B45*F42-C42^2)^0.5</f>
        <v>45.773063039302556</v>
      </c>
    </row>
    <row r="49" spans="1:2" x14ac:dyDescent="0.3">
      <c r="A49" s="98" t="s">
        <v>17</v>
      </c>
      <c r="B49" s="101">
        <f>ROUND(B46/(B47*B48), 3)</f>
        <v>0.79400000000000004</v>
      </c>
    </row>
    <row r="50" spans="1:2" x14ac:dyDescent="0.3">
      <c r="A50" s="98" t="s">
        <v>18</v>
      </c>
      <c r="B50" s="101">
        <f>ROUND(CORREL(B36:B41,C36:C41), 3)</f>
        <v>0.79400000000000004</v>
      </c>
    </row>
    <row r="51" spans="1:2" x14ac:dyDescent="0.3">
      <c r="A51" s="98" t="s">
        <v>19</v>
      </c>
      <c r="B51" s="101">
        <f>B50^2</f>
        <v>0.63043600000000011</v>
      </c>
    </row>
    <row r="52" spans="1:2" x14ac:dyDescent="0.3">
      <c r="A52" s="98"/>
      <c r="B52" s="102"/>
    </row>
    <row r="53" spans="1:2" ht="18" x14ac:dyDescent="0.35">
      <c r="A53" s="103" t="s">
        <v>53</v>
      </c>
      <c r="B53" s="102"/>
    </row>
    <row r="54" spans="1:2" x14ac:dyDescent="0.3">
      <c r="A54" s="104" t="s">
        <v>55</v>
      </c>
      <c r="B54" s="102"/>
    </row>
    <row r="55" spans="1:2" x14ac:dyDescent="0.3">
      <c r="A55" s="98" t="s">
        <v>48</v>
      </c>
      <c r="B55" s="102">
        <f>B42/count</f>
        <v>9729.9768333333323</v>
      </c>
    </row>
    <row r="56" spans="1:2" x14ac:dyDescent="0.3">
      <c r="A56" s="98" t="s">
        <v>21</v>
      </c>
      <c r="B56" s="102">
        <f>(H42/count)^0.5</f>
        <v>10208.480041987517</v>
      </c>
    </row>
    <row r="57" spans="1:2" x14ac:dyDescent="0.3">
      <c r="A57" s="98" t="s">
        <v>22</v>
      </c>
      <c r="B57" s="102">
        <f>_xlfn.STDEV.P($B$36:$B$41)</f>
        <v>10208.480041987519</v>
      </c>
    </row>
    <row r="58" spans="1:2" x14ac:dyDescent="0.3">
      <c r="A58" s="98" t="s">
        <v>23</v>
      </c>
      <c r="B58" s="102">
        <f>MEDIAN($B$36:$B$41)</f>
        <v>5108.6435000000001</v>
      </c>
    </row>
    <row r="59" spans="1:2" x14ac:dyDescent="0.3">
      <c r="A59" s="104" t="s">
        <v>24</v>
      </c>
      <c r="B59" s="102"/>
    </row>
    <row r="60" spans="1:2" x14ac:dyDescent="0.3">
      <c r="A60" s="98" t="s">
        <v>25</v>
      </c>
      <c r="B60" s="102">
        <f>QUARTILE($B$36:$B$41, 0)</f>
        <v>360.59</v>
      </c>
    </row>
    <row r="61" spans="1:2" x14ac:dyDescent="0.3">
      <c r="A61" s="98" t="s">
        <v>26</v>
      </c>
      <c r="B61" s="102">
        <f>QUARTILE($B$36:$B$41, 1)</f>
        <v>833.73325</v>
      </c>
    </row>
    <row r="62" spans="1:2" x14ac:dyDescent="0.3">
      <c r="A62" s="98" t="s">
        <v>27</v>
      </c>
      <c r="B62" s="102">
        <f>QUARTILE($B$36:$B$41, 2)</f>
        <v>5108.6435000000001</v>
      </c>
    </row>
    <row r="63" spans="1:2" x14ac:dyDescent="0.3">
      <c r="A63" s="98" t="s">
        <v>28</v>
      </c>
      <c r="B63" s="102">
        <f>QUARTILE($B$36:$B$41, 3)</f>
        <v>19706.421000000002</v>
      </c>
    </row>
    <row r="64" spans="1:2" x14ac:dyDescent="0.3">
      <c r="A64" s="98" t="s">
        <v>29</v>
      </c>
      <c r="B64" s="102">
        <f>QUARTILE($B$36:$B$41, 4)</f>
        <v>23820.874</v>
      </c>
    </row>
    <row r="65" spans="1:2" x14ac:dyDescent="0.3">
      <c r="A65" s="98"/>
      <c r="B65" s="102"/>
    </row>
    <row r="66" spans="1:2" x14ac:dyDescent="0.3">
      <c r="A66" s="104" t="s">
        <v>51</v>
      </c>
      <c r="B66" s="102"/>
    </row>
    <row r="67" spans="1:2" x14ac:dyDescent="0.3">
      <c r="A67" s="98" t="s">
        <v>49</v>
      </c>
      <c r="B67" s="102">
        <f>C42/B45</f>
        <v>72.435000000000002</v>
      </c>
    </row>
    <row r="68" spans="1:2" x14ac:dyDescent="0.3">
      <c r="A68" s="98" t="s">
        <v>21</v>
      </c>
      <c r="B68" s="102">
        <f>ROUND(SQRT(J42/B45), 0)</f>
        <v>8</v>
      </c>
    </row>
    <row r="69" spans="1:2" x14ac:dyDescent="0.3">
      <c r="A69" s="98" t="s">
        <v>22</v>
      </c>
      <c r="B69" s="102">
        <f>ROUND(_xlfn.STDEV.P($C$36:$C$41),0)</f>
        <v>8</v>
      </c>
    </row>
    <row r="70" spans="1:2" x14ac:dyDescent="0.3">
      <c r="A70" s="98" t="s">
        <v>30</v>
      </c>
      <c r="B70" s="102"/>
    </row>
    <row r="71" spans="1:2" x14ac:dyDescent="0.3">
      <c r="A71" s="98" t="s">
        <v>23</v>
      </c>
      <c r="B71" s="102">
        <f>MEDIAN($C$36:$C$41)</f>
        <v>74.715000000000003</v>
      </c>
    </row>
    <row r="72" spans="1:2" x14ac:dyDescent="0.3">
      <c r="A72" s="104" t="s">
        <v>24</v>
      </c>
      <c r="B72" s="102"/>
    </row>
    <row r="73" spans="1:2" x14ac:dyDescent="0.3">
      <c r="A73" s="98" t="s">
        <v>25</v>
      </c>
      <c r="B73" s="102">
        <f>QUARTILE($C$36:$C$41, 0)</f>
        <v>58.52</v>
      </c>
    </row>
    <row r="74" spans="1:2" x14ac:dyDescent="0.3">
      <c r="A74" s="98" t="s">
        <v>26</v>
      </c>
      <c r="B74" s="102">
        <f>QUARTILE($C$36:$C$41, 1)</f>
        <v>68.760000000000005</v>
      </c>
    </row>
    <row r="75" spans="1:2" x14ac:dyDescent="0.3">
      <c r="A75" s="98" t="s">
        <v>27</v>
      </c>
      <c r="B75" s="102">
        <f>QUARTILE($C$36:$C$41, 2)</f>
        <v>74.715000000000003</v>
      </c>
    </row>
    <row r="76" spans="1:2" x14ac:dyDescent="0.3">
      <c r="A76" s="98" t="s">
        <v>28</v>
      </c>
      <c r="B76" s="102">
        <f>QUARTILE($C$36:$C$41, 3)</f>
        <v>77.902500000000003</v>
      </c>
    </row>
    <row r="77" spans="1:2" x14ac:dyDescent="0.3">
      <c r="A77" s="98" t="s">
        <v>29</v>
      </c>
      <c r="B77" s="102">
        <f>QUARTILE($C$36:$C$41, 4)</f>
        <v>80.92</v>
      </c>
    </row>
    <row r="78" spans="1:2" ht="18" x14ac:dyDescent="0.35">
      <c r="A78" s="103" t="s">
        <v>50</v>
      </c>
      <c r="B78" s="102"/>
    </row>
    <row r="79" spans="1:2" x14ac:dyDescent="0.3">
      <c r="A79" s="104" t="s">
        <v>31</v>
      </c>
      <c r="B79" s="102"/>
    </row>
    <row r="80" spans="1:2" x14ac:dyDescent="0.3">
      <c r="A80" s="98" t="s">
        <v>14</v>
      </c>
      <c r="B80" s="100">
        <f>count*D42-B42*C42</f>
        <v>2224904.2429499999</v>
      </c>
    </row>
    <row r="81" spans="1:2" x14ac:dyDescent="0.3">
      <c r="A81" s="98" t="s">
        <v>32</v>
      </c>
      <c r="B81" s="100">
        <f>count*E42-B42^2</f>
        <v>3751670331.6356702</v>
      </c>
    </row>
    <row r="82" spans="1:2" x14ac:dyDescent="0.3">
      <c r="A82" s="98" t="s">
        <v>33</v>
      </c>
      <c r="B82" s="105">
        <f>B80/B81</f>
        <v>5.930436435708827E-4</v>
      </c>
    </row>
    <row r="83" spans="1:2" x14ac:dyDescent="0.3">
      <c r="A83" s="98" t="s">
        <v>34</v>
      </c>
      <c r="B83" s="105">
        <f>SLOPE(C36:C41,B36:B41)</f>
        <v>5.9304364357088324E-4</v>
      </c>
    </row>
    <row r="84" spans="1:2" x14ac:dyDescent="0.3">
      <c r="A84" s="98"/>
      <c r="B84" s="100"/>
    </row>
    <row r="85" spans="1:2" x14ac:dyDescent="0.3">
      <c r="A85" s="104" t="s">
        <v>35</v>
      </c>
      <c r="B85" s="100"/>
    </row>
    <row r="86" spans="1:2" x14ac:dyDescent="0.3">
      <c r="A86" s="98" t="s">
        <v>36</v>
      </c>
      <c r="B86" s="106">
        <f>(C42-B82*B42)/count</f>
        <v>66.664699086899716</v>
      </c>
    </row>
    <row r="87" spans="1:2" ht="15" thickBot="1" x14ac:dyDescent="0.35">
      <c r="A87" s="107" t="s">
        <v>37</v>
      </c>
      <c r="B87" s="108">
        <f>INTERCEPT(C36:C41,B36:B41)</f>
        <v>66.664699086899716</v>
      </c>
    </row>
    <row r="88" spans="1:2" ht="15" thickTop="1" x14ac:dyDescent="0.3"/>
  </sheetData>
  <conditionalFormatting sqref="B59">
    <cfRule type="cellIs" dxfId="6" priority="1" operator="equal">
      <formula>$B$68</formula>
    </cfRule>
  </conditionalFormatting>
  <conditionalFormatting sqref="B49">
    <cfRule type="cellIs" dxfId="5" priority="7" operator="equal">
      <formula>$B$50</formula>
    </cfRule>
  </conditionalFormatting>
  <conditionalFormatting sqref="B50">
    <cfRule type="cellIs" dxfId="4" priority="6" operator="equal">
      <formula>$B$49</formula>
    </cfRule>
  </conditionalFormatting>
  <conditionalFormatting sqref="B68">
    <cfRule type="cellIs" dxfId="3" priority="5" operator="equal">
      <formula>$B$69</formula>
    </cfRule>
  </conditionalFormatting>
  <conditionalFormatting sqref="B69:B72">
    <cfRule type="cellIs" dxfId="2" priority="4" operator="equal">
      <formula>$B$68</formula>
    </cfRule>
  </conditionalFormatting>
  <conditionalFormatting sqref="B56">
    <cfRule type="cellIs" dxfId="1" priority="3" operator="equal">
      <formula>$B$57</formula>
    </cfRule>
  </conditionalFormatting>
  <conditionalFormatting sqref="B57:B58">
    <cfRule type="cellIs" dxfId="0" priority="2" operator="equal">
      <formula>$B$56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P73" sqref="P73"/>
    </sheetView>
  </sheetViews>
  <sheetFormatPr defaultRowHeight="14.4" x14ac:dyDescent="0.3"/>
  <cols>
    <col min="1" max="1" width="13.21875" customWidth="1"/>
    <col min="2" max="2" width="12.109375" customWidth="1"/>
    <col min="3" max="3" width="11.88671875" customWidth="1"/>
    <col min="4" max="4" width="11.77734375" customWidth="1"/>
    <col min="5" max="5" width="12.33203125" customWidth="1"/>
    <col min="6" max="6" width="13.5546875" customWidth="1"/>
  </cols>
  <sheetData>
    <row r="1" spans="1:6" x14ac:dyDescent="0.3"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3">
      <c r="A2" t="s">
        <v>54</v>
      </c>
      <c r="B2">
        <v>0.95899999999999996</v>
      </c>
      <c r="C2">
        <v>0.93200000000000005</v>
      </c>
      <c r="D2">
        <v>0.87</v>
      </c>
      <c r="E2">
        <v>0.82199999999999995</v>
      </c>
      <c r="F2">
        <v>0.79400000000000004</v>
      </c>
    </row>
    <row r="3" spans="1:6" x14ac:dyDescent="0.3">
      <c r="A3" t="s">
        <v>119</v>
      </c>
      <c r="B3">
        <v>4463.3373330000004</v>
      </c>
      <c r="C3">
        <v>6312.8988330000002</v>
      </c>
      <c r="D3">
        <v>6844.7923330000003</v>
      </c>
      <c r="E3">
        <v>8034.241833</v>
      </c>
      <c r="F3">
        <v>9729.9768330000006</v>
      </c>
    </row>
    <row r="4" spans="1:6" x14ac:dyDescent="0.3">
      <c r="A4" t="s">
        <v>120</v>
      </c>
      <c r="B4">
        <v>57.578333000000001</v>
      </c>
      <c r="C4">
        <v>60.471666669999998</v>
      </c>
      <c r="D4">
        <v>65.816665999999998</v>
      </c>
      <c r="E4">
        <v>69.626666</v>
      </c>
      <c r="F4">
        <v>72.435000000000002</v>
      </c>
    </row>
    <row r="5" spans="1:6" x14ac:dyDescent="0.3">
      <c r="A5" t="s">
        <v>121</v>
      </c>
      <c r="B5">
        <v>2.7599999999999999E-3</v>
      </c>
      <c r="C5">
        <v>1.8799999999999999E-3</v>
      </c>
      <c r="D5">
        <v>1.16E-3</v>
      </c>
      <c r="E5">
        <v>7.9000000000000001E-4</v>
      </c>
      <c r="F5">
        <v>5.9000000000000003E-4</v>
      </c>
    </row>
    <row r="6" spans="1:6" x14ac:dyDescent="0.3">
      <c r="A6" t="s">
        <v>122</v>
      </c>
      <c r="B6">
        <v>45</v>
      </c>
      <c r="C6">
        <v>49</v>
      </c>
      <c r="D6">
        <v>58</v>
      </c>
      <c r="E6">
        <v>63</v>
      </c>
      <c r="F6">
        <v>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19</vt:i4>
      </vt:variant>
    </vt:vector>
  </HeadingPairs>
  <TitlesOfParts>
    <vt:vector size="26" baseType="lpstr">
      <vt:lpstr>Part One</vt:lpstr>
      <vt:lpstr>1960-1969</vt:lpstr>
      <vt:lpstr>1970-1979</vt:lpstr>
      <vt:lpstr>1980-1989</vt:lpstr>
      <vt:lpstr>1990-1999</vt:lpstr>
      <vt:lpstr>2000-2009</vt:lpstr>
      <vt:lpstr>Part Two Comparing</vt:lpstr>
      <vt:lpstr>count</vt:lpstr>
      <vt:lpstr>countone</vt:lpstr>
      <vt:lpstr>'1960-1969'!Mean__USD</vt:lpstr>
      <vt:lpstr>Mean__Yearsone</vt:lpstr>
      <vt:lpstr>mean_gdp</vt:lpstr>
      <vt:lpstr>mean_gdp1</vt:lpstr>
      <vt:lpstr>mean_gdp1960</vt:lpstr>
      <vt:lpstr>mean_gdp1980</vt:lpstr>
      <vt:lpstr>mean_gdp1990</vt:lpstr>
      <vt:lpstr>mean_gdp2000</vt:lpstr>
      <vt:lpstr>mean_gdpone</vt:lpstr>
      <vt:lpstr>mean_gpd1970</vt:lpstr>
      <vt:lpstr>mean_le</vt:lpstr>
      <vt:lpstr>mean_le1970</vt:lpstr>
      <vt:lpstr>mean_le1980</vt:lpstr>
      <vt:lpstr>mean_le2000</vt:lpstr>
      <vt:lpstr>Mean_Years199</vt:lpstr>
      <vt:lpstr>Mean1__USD</vt:lpstr>
      <vt:lpstr>mean1_gdp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TOMEK</dc:creator>
  <cp:lastModifiedBy>TOMEK</cp:lastModifiedBy>
  <dcterms:created xsi:type="dcterms:W3CDTF">2017-04-14T13:43:09Z</dcterms:created>
  <dcterms:modified xsi:type="dcterms:W3CDTF">2017-04-17T19:52:50Z</dcterms:modified>
</cp:coreProperties>
</file>