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bookViews>
    <workbookView xWindow="0" yWindow="0" windowWidth="27636" windowHeight="10668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48" i="1"/>
  <c r="M44" i="1"/>
  <c r="M54" i="1"/>
  <c r="M53" i="1"/>
  <c r="M43" i="1"/>
  <c r="E21" i="1" l="1"/>
  <c r="D21" i="1"/>
  <c r="D57" i="1" l="1"/>
  <c r="P56" i="1"/>
  <c r="O56" i="1"/>
  <c r="N56" i="1"/>
  <c r="M56" i="1"/>
  <c r="L56" i="1"/>
  <c r="K56" i="1"/>
  <c r="J56" i="1"/>
  <c r="I56" i="1"/>
  <c r="H56" i="1"/>
  <c r="G56" i="1"/>
  <c r="F56" i="1"/>
  <c r="E56" i="1"/>
  <c r="D54" i="1"/>
  <c r="P53" i="1"/>
  <c r="O53" i="1"/>
  <c r="N53" i="1"/>
  <c r="L53" i="1"/>
  <c r="K53" i="1"/>
  <c r="J53" i="1"/>
  <c r="I53" i="1"/>
  <c r="H53" i="1"/>
  <c r="G53" i="1"/>
  <c r="F53" i="1"/>
  <c r="E53" i="1"/>
  <c r="D51" i="1"/>
  <c r="D55" i="1"/>
  <c r="P43" i="1"/>
  <c r="O43" i="1"/>
  <c r="N43" i="1"/>
  <c r="L43" i="1"/>
  <c r="K43" i="1"/>
  <c r="J43" i="1"/>
  <c r="I43" i="1"/>
  <c r="H43" i="1"/>
  <c r="G43" i="1"/>
  <c r="F43" i="1"/>
  <c r="E43" i="1"/>
  <c r="D50" i="1"/>
  <c r="I50" i="1" s="1"/>
  <c r="D40" i="1"/>
  <c r="M40" i="1" s="1"/>
  <c r="D38" i="1"/>
  <c r="I38" i="1" s="1"/>
  <c r="E25" i="1"/>
  <c r="J40" i="1" l="1"/>
  <c r="N40" i="1"/>
  <c r="H40" i="1"/>
  <c r="I40" i="1"/>
  <c r="L50" i="1"/>
  <c r="G50" i="1"/>
  <c r="J50" i="1"/>
  <c r="M50" i="1"/>
  <c r="K50" i="1"/>
  <c r="O40" i="1"/>
  <c r="P40" i="1"/>
  <c r="N50" i="1"/>
  <c r="F40" i="1"/>
  <c r="E50" i="1"/>
  <c r="O50" i="1"/>
  <c r="G40" i="1"/>
  <c r="F50" i="1"/>
  <c r="K40" i="1"/>
  <c r="L40" i="1"/>
  <c r="H50" i="1"/>
  <c r="P50" i="1"/>
  <c r="E40" i="1"/>
  <c r="H38" i="1"/>
  <c r="P38" i="1"/>
  <c r="M38" i="1"/>
  <c r="J38" i="1"/>
  <c r="K38" i="1"/>
  <c r="E38" i="1"/>
  <c r="L38" i="1"/>
  <c r="F38" i="1"/>
  <c r="N38" i="1"/>
  <c r="G38" i="1"/>
  <c r="O38" i="1"/>
  <c r="D34" i="1" l="1"/>
  <c r="P20" i="1"/>
  <c r="D47" i="1"/>
  <c r="P46" i="1"/>
  <c r="O46" i="1"/>
  <c r="N46" i="1"/>
  <c r="M46" i="1"/>
  <c r="L46" i="1"/>
  <c r="K46" i="1"/>
  <c r="J46" i="1"/>
  <c r="I46" i="1"/>
  <c r="H46" i="1"/>
  <c r="G46" i="1"/>
  <c r="F46" i="1"/>
  <c r="E46" i="1"/>
  <c r="D41" i="1"/>
  <c r="D44" i="1"/>
  <c r="D45" i="1"/>
  <c r="O20" i="1"/>
  <c r="N20" i="1"/>
  <c r="M20" i="1"/>
  <c r="L20" i="1"/>
  <c r="K20" i="1"/>
  <c r="J20" i="1"/>
  <c r="I20" i="1"/>
  <c r="H20" i="1"/>
  <c r="G20" i="1"/>
  <c r="F20" i="1"/>
  <c r="E20" i="1"/>
  <c r="D31" i="1"/>
  <c r="D32" i="1"/>
  <c r="D33" i="1"/>
  <c r="D35" i="1"/>
  <c r="D36" i="1"/>
  <c r="D37" i="1"/>
  <c r="D27" i="1"/>
  <c r="D29" i="1"/>
  <c r="P26" i="1"/>
  <c r="O26" i="1"/>
  <c r="N26" i="1"/>
  <c r="M26" i="1"/>
  <c r="L26" i="1"/>
  <c r="K26" i="1"/>
  <c r="J26" i="1"/>
  <c r="I26" i="1"/>
  <c r="H26" i="1"/>
  <c r="G26" i="1"/>
  <c r="F26" i="1"/>
  <c r="E26" i="1"/>
  <c r="K25" i="1"/>
  <c r="N24" i="1"/>
  <c r="K24" i="1"/>
  <c r="H24" i="1"/>
  <c r="N23" i="1"/>
  <c r="K23" i="1"/>
  <c r="H23" i="1"/>
  <c r="N22" i="1"/>
  <c r="M22" i="1"/>
  <c r="L22" i="1"/>
  <c r="K22" i="1"/>
  <c r="J22" i="1"/>
  <c r="I22" i="1"/>
  <c r="H22" i="1"/>
  <c r="G22" i="1"/>
  <c r="F22" i="1"/>
  <c r="E22" i="1"/>
  <c r="H5" i="1"/>
  <c r="I5" i="1" s="1"/>
  <c r="H4" i="1"/>
  <c r="I4" i="1" s="1"/>
  <c r="E5" i="1"/>
  <c r="F5" i="1" s="1"/>
  <c r="E4" i="1"/>
  <c r="F4" i="1" s="1"/>
  <c r="L11" i="1"/>
  <c r="L10" i="1"/>
  <c r="L9" i="1"/>
  <c r="L8" i="1"/>
  <c r="D20" i="1" l="1"/>
  <c r="J4" i="1"/>
  <c r="K4" i="1" s="1"/>
  <c r="L4" i="1" s="1"/>
  <c r="J5" i="1"/>
  <c r="K5" i="1" s="1"/>
  <c r="L5" i="1" s="1"/>
  <c r="E17" i="1" l="1"/>
  <c r="P17" i="1"/>
  <c r="J17" i="1"/>
  <c r="O17" i="1"/>
  <c r="H17" i="1"/>
  <c r="F17" i="1"/>
  <c r="N17" i="1"/>
  <c r="I17" i="1"/>
  <c r="K17" i="1"/>
  <c r="G17" i="1"/>
  <c r="L17" i="1"/>
  <c r="M17" i="1"/>
  <c r="H34" i="1"/>
  <c r="N34" i="1"/>
  <c r="G34" i="1"/>
  <c r="K34" i="1"/>
  <c r="I34" i="1"/>
  <c r="M34" i="1"/>
  <c r="J34" i="1"/>
  <c r="L34" i="1"/>
  <c r="F34" i="1"/>
  <c r="P34" i="1"/>
  <c r="E34" i="1"/>
  <c r="O34" i="1"/>
  <c r="O59" i="1" l="1"/>
  <c r="O60" i="1"/>
  <c r="P60" i="1"/>
  <c r="P59" i="1"/>
  <c r="H60" i="1"/>
  <c r="H59" i="1"/>
  <c r="J60" i="1"/>
  <c r="J63" i="1" s="1"/>
  <c r="J59" i="1"/>
  <c r="K59" i="1"/>
  <c r="K60" i="1"/>
  <c r="E59" i="1"/>
  <c r="E60" i="1"/>
  <c r="G59" i="1"/>
  <c r="G60" i="1"/>
  <c r="G63" i="1" s="1"/>
  <c r="N60" i="1"/>
  <c r="N59" i="1"/>
  <c r="F60" i="1"/>
  <c r="F59" i="1"/>
  <c r="L60" i="1"/>
  <c r="L59" i="1"/>
  <c r="M59" i="1"/>
  <c r="M60" i="1"/>
  <c r="M63" i="1" s="1"/>
  <c r="I59" i="1"/>
  <c r="I60" i="1"/>
  <c r="I63" i="1" s="1"/>
  <c r="D17" i="1"/>
  <c r="D62" i="1" s="1"/>
  <c r="E61" i="1"/>
  <c r="D63" i="1"/>
  <c r="F63" i="1"/>
  <c r="H63" i="1"/>
  <c r="E63" i="1"/>
  <c r="K63" i="1"/>
  <c r="P63" i="1"/>
  <c r="O63" i="1"/>
  <c r="L63" i="1"/>
  <c r="N63" i="1"/>
  <c r="E18" i="1"/>
  <c r="D18" i="1"/>
  <c r="D64" i="1" s="1"/>
  <c r="E64" i="1" l="1"/>
  <c r="F16" i="1"/>
  <c r="F61" i="1" s="1"/>
  <c r="E62" i="1"/>
  <c r="F18" i="1" l="1"/>
  <c r="F64" i="1" s="1"/>
  <c r="G16" i="1" l="1"/>
  <c r="G61" i="1" s="1"/>
  <c r="F62" i="1"/>
  <c r="G18" i="1" l="1"/>
  <c r="G64" i="1" s="1"/>
  <c r="H16" i="1" l="1"/>
  <c r="H61" i="1" s="1"/>
  <c r="G62" i="1"/>
  <c r="H18" i="1" l="1"/>
  <c r="H64" i="1" s="1"/>
  <c r="I16" i="1" l="1"/>
  <c r="I61" i="1" s="1"/>
  <c r="H62" i="1"/>
  <c r="I18" i="1" l="1"/>
  <c r="I64" i="1" s="1"/>
  <c r="J16" i="1" l="1"/>
  <c r="J61" i="1" s="1"/>
  <c r="I62" i="1"/>
  <c r="J18" i="1" l="1"/>
  <c r="J64" i="1" s="1"/>
  <c r="K16" i="1" l="1"/>
  <c r="K61" i="1" s="1"/>
  <c r="J62" i="1"/>
  <c r="K18" i="1" l="1"/>
  <c r="K64" i="1" s="1"/>
  <c r="L16" i="1" l="1"/>
  <c r="L61" i="1" s="1"/>
  <c r="K62" i="1"/>
  <c r="L18" i="1" l="1"/>
  <c r="L64" i="1" s="1"/>
  <c r="M16" i="1" l="1"/>
  <c r="M61" i="1" s="1"/>
  <c r="L62" i="1"/>
  <c r="M18" i="1" l="1"/>
  <c r="M64" i="1" s="1"/>
  <c r="N16" i="1" l="1"/>
  <c r="N61" i="1" s="1"/>
  <c r="M62" i="1"/>
  <c r="N18" i="1" l="1"/>
  <c r="N64" i="1" s="1"/>
  <c r="O16" i="1" l="1"/>
  <c r="O61" i="1" s="1"/>
  <c r="N62" i="1"/>
  <c r="O18" i="1" l="1"/>
  <c r="O64" i="1" s="1"/>
  <c r="P16" i="1" l="1"/>
  <c r="P61" i="1" s="1"/>
  <c r="O62" i="1"/>
  <c r="P62" i="1" l="1"/>
  <c r="P18" i="1"/>
  <c r="P64" i="1" s="1"/>
</calcChain>
</file>

<file path=xl/sharedStrings.xml><?xml version="1.0" encoding="utf-8"?>
<sst xmlns="http://schemas.openxmlformats.org/spreadsheetml/2006/main" count="262" uniqueCount="100">
  <si>
    <t>Provider</t>
  </si>
  <si>
    <t>Type</t>
  </si>
  <si>
    <t>LTV</t>
  </si>
  <si>
    <t>Initial Interest Rate</t>
  </si>
  <si>
    <t>IIR Length</t>
  </si>
  <si>
    <t>HSBC</t>
  </si>
  <si>
    <t>5 YRS</t>
  </si>
  <si>
    <t>20 YRS</t>
  </si>
  <si>
    <t>2 YRS</t>
  </si>
  <si>
    <t>23 YRS</t>
  </si>
  <si>
    <t>APRC</t>
  </si>
  <si>
    <t>YBS</t>
  </si>
  <si>
    <t>Discounted + SVR</t>
  </si>
  <si>
    <t>Fixed + SVR</t>
  </si>
  <si>
    <t>One Time Costs</t>
  </si>
  <si>
    <t>Tracker</t>
  </si>
  <si>
    <t>Follow On Interest Rate</t>
  </si>
  <si>
    <t>3.69% (SVR)</t>
  </si>
  <si>
    <t>4.74% (SVR)</t>
  </si>
  <si>
    <t>Length</t>
  </si>
  <si>
    <t>Total Loan Repayment</t>
  </si>
  <si>
    <t>Monthly (IIR)</t>
  </si>
  <si>
    <t>Monthly (Follow on)</t>
  </si>
  <si>
    <t>Total Cost</t>
  </si>
  <si>
    <t>Donald</t>
  </si>
  <si>
    <t>Income Gross</t>
  </si>
  <si>
    <t>Tax Exempt</t>
  </si>
  <si>
    <t>Taxable</t>
  </si>
  <si>
    <t>Tax</t>
  </si>
  <si>
    <t>NIC Exempt</t>
  </si>
  <si>
    <t>NIC Taxable</t>
  </si>
  <si>
    <t>NIC Tax</t>
  </si>
  <si>
    <t>Hillary</t>
  </si>
  <si>
    <t>Total Tax</t>
  </si>
  <si>
    <t>Income Net</t>
  </si>
  <si>
    <t>Monthly Income</t>
  </si>
  <si>
    <t>Budget Planner</t>
  </si>
  <si>
    <t>Opening Balance</t>
  </si>
  <si>
    <t>Expenses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</si>
  <si>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</si>
  <si>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</si>
  <si>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</si>
  <si>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</si>
  <si>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</si>
  <si>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</si>
  <si>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</si>
  <si>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</si>
  <si>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</si>
  <si>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</si>
  <si>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</si>
  <si>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</si>
  <si>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16-17</t>
  </si>
  <si>
    <t>Mortgage</t>
  </si>
  <si>
    <t>Council Tax</t>
  </si>
  <si>
    <t>Electric</t>
  </si>
  <si>
    <t>Gas</t>
  </si>
  <si>
    <t>Water</t>
  </si>
  <si>
    <t>Insurance</t>
  </si>
  <si>
    <t>Entertainment(Home)</t>
  </si>
  <si>
    <t>Entertainment(Out)</t>
  </si>
  <si>
    <t>One Time Mortgage Costs</t>
  </si>
  <si>
    <t>Total Expenditure</t>
  </si>
  <si>
    <t>Food (Shopping)</t>
  </si>
  <si>
    <t>Food (Out)</t>
  </si>
  <si>
    <t>Holidays</t>
  </si>
  <si>
    <t>Public Transport</t>
  </si>
  <si>
    <t>Income</t>
  </si>
  <si>
    <t>Closing Balance</t>
  </si>
  <si>
    <t>Annual (16-17)</t>
  </si>
  <si>
    <t>TV License</t>
  </si>
  <si>
    <t xml:space="preserve">Property Maintenance </t>
  </si>
  <si>
    <t>Furniture &amp; Décor</t>
  </si>
  <si>
    <t>Clothing</t>
  </si>
  <si>
    <t>Bank Account Charges</t>
  </si>
  <si>
    <t>ISA</t>
  </si>
  <si>
    <t>Hobbies</t>
  </si>
  <si>
    <t>Total Available Spending Cash</t>
  </si>
  <si>
    <t>Personal</t>
  </si>
  <si>
    <t>Total Expenditure (Exc. One-Time Costs)</t>
  </si>
  <si>
    <t>Phone Contracts Upfront Fee</t>
  </si>
  <si>
    <t>Summary</t>
  </si>
  <si>
    <t>One Time Furniture Purchase</t>
  </si>
  <si>
    <t>Chosen</t>
  </si>
  <si>
    <t>No</t>
  </si>
  <si>
    <t>Yes</t>
  </si>
  <si>
    <t xml:space="preserve">Barclays </t>
  </si>
  <si>
    <t>OverSpending?</t>
  </si>
  <si>
    <t>-</t>
  </si>
  <si>
    <t xml:space="preserve"> - Joint Expenses - </t>
  </si>
  <si>
    <t xml:space="preserve"> - Hillary Expenses - </t>
  </si>
  <si>
    <t xml:space="preserve"> - Donald Expenses - </t>
  </si>
  <si>
    <t>Phone Contract</t>
  </si>
  <si>
    <t>--</t>
  </si>
  <si>
    <t>Negative Income?</t>
  </si>
  <si>
    <t>Net Flow</t>
  </si>
  <si>
    <t>Sky Broadband + Sky Sports</t>
  </si>
  <si>
    <t>Broadband &amp; TV Upfront Fee</t>
  </si>
  <si>
    <t>Hygiene &amp; Cosmetics</t>
  </si>
  <si>
    <t>Total Expenses Hillary</t>
  </si>
  <si>
    <t>Total Expenses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</si>
</sst>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0" xfId="0" applyAlignment="1"/>
    <xf numFmtId="0" fontId="0" fillId="0" borderId="5" xfId="0" applyBorder="1"/>
    <xf numFmtId="0" fontId="0" fillId="10" borderId="8" xfId="0" applyFill="1" applyBorder="1"/>
    <xf numFmtId="0" fontId="0" fillId="7" borderId="12" xfId="0" applyFill="1" applyBorder="1"/>
    <xf numFmtId="0" fontId="0" fillId="7" borderId="13" xfId="0" applyFill="1" applyBorder="1"/>
    <xf numFmtId="10" fontId="0" fillId="7" borderId="13" xfId="0" applyNumberFormat="1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16" xfId="0" applyNumberFormat="1" applyFill="1" applyBorder="1"/>
    <xf numFmtId="164" fontId="0" fillId="7" borderId="16" xfId="0" applyNumberFormat="1" applyFill="1" applyBorder="1"/>
    <xf numFmtId="0" fontId="0" fillId="7" borderId="17" xfId="0" applyFill="1" applyBorder="1"/>
    <xf numFmtId="0" fontId="0" fillId="13" borderId="18" xfId="0" applyFill="1" applyBorder="1"/>
    <xf numFmtId="0" fontId="0" fillId="13" borderId="19" xfId="0" applyFill="1" applyBorder="1"/>
    <xf numFmtId="10" fontId="0" fillId="13" borderId="19" xfId="0" applyNumberFormat="1" applyFill="1" applyBorder="1"/>
    <xf numFmtId="0" fontId="0" fillId="13" borderId="19" xfId="0" applyNumberFormat="1" applyFill="1" applyBorder="1"/>
    <xf numFmtId="164" fontId="0" fillId="13" borderId="19" xfId="0" applyNumberFormat="1" applyFill="1" applyBorder="1"/>
    <xf numFmtId="0" fontId="0" fillId="13" borderId="2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164" fontId="0" fillId="5" borderId="15" xfId="0" applyNumberFormat="1" applyFill="1" applyBorder="1"/>
    <xf numFmtId="164" fontId="0" fillId="5" borderId="16" xfId="0" applyNumberFormat="1" applyFill="1" applyBorder="1"/>
    <xf numFmtId="164" fontId="0" fillId="5" borderId="17" xfId="0" applyNumberFormat="1" applyFill="1" applyBorder="1"/>
    <xf numFmtId="164" fontId="0" fillId="5" borderId="18" xfId="0" applyNumberFormat="1" applyFill="1" applyBorder="1"/>
    <xf numFmtId="164" fontId="0" fillId="5" borderId="19" xfId="0" applyNumberFormat="1" applyFill="1" applyBorder="1"/>
    <xf numFmtId="164" fontId="0" fillId="5" borderId="20" xfId="0" applyNumberFormat="1" applyFill="1" applyBorder="1"/>
    <xf numFmtId="0" fontId="0" fillId="8" borderId="21" xfId="0" applyFill="1" applyBorder="1"/>
    <xf numFmtId="0" fontId="0" fillId="12" borderId="8" xfId="0" applyFill="1" applyBorder="1"/>
    <xf numFmtId="0" fontId="0" fillId="8" borderId="22" xfId="0" applyFill="1" applyBorder="1"/>
    <xf numFmtId="0" fontId="0" fillId="10" borderId="21" xfId="0" applyFill="1" applyBorder="1"/>
    <xf numFmtId="0" fontId="0" fillId="6" borderId="8" xfId="0" applyFill="1" applyBorder="1"/>
    <xf numFmtId="0" fontId="0" fillId="11" borderId="8" xfId="0" applyFill="1" applyBorder="1"/>
    <xf numFmtId="0" fontId="0" fillId="9" borderId="22" xfId="0" applyFill="1" applyBorder="1"/>
    <xf numFmtId="0" fontId="0" fillId="3" borderId="11" xfId="0" applyFill="1" applyBorder="1"/>
    <xf numFmtId="0" fontId="0" fillId="2" borderId="9" xfId="0" applyFill="1" applyBorder="1"/>
    <xf numFmtId="0" fontId="0" fillId="3" borderId="9" xfId="0" applyFill="1" applyBorder="1"/>
    <xf numFmtId="164" fontId="0" fillId="3" borderId="24" xfId="0" applyNumberFormat="1" applyFill="1" applyBorder="1"/>
    <xf numFmtId="0" fontId="0" fillId="2" borderId="10" xfId="0" applyFill="1" applyBorder="1"/>
    <xf numFmtId="0" fontId="0" fillId="2" borderId="29" xfId="0" applyFill="1" applyBorder="1"/>
    <xf numFmtId="0" fontId="0" fillId="2" borderId="25" xfId="0" applyFill="1" applyBorder="1"/>
    <xf numFmtId="0" fontId="0" fillId="2" borderId="30" xfId="0" applyFill="1" applyBorder="1"/>
    <xf numFmtId="164" fontId="0" fillId="3" borderId="27" xfId="0" applyNumberFormat="1" applyFill="1" applyBorder="1"/>
    <xf numFmtId="164" fontId="0" fillId="3" borderId="28" xfId="0" applyNumberFormat="1" applyFill="1" applyBorder="1"/>
    <xf numFmtId="164" fontId="0" fillId="8" borderId="11" xfId="0" applyNumberFormat="1" applyFill="1" applyBorder="1" applyAlignment="1">
      <alignment horizontal="center"/>
    </xf>
    <xf numFmtId="164" fontId="0" fillId="8" borderId="31" xfId="0" applyNumberFormat="1" applyFill="1" applyBorder="1" applyAlignment="1">
      <alignment horizontal="center"/>
    </xf>
    <xf numFmtId="164" fontId="0" fillId="8" borderId="23" xfId="0" applyNumberFormat="1" applyFill="1" applyBorder="1" applyAlignment="1">
      <alignment horizontal="center"/>
    </xf>
    <xf numFmtId="164" fontId="0" fillId="8" borderId="26" xfId="0" applyNumberFormat="1" applyFill="1" applyBorder="1" applyAlignment="1">
      <alignment horizontal="center"/>
    </xf>
    <xf numFmtId="164" fontId="0" fillId="12" borderId="9" xfId="0" applyNumberFormat="1" applyFill="1" applyBorder="1" applyAlignment="1">
      <alignment horizontal="center"/>
    </xf>
    <xf numFmtId="164" fontId="0" fillId="12" borderId="32" xfId="0" applyNumberFormat="1" applyFill="1" applyBorder="1" applyAlignment="1">
      <alignment horizontal="center"/>
    </xf>
    <xf numFmtId="164" fontId="0" fillId="12" borderId="24" xfId="0" applyNumberFormat="1" applyFill="1" applyBorder="1" applyAlignment="1">
      <alignment horizontal="center"/>
    </xf>
    <xf numFmtId="164" fontId="0" fillId="12" borderId="28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8" borderId="33" xfId="0" applyNumberFormat="1" applyFill="1" applyBorder="1" applyAlignment="1">
      <alignment horizontal="center"/>
    </xf>
    <xf numFmtId="164" fontId="0" fillId="8" borderId="25" xfId="0" applyNumberFormat="1" applyFill="1" applyBorder="1" applyAlignment="1">
      <alignment horizontal="center"/>
    </xf>
    <xf numFmtId="164" fontId="0" fillId="8" borderId="30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10" borderId="9" xfId="0" applyNumberFormat="1" applyFill="1" applyBorder="1" applyAlignment="1">
      <alignment horizontal="center"/>
    </xf>
    <xf numFmtId="164" fontId="0" fillId="11" borderId="9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6" borderId="4" xfId="0" applyFill="1" applyBorder="1"/>
    <xf numFmtId="164" fontId="0" fillId="6" borderId="34" xfId="0" quotePrefix="1" applyNumberFormat="1" applyFill="1" applyBorder="1" applyAlignment="1">
      <alignment horizontal="center"/>
    </xf>
    <xf numFmtId="0" fontId="0" fillId="15" borderId="8" xfId="0" applyFill="1" applyBorder="1"/>
    <xf numFmtId="0" fontId="0" fillId="14" borderId="8" xfId="0" applyFill="1" applyBorder="1"/>
    <xf numFmtId="164" fontId="0" fillId="15" borderId="9" xfId="0" quotePrefix="1" applyNumberFormat="1" applyFill="1" applyBorder="1" applyAlignment="1">
      <alignment horizontal="center"/>
    </xf>
    <xf numFmtId="164" fontId="0" fillId="15" borderId="9" xfId="0" applyNumberFormat="1" applyFill="1" applyBorder="1" applyAlignment="1">
      <alignment horizontal="center"/>
    </xf>
    <xf numFmtId="164" fontId="0" fillId="14" borderId="9" xfId="0" applyNumberFormat="1" applyFill="1" applyBorder="1" applyAlignment="1">
      <alignment horizontal="center"/>
    </xf>
    <xf numFmtId="0" fontId="0" fillId="2" borderId="8" xfId="0" applyFill="1" applyBorder="1"/>
    <xf numFmtId="164" fontId="0" fillId="2" borderId="9" xfId="0" quotePrefix="1" applyNumberFormat="1" applyFill="1" applyBorder="1" applyAlignment="1">
      <alignment horizontal="center"/>
    </xf>
    <xf numFmtId="164" fontId="0" fillId="10" borderId="12" xfId="0" applyNumberFormat="1" applyFill="1" applyBorder="1" applyAlignment="1">
      <alignment horizontal="center"/>
    </xf>
    <xf numFmtId="164" fontId="0" fillId="10" borderId="13" xfId="0" applyNumberFormat="1" applyFill="1" applyBorder="1" applyAlignment="1">
      <alignment horizontal="center"/>
    </xf>
    <xf numFmtId="164" fontId="0" fillId="10" borderId="14" xfId="0" applyNumberFormat="1" applyFill="1" applyBorder="1" applyAlignment="1">
      <alignment horizontal="center"/>
    </xf>
    <xf numFmtId="164" fontId="0" fillId="6" borderId="15" xfId="0" applyNumberFormat="1" applyFill="1" applyBorder="1" applyAlignment="1">
      <alignment horizontal="center"/>
    </xf>
    <xf numFmtId="164" fontId="0" fillId="6" borderId="16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164" fontId="0" fillId="10" borderId="15" xfId="0" applyNumberFormat="1" applyFill="1" applyBorder="1" applyAlignment="1">
      <alignment horizontal="center"/>
    </xf>
    <xf numFmtId="164" fontId="0" fillId="10" borderId="16" xfId="0" applyNumberFormat="1" applyFill="1" applyBorder="1" applyAlignment="1">
      <alignment horizontal="center"/>
    </xf>
    <xf numFmtId="164" fontId="0" fillId="10" borderId="17" xfId="0" applyNumberFormat="1" applyFill="1" applyBorder="1" applyAlignment="1">
      <alignment horizontal="center"/>
    </xf>
    <xf numFmtId="164" fontId="0" fillId="15" borderId="15" xfId="0" quotePrefix="1" applyNumberFormat="1" applyFill="1" applyBorder="1" applyAlignment="1">
      <alignment horizontal="center"/>
    </xf>
    <xf numFmtId="164" fontId="0" fillId="15" borderId="16" xfId="0" quotePrefix="1" applyNumberFormat="1" applyFill="1" applyBorder="1" applyAlignment="1">
      <alignment horizontal="center"/>
    </xf>
    <xf numFmtId="164" fontId="0" fillId="15" borderId="17" xfId="0" quotePrefix="1" applyNumberFormat="1" applyFill="1" applyBorder="1" applyAlignment="1">
      <alignment horizontal="center"/>
    </xf>
    <xf numFmtId="164" fontId="0" fillId="14" borderId="15" xfId="0" applyNumberFormat="1" applyFill="1" applyBorder="1" applyAlignment="1">
      <alignment horizontal="center"/>
    </xf>
    <xf numFmtId="164" fontId="0" fillId="14" borderId="16" xfId="0" applyNumberFormat="1" applyFill="1" applyBorder="1" applyAlignment="1">
      <alignment horizontal="center"/>
    </xf>
    <xf numFmtId="164" fontId="0" fillId="14" borderId="17" xfId="0" applyNumberFormat="1" applyFill="1" applyBorder="1" applyAlignment="1">
      <alignment horizontal="center"/>
    </xf>
    <xf numFmtId="164" fontId="0" fillId="15" borderId="15" xfId="0" applyNumberFormat="1" applyFill="1" applyBorder="1" applyAlignment="1">
      <alignment horizontal="center"/>
    </xf>
    <xf numFmtId="164" fontId="0" fillId="15" borderId="16" xfId="0" applyNumberFormat="1" applyFill="1" applyBorder="1" applyAlignment="1">
      <alignment horizontal="center"/>
    </xf>
    <xf numFmtId="164" fontId="0" fillId="15" borderId="17" xfId="0" applyNumberFormat="1" applyFill="1" applyBorder="1" applyAlignment="1">
      <alignment horizontal="center"/>
    </xf>
    <xf numFmtId="164" fontId="0" fillId="2" borderId="15" xfId="0" quotePrefix="1" applyNumberFormat="1" applyFill="1" applyBorder="1" applyAlignment="1">
      <alignment horizontal="center"/>
    </xf>
    <xf numFmtId="164" fontId="0" fillId="2" borderId="16" xfId="0" quotePrefix="1" applyNumberFormat="1" applyFill="1" applyBorder="1" applyAlignment="1">
      <alignment horizontal="center"/>
    </xf>
    <xf numFmtId="164" fontId="0" fillId="2" borderId="17" xfId="0" quotePrefix="1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11" borderId="15" xfId="0" applyNumberFormat="1" applyFill="1" applyBorder="1" applyAlignment="1">
      <alignment horizontal="center"/>
    </xf>
    <xf numFmtId="164" fontId="0" fillId="11" borderId="16" xfId="0" applyNumberFormat="1" applyFill="1" applyBorder="1" applyAlignment="1">
      <alignment horizontal="center"/>
    </xf>
    <xf numFmtId="164" fontId="0" fillId="11" borderId="17" xfId="0" applyNumberFormat="1" applyFill="1" applyBorder="1" applyAlignment="1">
      <alignment horizontal="center"/>
    </xf>
    <xf numFmtId="164" fontId="0" fillId="9" borderId="15" xfId="0" applyNumberFormat="1" applyFill="1" applyBorder="1" applyAlignment="1">
      <alignment horizontal="center"/>
    </xf>
    <xf numFmtId="164" fontId="0" fillId="9" borderId="16" xfId="0" applyNumberFormat="1" applyFill="1" applyBorder="1" applyAlignment="1">
      <alignment horizontal="center"/>
    </xf>
    <xf numFmtId="164" fontId="0" fillId="9" borderId="17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64" fontId="0" fillId="2" borderId="38" xfId="0" applyNumberFormat="1" applyFill="1" applyBorder="1" applyAlignment="1">
      <alignment horizontal="center"/>
    </xf>
    <xf numFmtId="164" fontId="0" fillId="2" borderId="39" xfId="0" applyNumberFormat="1" applyFill="1" applyBorder="1" applyAlignment="1">
      <alignment horizontal="center"/>
    </xf>
    <xf numFmtId="164" fontId="0" fillId="3" borderId="40" xfId="0" applyNumberFormat="1" applyFill="1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3" borderId="40" xfId="0" applyNumberFormat="1" applyFill="1" applyBorder="1"/>
    <xf numFmtId="0" fontId="0" fillId="2" borderId="40" xfId="0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0" fontId="0" fillId="10" borderId="36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A7D971"/>
        </patternFill>
      </fill>
    </dxf>
    <dxf>
      <fill>
        <patternFill>
          <bgColor rgb="FFE96E61"/>
        </patternFill>
      </fill>
    </dxf>
    <dxf>
      <fill>
        <patternFill>
          <bgColor rgb="FFAFDC7E"/>
        </patternFill>
      </fill>
    </dxf>
    <dxf>
      <fill>
        <patternFill>
          <bgColor rgb="FFE96E65"/>
        </patternFill>
      </fill>
    </dxf>
  </dxfs>
  <tableStyles count="0" defaultTableStyle="TableStyleMedium2" defaultPivotStyle="PivotStyleLight16"/>
  <colors>
    <mruColors>
      <color rgb="FFE96E61"/>
      <color rgb="FFA7D971"/>
      <color rgb="FFAFDC7E"/>
      <color rgb="FFE96E65"/>
      <color rgb="FFFF6600"/>
      <color rgb="FFFB7B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4"/>
  <sheetViews>
    <sheetView tabSelected="1" zoomScale="85" zoomScaleNormal="85" workbookViewId="0">
      <selection activeCell="D62" sqref="D62"/>
    </sheetView>
  </sheetViews>
  <sheetFormatPr defaultRowHeight="14.4" x14ac:dyDescent="0.3"/>
  <cols>
    <col min="1" max="1" width="6.44140625" customWidth="1"/>
    <col min="2" max="2" width="8.33203125" customWidth="1"/>
    <col min="3" max="3" width="36.44140625" customWidth="1"/>
    <col min="4" max="4" width="13.33203125" customWidth="1"/>
    <col min="5" max="5" width="15.33203125" customWidth="1"/>
    <col min="6" max="6" width="16.88671875" customWidth="1"/>
    <col min="7" max="7" width="11.33203125" customWidth="1"/>
    <col min="8" max="8" width="20.5546875" customWidth="1"/>
    <col min="9" max="9" width="17" customWidth="1"/>
    <col min="10" max="11" width="19.109375" customWidth="1"/>
    <col min="12" max="12" width="16.6640625" customWidth="1"/>
    <col min="13" max="14" width="17.33203125" customWidth="1"/>
    <col min="15" max="15" width="12.44140625" customWidth="1"/>
    <col min="16" max="16" width="12.6640625" customWidth="1"/>
  </cols>
  <sheetData>
    <row r="2" spans="1:17" ht="15" thickBot="1" x14ac:dyDescent="0.35"/>
    <row r="3" spans="1:17" x14ac:dyDescent="0.3">
      <c r="B3" s="24"/>
      <c r="C3" s="25" t="s">
        <v>25</v>
      </c>
      <c r="D3" s="25" t="s">
        <v>26</v>
      </c>
      <c r="E3" s="25" t="s">
        <v>27</v>
      </c>
      <c r="F3" s="25" t="s">
        <v>28</v>
      </c>
      <c r="G3" s="25" t="s">
        <v>29</v>
      </c>
      <c r="H3" s="25" t="s">
        <v>30</v>
      </c>
      <c r="I3" s="25" t="s">
        <v>31</v>
      </c>
      <c r="J3" s="25" t="s">
        <v>33</v>
      </c>
      <c r="K3" s="25" t="s">
        <v>34</v>
      </c>
      <c r="L3" s="26" t="s">
        <v>35</v>
      </c>
    </row>
    <row r="4" spans="1:17" x14ac:dyDescent="0.3">
      <c r="B4" s="27" t="s">
        <v>24</v>
      </c>
      <c r="C4" s="28">
        <v>36000</v>
      </c>
      <c r="D4" s="28">
        <v>11000</v>
      </c>
      <c r="E4" s="28">
        <f xml:space="preserve"> C4 - D4</f>
        <v>25000</v>
      </c>
      <c r="F4" s="28">
        <f xml:space="preserve"> E4 * 0.2</f>
        <v>5000</v>
      </c>
      <c r="G4" s="28">
        <v>8060</v>
      </c>
      <c r="H4" s="28">
        <f xml:space="preserve"> C4 - G4</f>
        <v>27940</v>
      </c>
      <c r="I4" s="28">
        <f xml:space="preserve"> H4 *0.12</f>
        <v>3352.7999999999997</v>
      </c>
      <c r="J4" s="28">
        <f xml:space="preserve"> I4 + F4</f>
        <v>8352.7999999999993</v>
      </c>
      <c r="K4" s="28">
        <f>C4 - J4</f>
        <v>27647.200000000001</v>
      </c>
      <c r="L4" s="29">
        <f>K4/12</f>
        <v>2303.9333333333334</v>
      </c>
    </row>
    <row r="5" spans="1:17" ht="15" thickBot="1" x14ac:dyDescent="0.35">
      <c r="B5" s="30" t="s">
        <v>32</v>
      </c>
      <c r="C5" s="31">
        <v>26000</v>
      </c>
      <c r="D5" s="31">
        <v>11000</v>
      </c>
      <c r="E5" s="31">
        <f xml:space="preserve"> C5 - D5</f>
        <v>15000</v>
      </c>
      <c r="F5" s="31">
        <f xml:space="preserve"> E5 * 0.2</f>
        <v>3000</v>
      </c>
      <c r="G5" s="31">
        <v>8060</v>
      </c>
      <c r="H5" s="31">
        <f xml:space="preserve"> C5 - G5</f>
        <v>17940</v>
      </c>
      <c r="I5" s="31">
        <f>H5*0.12</f>
        <v>2152.7999999999997</v>
      </c>
      <c r="J5" s="31">
        <f xml:space="preserve"> I5 + F5</f>
        <v>5152.7999999999993</v>
      </c>
      <c r="K5" s="31">
        <f xml:space="preserve"> C5 - J5</f>
        <v>20847.2</v>
      </c>
      <c r="L5" s="32">
        <f>K5/12</f>
        <v>1737.2666666666667</v>
      </c>
    </row>
    <row r="6" spans="1:17" ht="15" thickBot="1" x14ac:dyDescent="0.35">
      <c r="C6" s="1"/>
      <c r="D6" s="1"/>
      <c r="E6" s="1"/>
      <c r="G6" s="1"/>
    </row>
    <row r="7" spans="1:17" x14ac:dyDescent="0.3">
      <c r="B7" s="8" t="s">
        <v>0</v>
      </c>
      <c r="C7" s="9" t="s">
        <v>1</v>
      </c>
      <c r="D7" s="10" t="s">
        <v>10</v>
      </c>
      <c r="E7" s="9" t="s">
        <v>2</v>
      </c>
      <c r="F7" s="9" t="s">
        <v>3</v>
      </c>
      <c r="G7" s="9" t="s">
        <v>4</v>
      </c>
      <c r="H7" s="9" t="s">
        <v>16</v>
      </c>
      <c r="I7" s="9" t="s">
        <v>19</v>
      </c>
      <c r="J7" s="9" t="s">
        <v>14</v>
      </c>
      <c r="K7" s="9" t="s">
        <v>20</v>
      </c>
      <c r="L7" s="9" t="s">
        <v>23</v>
      </c>
      <c r="M7" s="9" t="s">
        <v>21</v>
      </c>
      <c r="N7" s="9" t="s">
        <v>22</v>
      </c>
      <c r="O7" s="11" t="s">
        <v>82</v>
      </c>
    </row>
    <row r="8" spans="1:17" x14ac:dyDescent="0.3">
      <c r="B8" s="12" t="s">
        <v>5</v>
      </c>
      <c r="C8" s="13" t="s">
        <v>13</v>
      </c>
      <c r="D8" s="14">
        <v>0.03</v>
      </c>
      <c r="E8" s="14">
        <v>0.6</v>
      </c>
      <c r="F8" s="14">
        <v>1.84E-2</v>
      </c>
      <c r="G8" s="13" t="s">
        <v>6</v>
      </c>
      <c r="H8" s="14" t="s">
        <v>17</v>
      </c>
      <c r="I8" s="15" t="s">
        <v>7</v>
      </c>
      <c r="J8" s="16">
        <v>1783</v>
      </c>
      <c r="K8" s="16">
        <v>273919.2</v>
      </c>
      <c r="L8" s="16">
        <f>K8 + J8</f>
        <v>275702.2</v>
      </c>
      <c r="M8" s="16">
        <v>787</v>
      </c>
      <c r="N8" s="16">
        <v>944.58</v>
      </c>
      <c r="O8" s="17" t="s">
        <v>83</v>
      </c>
    </row>
    <row r="9" spans="1:17" x14ac:dyDescent="0.3">
      <c r="A9" s="3"/>
      <c r="B9" s="12" t="s">
        <v>5</v>
      </c>
      <c r="C9" s="13" t="s">
        <v>13</v>
      </c>
      <c r="D9" s="14">
        <v>3.3000000000000002E-2</v>
      </c>
      <c r="E9" s="14">
        <v>0.6</v>
      </c>
      <c r="F9" s="14">
        <v>1.09E-2</v>
      </c>
      <c r="G9" s="13" t="s">
        <v>8</v>
      </c>
      <c r="H9" s="14" t="s">
        <v>17</v>
      </c>
      <c r="I9" s="15" t="s">
        <v>9</v>
      </c>
      <c r="J9" s="16">
        <v>1783</v>
      </c>
      <c r="K9" s="16">
        <v>278822</v>
      </c>
      <c r="L9" s="16">
        <f xml:space="preserve"> K9 + J9</f>
        <v>280605</v>
      </c>
      <c r="M9" s="16">
        <v>720</v>
      </c>
      <c r="N9" s="16">
        <v>944.58</v>
      </c>
      <c r="O9" s="17" t="s">
        <v>83</v>
      </c>
    </row>
    <row r="10" spans="1:17" x14ac:dyDescent="0.3">
      <c r="B10" s="12" t="s">
        <v>11</v>
      </c>
      <c r="C10" s="13" t="s">
        <v>12</v>
      </c>
      <c r="D10" s="14">
        <v>3.4000000000000002E-2</v>
      </c>
      <c r="E10" s="14">
        <v>0.65</v>
      </c>
      <c r="F10" s="14">
        <v>9.7999999999999997E-3</v>
      </c>
      <c r="G10" s="13" t="s">
        <v>8</v>
      </c>
      <c r="H10" s="14" t="s">
        <v>18</v>
      </c>
      <c r="I10" s="15" t="s">
        <v>9</v>
      </c>
      <c r="J10" s="16">
        <v>2160</v>
      </c>
      <c r="K10" s="16">
        <v>305883</v>
      </c>
      <c r="L10" s="16">
        <f xml:space="preserve"> K10 + J10</f>
        <v>308043</v>
      </c>
      <c r="M10" s="16">
        <v>710.58</v>
      </c>
      <c r="N10" s="16">
        <v>1042.97</v>
      </c>
      <c r="O10" s="17" t="s">
        <v>83</v>
      </c>
    </row>
    <row r="11" spans="1:17" ht="15" thickBot="1" x14ac:dyDescent="0.35">
      <c r="B11" s="18" t="s">
        <v>85</v>
      </c>
      <c r="C11" s="19" t="s">
        <v>15</v>
      </c>
      <c r="D11" s="20">
        <v>2.1999999999999999E-2</v>
      </c>
      <c r="E11" s="20">
        <v>0.6</v>
      </c>
      <c r="F11" s="20">
        <v>1.3899999999999999E-2</v>
      </c>
      <c r="G11" s="19" t="s">
        <v>8</v>
      </c>
      <c r="H11" s="20">
        <v>2.24E-2</v>
      </c>
      <c r="I11" s="21" t="s">
        <v>9</v>
      </c>
      <c r="J11" s="22">
        <v>1114</v>
      </c>
      <c r="K11" s="22">
        <v>244636</v>
      </c>
      <c r="L11" s="22">
        <f xml:space="preserve"> K11 + J11</f>
        <v>245750</v>
      </c>
      <c r="M11" s="22">
        <v>746.15</v>
      </c>
      <c r="N11" s="22">
        <v>817.39</v>
      </c>
      <c r="O11" s="23" t="s">
        <v>84</v>
      </c>
    </row>
    <row r="12" spans="1:17" ht="15" thickBot="1" x14ac:dyDescent="0.35">
      <c r="C12" s="1"/>
      <c r="D12" s="1"/>
      <c r="E12" s="1"/>
      <c r="G12" s="1"/>
    </row>
    <row r="13" spans="1:17" x14ac:dyDescent="0.3">
      <c r="B13" s="122" t="s">
        <v>36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4"/>
    </row>
    <row r="14" spans="1:17" x14ac:dyDescent="0.3">
      <c r="B14" s="128"/>
      <c r="C14" s="117"/>
      <c r="D14" s="117" t="s">
        <v>51</v>
      </c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8"/>
      <c r="Q14" s="5"/>
    </row>
    <row r="15" spans="1:17" ht="15" thickBot="1" x14ac:dyDescent="0.35">
      <c r="B15" s="128"/>
      <c r="C15" s="117"/>
      <c r="D15" s="4" t="s">
        <v>68</v>
      </c>
      <c r="E15" s="3" t="s">
        <v>39</v>
      </c>
      <c r="F15" s="3" t="s">
        <v>40</v>
      </c>
      <c r="G15" s="3" t="s">
        <v>41</v>
      </c>
      <c r="H15" s="3" t="s">
        <v>42</v>
      </c>
      <c r="I15" s="3" t="s">
        <v>43</v>
      </c>
      <c r="J15" s="3" t="s">
        <v>44</v>
      </c>
      <c r="K15" s="3" t="s">
        <v>45</v>
      </c>
      <c r="L15" s="3" t="s">
        <v>46</v>
      </c>
      <c r="M15" s="3" t="s">
        <v>47</v>
      </c>
      <c r="N15" s="3" t="s">
        <v>48</v>
      </c>
      <c r="O15" s="3" t="s">
        <v>49</v>
      </c>
      <c r="P15" s="6" t="s">
        <v>50</v>
      </c>
    </row>
    <row r="16" spans="1:17" x14ac:dyDescent="0.3">
      <c r="B16" s="125" t="s">
        <v>66</v>
      </c>
      <c r="C16" s="33" t="s">
        <v>37</v>
      </c>
      <c r="D16" s="50">
        <v>13748</v>
      </c>
      <c r="E16" s="51">
        <v>13748</v>
      </c>
      <c r="F16" s="52">
        <f t="shared" ref="F16:P16" si="0">E61</f>
        <v>452.16333333333387</v>
      </c>
      <c r="G16" s="52">
        <f t="shared" si="0"/>
        <v>570.29666666666662</v>
      </c>
      <c r="H16" s="52">
        <f t="shared" si="0"/>
        <v>688.42999999999893</v>
      </c>
      <c r="I16" s="52">
        <f t="shared" si="0"/>
        <v>294.68833333333259</v>
      </c>
      <c r="J16" s="52">
        <f t="shared" si="0"/>
        <v>412.82166666666535</v>
      </c>
      <c r="K16" s="52">
        <f t="shared" si="0"/>
        <v>530.95499999999856</v>
      </c>
      <c r="L16" s="52">
        <f t="shared" si="0"/>
        <v>222.21333333333223</v>
      </c>
      <c r="M16" s="52">
        <f t="shared" si="0"/>
        <v>740.34666666666499</v>
      </c>
      <c r="N16" s="52">
        <f t="shared" si="0"/>
        <v>258.47999999999865</v>
      </c>
      <c r="O16" s="52">
        <f t="shared" si="0"/>
        <v>264.73833333333141</v>
      </c>
      <c r="P16" s="53">
        <f t="shared" si="0"/>
        <v>908.87166666666462</v>
      </c>
    </row>
    <row r="17" spans="2:18" x14ac:dyDescent="0.3">
      <c r="B17" s="126"/>
      <c r="C17" s="34" t="s">
        <v>66</v>
      </c>
      <c r="D17" s="54">
        <f>E17*12</f>
        <v>48494.399999999994</v>
      </c>
      <c r="E17" s="55">
        <f>L4+L5</f>
        <v>4041.2</v>
      </c>
      <c r="F17" s="56">
        <f>L4+L5</f>
        <v>4041.2</v>
      </c>
      <c r="G17" s="56">
        <f>L4+L5</f>
        <v>4041.2</v>
      </c>
      <c r="H17" s="56">
        <f>L4+L5</f>
        <v>4041.2</v>
      </c>
      <c r="I17" s="56">
        <f>L4+L5</f>
        <v>4041.2</v>
      </c>
      <c r="J17" s="56">
        <f>L4+L5</f>
        <v>4041.2</v>
      </c>
      <c r="K17" s="56">
        <f>L4+L5</f>
        <v>4041.2</v>
      </c>
      <c r="L17" s="56">
        <f>L4+L5</f>
        <v>4041.2</v>
      </c>
      <c r="M17" s="56">
        <f>L4+L5</f>
        <v>4041.2</v>
      </c>
      <c r="N17" s="56">
        <f>L4+L5</f>
        <v>4041.2</v>
      </c>
      <c r="O17" s="56">
        <f>L4+L5</f>
        <v>4041.2</v>
      </c>
      <c r="P17" s="57">
        <f>L4+L5</f>
        <v>4041.2</v>
      </c>
      <c r="Q17" s="2"/>
      <c r="R17" s="2"/>
    </row>
    <row r="18" spans="2:18" ht="15" thickBot="1" x14ac:dyDescent="0.35">
      <c r="B18" s="127"/>
      <c r="C18" s="35" t="s">
        <v>76</v>
      </c>
      <c r="D18" s="58">
        <f>D16+D17</f>
        <v>62242.399999999994</v>
      </c>
      <c r="E18" s="59">
        <f t="shared" ref="E18:P18" si="1">E16+E17</f>
        <v>17789.2</v>
      </c>
      <c r="F18" s="60">
        <f t="shared" si="1"/>
        <v>4493.3633333333337</v>
      </c>
      <c r="G18" s="60">
        <f t="shared" si="1"/>
        <v>4611.496666666666</v>
      </c>
      <c r="H18" s="60">
        <f t="shared" si="1"/>
        <v>4729.6299999999992</v>
      </c>
      <c r="I18" s="60">
        <f t="shared" si="1"/>
        <v>4335.8883333333324</v>
      </c>
      <c r="J18" s="60">
        <f t="shared" si="1"/>
        <v>4454.0216666666656</v>
      </c>
      <c r="K18" s="60">
        <f t="shared" si="1"/>
        <v>4572.1549999999988</v>
      </c>
      <c r="L18" s="60">
        <f t="shared" si="1"/>
        <v>4263.413333333332</v>
      </c>
      <c r="M18" s="60">
        <f t="shared" si="1"/>
        <v>4781.5466666666653</v>
      </c>
      <c r="N18" s="60">
        <f t="shared" si="1"/>
        <v>4299.6799999999985</v>
      </c>
      <c r="O18" s="60">
        <f t="shared" si="1"/>
        <v>4305.9383333333317</v>
      </c>
      <c r="P18" s="61">
        <f t="shared" si="1"/>
        <v>4950.0716666666649</v>
      </c>
      <c r="Q18" s="2"/>
      <c r="R18" s="2"/>
    </row>
    <row r="19" spans="2:18" ht="15" thickBot="1" x14ac:dyDescent="0.35">
      <c r="B19" s="129" t="s">
        <v>38</v>
      </c>
      <c r="C19" s="68" t="s">
        <v>88</v>
      </c>
      <c r="D19" s="69" t="s">
        <v>92</v>
      </c>
      <c r="E19" s="69" t="s">
        <v>92</v>
      </c>
      <c r="F19" s="69" t="s">
        <v>92</v>
      </c>
      <c r="G19" s="69" t="s">
        <v>92</v>
      </c>
      <c r="H19" s="69" t="s">
        <v>92</v>
      </c>
      <c r="I19" s="69" t="s">
        <v>92</v>
      </c>
      <c r="J19" s="69" t="s">
        <v>92</v>
      </c>
      <c r="K19" s="69" t="s">
        <v>92</v>
      </c>
      <c r="L19" s="69" t="s">
        <v>92</v>
      </c>
      <c r="M19" s="69" t="s">
        <v>92</v>
      </c>
      <c r="N19" s="69" t="s">
        <v>92</v>
      </c>
      <c r="O19" s="69" t="s">
        <v>92</v>
      </c>
      <c r="P19" s="69" t="s">
        <v>92</v>
      </c>
      <c r="Q19" s="2"/>
      <c r="R19" s="2"/>
    </row>
    <row r="20" spans="2:18" x14ac:dyDescent="0.3">
      <c r="B20" s="130"/>
      <c r="C20" s="36" t="s">
        <v>52</v>
      </c>
      <c r="D20" s="62">
        <f>E20*12</f>
        <v>8953.7999999999993</v>
      </c>
      <c r="E20" s="77">
        <f>M11</f>
        <v>746.15</v>
      </c>
      <c r="F20" s="78">
        <f>M11</f>
        <v>746.15</v>
      </c>
      <c r="G20" s="78">
        <f>M11</f>
        <v>746.15</v>
      </c>
      <c r="H20" s="78">
        <f>M11</f>
        <v>746.15</v>
      </c>
      <c r="I20" s="78">
        <f>M11</f>
        <v>746.15</v>
      </c>
      <c r="J20" s="78">
        <f>M11</f>
        <v>746.15</v>
      </c>
      <c r="K20" s="78">
        <f>M11</f>
        <v>746.15</v>
      </c>
      <c r="L20" s="78">
        <f>M11</f>
        <v>746.15</v>
      </c>
      <c r="M20" s="78">
        <f>M11</f>
        <v>746.15</v>
      </c>
      <c r="N20" s="78">
        <f>M11</f>
        <v>746.15</v>
      </c>
      <c r="O20" s="78">
        <f>M11</f>
        <v>746.15</v>
      </c>
      <c r="P20" s="79">
        <f>M11</f>
        <v>746.15</v>
      </c>
      <c r="Q20" s="2"/>
      <c r="R20" s="2"/>
    </row>
    <row r="21" spans="2:18" x14ac:dyDescent="0.3">
      <c r="B21" s="130"/>
      <c r="C21" s="37" t="s">
        <v>60</v>
      </c>
      <c r="D21" s="63">
        <f>J11+1000+5750+760 +1000</f>
        <v>9624</v>
      </c>
      <c r="E21" s="80">
        <f>J11+1000+5750+760 +1000</f>
        <v>9624</v>
      </c>
      <c r="F21" s="81" t="s">
        <v>87</v>
      </c>
      <c r="G21" s="81" t="s">
        <v>87</v>
      </c>
      <c r="H21" s="81" t="s">
        <v>87</v>
      </c>
      <c r="I21" s="81" t="s">
        <v>87</v>
      </c>
      <c r="J21" s="81" t="s">
        <v>87</v>
      </c>
      <c r="K21" s="81" t="s">
        <v>87</v>
      </c>
      <c r="L21" s="81" t="s">
        <v>87</v>
      </c>
      <c r="M21" s="81" t="s">
        <v>87</v>
      </c>
      <c r="N21" s="81" t="s">
        <v>87</v>
      </c>
      <c r="O21" s="81" t="s">
        <v>87</v>
      </c>
      <c r="P21" s="82" t="s">
        <v>87</v>
      </c>
      <c r="Q21" s="2"/>
      <c r="R21" s="2"/>
    </row>
    <row r="22" spans="2:18" x14ac:dyDescent="0.3">
      <c r="B22" s="130"/>
      <c r="C22" s="7" t="s">
        <v>53</v>
      </c>
      <c r="D22" s="64">
        <v>1260</v>
      </c>
      <c r="E22" s="83">
        <f>D22/10</f>
        <v>126</v>
      </c>
      <c r="F22" s="84">
        <f>D22/10</f>
        <v>126</v>
      </c>
      <c r="G22" s="84">
        <f>D22/10</f>
        <v>126</v>
      </c>
      <c r="H22" s="84">
        <f>D22/10</f>
        <v>126</v>
      </c>
      <c r="I22" s="84">
        <f>D22/10</f>
        <v>126</v>
      </c>
      <c r="J22" s="84">
        <f>D22/10</f>
        <v>126</v>
      </c>
      <c r="K22" s="84">
        <f>D22/10</f>
        <v>126</v>
      </c>
      <c r="L22" s="84">
        <f>D22/10</f>
        <v>126</v>
      </c>
      <c r="M22" s="84">
        <f>D22/10</f>
        <v>126</v>
      </c>
      <c r="N22" s="84">
        <f>D22/10</f>
        <v>126</v>
      </c>
      <c r="O22" s="84" t="s">
        <v>87</v>
      </c>
      <c r="P22" s="85" t="s">
        <v>87</v>
      </c>
      <c r="Q22" s="2"/>
      <c r="R22" s="2"/>
    </row>
    <row r="23" spans="2:18" x14ac:dyDescent="0.3">
      <c r="B23" s="130"/>
      <c r="C23" s="37" t="s">
        <v>54</v>
      </c>
      <c r="D23" s="63">
        <v>1102.5</v>
      </c>
      <c r="E23" s="80" t="s">
        <v>87</v>
      </c>
      <c r="F23" s="81" t="s">
        <v>87</v>
      </c>
      <c r="G23" s="81" t="s">
        <v>87</v>
      </c>
      <c r="H23" s="81">
        <f>D23/4</f>
        <v>275.625</v>
      </c>
      <c r="I23" s="81" t="s">
        <v>87</v>
      </c>
      <c r="J23" s="81" t="s">
        <v>87</v>
      </c>
      <c r="K23" s="81">
        <f>D23/4</f>
        <v>275.625</v>
      </c>
      <c r="L23" s="81" t="s">
        <v>87</v>
      </c>
      <c r="M23" s="81" t="s">
        <v>87</v>
      </c>
      <c r="N23" s="81">
        <f>D23/4</f>
        <v>275.625</v>
      </c>
      <c r="O23" s="81" t="s">
        <v>87</v>
      </c>
      <c r="P23" s="82" t="s">
        <v>87</v>
      </c>
      <c r="Q23" s="2"/>
      <c r="R23" s="2"/>
    </row>
    <row r="24" spans="2:18" x14ac:dyDescent="0.3">
      <c r="B24" s="130"/>
      <c r="C24" s="7" t="s">
        <v>55</v>
      </c>
      <c r="D24" s="64">
        <v>945</v>
      </c>
      <c r="E24" s="83" t="s">
        <v>87</v>
      </c>
      <c r="F24" s="84" t="s">
        <v>87</v>
      </c>
      <c r="G24" s="84" t="s">
        <v>87</v>
      </c>
      <c r="H24" s="84">
        <f>D24/4</f>
        <v>236.25</v>
      </c>
      <c r="I24" s="84" t="s">
        <v>87</v>
      </c>
      <c r="J24" s="84" t="s">
        <v>87</v>
      </c>
      <c r="K24" s="84">
        <f>D24/4</f>
        <v>236.25</v>
      </c>
      <c r="L24" s="84" t="s">
        <v>87</v>
      </c>
      <c r="M24" s="84" t="s">
        <v>87</v>
      </c>
      <c r="N24" s="84">
        <f>D24/4</f>
        <v>236.25</v>
      </c>
      <c r="O24" s="84" t="s">
        <v>87</v>
      </c>
      <c r="P24" s="85" t="s">
        <v>87</v>
      </c>
      <c r="Q24" s="2"/>
      <c r="R24" s="2"/>
    </row>
    <row r="25" spans="2:18" x14ac:dyDescent="0.3">
      <c r="B25" s="130"/>
      <c r="C25" s="37" t="s">
        <v>56</v>
      </c>
      <c r="D25" s="63">
        <v>630</v>
      </c>
      <c r="E25" s="80">
        <f>D25/2</f>
        <v>315</v>
      </c>
      <c r="F25" s="81" t="s">
        <v>87</v>
      </c>
      <c r="G25" s="81" t="s">
        <v>87</v>
      </c>
      <c r="H25" s="81" t="s">
        <v>87</v>
      </c>
      <c r="I25" s="81" t="s">
        <v>87</v>
      </c>
      <c r="J25" s="81" t="s">
        <v>87</v>
      </c>
      <c r="K25" s="81">
        <f>D25/2</f>
        <v>315</v>
      </c>
      <c r="L25" s="81" t="s">
        <v>87</v>
      </c>
      <c r="M25" s="81" t="s">
        <v>87</v>
      </c>
      <c r="N25" s="81" t="s">
        <v>87</v>
      </c>
      <c r="O25" s="81" t="s">
        <v>87</v>
      </c>
      <c r="P25" s="82" t="s">
        <v>87</v>
      </c>
      <c r="Q25" s="2"/>
      <c r="R25" s="2"/>
    </row>
    <row r="26" spans="2:18" x14ac:dyDescent="0.3">
      <c r="B26" s="130"/>
      <c r="C26" s="7" t="s">
        <v>57</v>
      </c>
      <c r="D26" s="64">
        <v>315</v>
      </c>
      <c r="E26" s="83">
        <f>D26/12</f>
        <v>26.25</v>
      </c>
      <c r="F26" s="84">
        <f>D26/12</f>
        <v>26.25</v>
      </c>
      <c r="G26" s="84">
        <f>D26/12</f>
        <v>26.25</v>
      </c>
      <c r="H26" s="84">
        <f>D26/12</f>
        <v>26.25</v>
      </c>
      <c r="I26" s="84">
        <f>D26/12</f>
        <v>26.25</v>
      </c>
      <c r="J26" s="84">
        <f>D26/12</f>
        <v>26.25</v>
      </c>
      <c r="K26" s="84">
        <f>D26/12</f>
        <v>26.25</v>
      </c>
      <c r="L26" s="84">
        <f>D26/12</f>
        <v>26.25</v>
      </c>
      <c r="M26" s="84">
        <f>D26/12</f>
        <v>26.25</v>
      </c>
      <c r="N26" s="84">
        <f>D26/12</f>
        <v>26.25</v>
      </c>
      <c r="O26" s="84">
        <f>D26/12</f>
        <v>26.25</v>
      </c>
      <c r="P26" s="85">
        <f>D26/12</f>
        <v>26.25</v>
      </c>
    </row>
    <row r="27" spans="2:18" x14ac:dyDescent="0.3">
      <c r="B27" s="130"/>
      <c r="C27" s="37" t="s">
        <v>71</v>
      </c>
      <c r="D27" s="63">
        <f>SUM(E27:P27)</f>
        <v>4200</v>
      </c>
      <c r="E27" s="80">
        <v>0</v>
      </c>
      <c r="F27" s="81">
        <v>600</v>
      </c>
      <c r="G27" s="81">
        <v>600</v>
      </c>
      <c r="H27" s="81">
        <v>600</v>
      </c>
      <c r="I27" s="81">
        <v>600</v>
      </c>
      <c r="J27" s="81">
        <v>600</v>
      </c>
      <c r="K27" s="81">
        <v>200</v>
      </c>
      <c r="L27" s="81">
        <v>200</v>
      </c>
      <c r="M27" s="81">
        <v>200</v>
      </c>
      <c r="N27" s="81">
        <v>200</v>
      </c>
      <c r="O27" s="81">
        <v>200</v>
      </c>
      <c r="P27" s="82">
        <v>200</v>
      </c>
    </row>
    <row r="28" spans="2:18" x14ac:dyDescent="0.3">
      <c r="B28" s="130"/>
      <c r="C28" s="7" t="s">
        <v>81</v>
      </c>
      <c r="D28" s="64">
        <v>4000</v>
      </c>
      <c r="E28" s="83">
        <v>4000</v>
      </c>
      <c r="F28" s="84" t="s">
        <v>87</v>
      </c>
      <c r="G28" s="84" t="s">
        <v>87</v>
      </c>
      <c r="H28" s="84" t="s">
        <v>87</v>
      </c>
      <c r="I28" s="84" t="s">
        <v>87</v>
      </c>
      <c r="J28" s="84" t="s">
        <v>87</v>
      </c>
      <c r="K28" s="84" t="s">
        <v>87</v>
      </c>
      <c r="L28" s="84" t="s">
        <v>87</v>
      </c>
      <c r="M28" s="84" t="s">
        <v>87</v>
      </c>
      <c r="N28" s="84" t="s">
        <v>87</v>
      </c>
      <c r="O28" s="84" t="s">
        <v>87</v>
      </c>
      <c r="P28" s="85" t="s">
        <v>87</v>
      </c>
    </row>
    <row r="29" spans="2:18" x14ac:dyDescent="0.3">
      <c r="B29" s="130"/>
      <c r="C29" s="37" t="s">
        <v>95</v>
      </c>
      <c r="D29" s="63">
        <f>E29 + (F29*11)</f>
        <v>345</v>
      </c>
      <c r="E29" s="80">
        <v>28.75</v>
      </c>
      <c r="F29" s="80">
        <v>28.75</v>
      </c>
      <c r="G29" s="80">
        <v>28.75</v>
      </c>
      <c r="H29" s="80">
        <v>28.75</v>
      </c>
      <c r="I29" s="80">
        <v>28.75</v>
      </c>
      <c r="J29" s="80">
        <v>28.75</v>
      </c>
      <c r="K29" s="80">
        <v>28.75</v>
      </c>
      <c r="L29" s="80">
        <v>28.75</v>
      </c>
      <c r="M29" s="80">
        <v>28.75</v>
      </c>
      <c r="N29" s="80">
        <v>28.75</v>
      </c>
      <c r="O29" s="80">
        <v>28.75</v>
      </c>
      <c r="P29" s="80">
        <v>28.75</v>
      </c>
    </row>
    <row r="30" spans="2:18" x14ac:dyDescent="0.3">
      <c r="B30" s="130"/>
      <c r="C30" s="7" t="s">
        <v>96</v>
      </c>
      <c r="D30" s="64">
        <v>9.99</v>
      </c>
      <c r="E30" s="64">
        <v>9.99</v>
      </c>
      <c r="F30" s="84" t="s">
        <v>87</v>
      </c>
      <c r="G30" s="84" t="s">
        <v>87</v>
      </c>
      <c r="H30" s="84" t="s">
        <v>87</v>
      </c>
      <c r="I30" s="84" t="s">
        <v>87</v>
      </c>
      <c r="J30" s="84" t="s">
        <v>87</v>
      </c>
      <c r="K30" s="84" t="s">
        <v>87</v>
      </c>
      <c r="L30" s="84" t="s">
        <v>87</v>
      </c>
      <c r="M30" s="84" t="s">
        <v>87</v>
      </c>
      <c r="N30" s="84" t="s">
        <v>87</v>
      </c>
      <c r="O30" s="84" t="s">
        <v>87</v>
      </c>
      <c r="P30" s="85" t="s">
        <v>87</v>
      </c>
    </row>
    <row r="31" spans="2:18" x14ac:dyDescent="0.3">
      <c r="B31" s="130"/>
      <c r="C31" s="37" t="s">
        <v>69</v>
      </c>
      <c r="D31" s="63">
        <f>SUM(E31:P31)</f>
        <v>145</v>
      </c>
      <c r="E31" s="80">
        <v>145</v>
      </c>
      <c r="F31" s="81" t="s">
        <v>87</v>
      </c>
      <c r="G31" s="81" t="s">
        <v>87</v>
      </c>
      <c r="H31" s="81" t="s">
        <v>87</v>
      </c>
      <c r="I31" s="81" t="s">
        <v>87</v>
      </c>
      <c r="J31" s="81" t="s">
        <v>87</v>
      </c>
      <c r="K31" s="81" t="s">
        <v>87</v>
      </c>
      <c r="L31" s="81" t="s">
        <v>87</v>
      </c>
      <c r="M31" s="81" t="s">
        <v>87</v>
      </c>
      <c r="N31" s="81" t="s">
        <v>87</v>
      </c>
      <c r="O31" s="81" t="s">
        <v>87</v>
      </c>
      <c r="P31" s="82" t="s">
        <v>87</v>
      </c>
    </row>
    <row r="32" spans="2:18" x14ac:dyDescent="0.3">
      <c r="B32" s="130"/>
      <c r="C32" s="7" t="s">
        <v>62</v>
      </c>
      <c r="D32" s="64">
        <f>SUM(E32:P32)</f>
        <v>6000</v>
      </c>
      <c r="E32" s="83">
        <v>500</v>
      </c>
      <c r="F32" s="84">
        <v>500</v>
      </c>
      <c r="G32" s="84">
        <v>500</v>
      </c>
      <c r="H32" s="84">
        <v>500</v>
      </c>
      <c r="I32" s="84">
        <v>500</v>
      </c>
      <c r="J32" s="84">
        <v>500</v>
      </c>
      <c r="K32" s="84">
        <v>500</v>
      </c>
      <c r="L32" s="84">
        <v>500</v>
      </c>
      <c r="M32" s="84">
        <v>500</v>
      </c>
      <c r="N32" s="84">
        <v>500</v>
      </c>
      <c r="O32" s="84">
        <v>500</v>
      </c>
      <c r="P32" s="85">
        <v>500</v>
      </c>
    </row>
    <row r="33" spans="2:16" x14ac:dyDescent="0.3">
      <c r="B33" s="130"/>
      <c r="C33" s="37" t="s">
        <v>63</v>
      </c>
      <c r="D33" s="63">
        <f>SUM(E33:P33)</f>
        <v>1200</v>
      </c>
      <c r="E33" s="80">
        <v>100</v>
      </c>
      <c r="F33" s="81">
        <v>100</v>
      </c>
      <c r="G33" s="81">
        <v>100</v>
      </c>
      <c r="H33" s="81">
        <v>100</v>
      </c>
      <c r="I33" s="81">
        <v>100</v>
      </c>
      <c r="J33" s="81">
        <v>100</v>
      </c>
      <c r="K33" s="81">
        <v>100</v>
      </c>
      <c r="L33" s="81">
        <v>100</v>
      </c>
      <c r="M33" s="81">
        <v>100</v>
      </c>
      <c r="N33" s="81">
        <v>100</v>
      </c>
      <c r="O33" s="81">
        <v>100</v>
      </c>
      <c r="P33" s="82">
        <v>100</v>
      </c>
    </row>
    <row r="34" spans="2:16" x14ac:dyDescent="0.3">
      <c r="B34" s="130"/>
      <c r="C34" s="7" t="s">
        <v>65</v>
      </c>
      <c r="D34" s="64">
        <f>2364*2</f>
        <v>4728</v>
      </c>
      <c r="E34" s="83">
        <f>D34/12</f>
        <v>394</v>
      </c>
      <c r="F34" s="84">
        <f>D34/12</f>
        <v>394</v>
      </c>
      <c r="G34" s="84">
        <f>D34/12</f>
        <v>394</v>
      </c>
      <c r="H34" s="84">
        <f>D34/12</f>
        <v>394</v>
      </c>
      <c r="I34" s="84">
        <f>D34/12</f>
        <v>394</v>
      </c>
      <c r="J34" s="84">
        <f>D34/12</f>
        <v>394</v>
      </c>
      <c r="K34" s="84">
        <f>D34/12</f>
        <v>394</v>
      </c>
      <c r="L34" s="84">
        <f>D34/12</f>
        <v>394</v>
      </c>
      <c r="M34" s="84">
        <f>D34/12</f>
        <v>394</v>
      </c>
      <c r="N34" s="84">
        <f>D34/12</f>
        <v>394</v>
      </c>
      <c r="O34" s="84">
        <f>D34/12</f>
        <v>394</v>
      </c>
      <c r="P34" s="85">
        <f>D34/12</f>
        <v>394</v>
      </c>
    </row>
    <row r="35" spans="2:16" x14ac:dyDescent="0.3">
      <c r="B35" s="130"/>
      <c r="C35" s="37" t="s">
        <v>58</v>
      </c>
      <c r="D35" s="63">
        <f>SUM(E35:P35)</f>
        <v>600</v>
      </c>
      <c r="E35" s="80">
        <v>50</v>
      </c>
      <c r="F35" s="81">
        <v>50</v>
      </c>
      <c r="G35" s="81">
        <v>50</v>
      </c>
      <c r="H35" s="81">
        <v>50</v>
      </c>
      <c r="I35" s="81">
        <v>50</v>
      </c>
      <c r="J35" s="81">
        <v>50</v>
      </c>
      <c r="K35" s="81">
        <v>50</v>
      </c>
      <c r="L35" s="81">
        <v>50</v>
      </c>
      <c r="M35" s="81">
        <v>50</v>
      </c>
      <c r="N35" s="81">
        <v>50</v>
      </c>
      <c r="O35" s="81">
        <v>50</v>
      </c>
      <c r="P35" s="82">
        <v>50</v>
      </c>
    </row>
    <row r="36" spans="2:16" x14ac:dyDescent="0.3">
      <c r="B36" s="130"/>
      <c r="C36" s="7" t="s">
        <v>59</v>
      </c>
      <c r="D36" s="64">
        <f>SUM(E36:P36)</f>
        <v>2300</v>
      </c>
      <c r="E36" s="83">
        <v>100</v>
      </c>
      <c r="F36" s="84">
        <v>200</v>
      </c>
      <c r="G36" s="84">
        <v>200</v>
      </c>
      <c r="H36" s="84">
        <v>200</v>
      </c>
      <c r="I36" s="84">
        <v>200</v>
      </c>
      <c r="J36" s="84">
        <v>200</v>
      </c>
      <c r="K36" s="84">
        <v>200</v>
      </c>
      <c r="L36" s="84">
        <v>200</v>
      </c>
      <c r="M36" s="84">
        <v>200</v>
      </c>
      <c r="N36" s="84">
        <v>200</v>
      </c>
      <c r="O36" s="84">
        <v>200</v>
      </c>
      <c r="P36" s="85">
        <v>200</v>
      </c>
    </row>
    <row r="37" spans="2:16" x14ac:dyDescent="0.3">
      <c r="B37" s="130"/>
      <c r="C37" s="37" t="s">
        <v>64</v>
      </c>
      <c r="D37" s="63">
        <f>SUM(E37:P37)</f>
        <v>800</v>
      </c>
      <c r="E37" s="80" t="s">
        <v>87</v>
      </c>
      <c r="F37" s="81" t="s">
        <v>87</v>
      </c>
      <c r="G37" s="81" t="s">
        <v>87</v>
      </c>
      <c r="H37" s="81" t="s">
        <v>87</v>
      </c>
      <c r="I37" s="81" t="s">
        <v>87</v>
      </c>
      <c r="J37" s="81" t="s">
        <v>87</v>
      </c>
      <c r="K37" s="81" t="s">
        <v>87</v>
      </c>
      <c r="L37" s="81" t="s">
        <v>87</v>
      </c>
      <c r="M37" s="81">
        <v>800</v>
      </c>
      <c r="N37" s="81" t="s">
        <v>87</v>
      </c>
      <c r="O37" s="81" t="s">
        <v>87</v>
      </c>
      <c r="P37" s="82" t="s">
        <v>87</v>
      </c>
    </row>
    <row r="38" spans="2:16" x14ac:dyDescent="0.3">
      <c r="B38" s="130"/>
      <c r="C38" s="7" t="s">
        <v>70</v>
      </c>
      <c r="D38" s="64">
        <f xml:space="preserve"> 315000 * 0.005</f>
        <v>1575</v>
      </c>
      <c r="E38" s="83">
        <f xml:space="preserve"> D38/12</f>
        <v>131.25</v>
      </c>
      <c r="F38" s="84">
        <f xml:space="preserve"> D38/12</f>
        <v>131.25</v>
      </c>
      <c r="G38" s="84">
        <f xml:space="preserve"> D38/12</f>
        <v>131.25</v>
      </c>
      <c r="H38" s="84">
        <f xml:space="preserve"> D38/12</f>
        <v>131.25</v>
      </c>
      <c r="I38" s="84">
        <f xml:space="preserve"> D38/12</f>
        <v>131.25</v>
      </c>
      <c r="J38" s="84">
        <f xml:space="preserve"> D38/12</f>
        <v>131.25</v>
      </c>
      <c r="K38" s="84">
        <f xml:space="preserve"> D38/12</f>
        <v>131.25</v>
      </c>
      <c r="L38" s="84">
        <f xml:space="preserve"> D38/12</f>
        <v>131.25</v>
      </c>
      <c r="M38" s="84">
        <f xml:space="preserve"> D38/12</f>
        <v>131.25</v>
      </c>
      <c r="N38" s="84">
        <f xml:space="preserve"> D38/12</f>
        <v>131.25</v>
      </c>
      <c r="O38" s="84">
        <f xml:space="preserve"> D38/12</f>
        <v>131.25</v>
      </c>
      <c r="P38" s="85">
        <f xml:space="preserve"> D38/12</f>
        <v>131.25</v>
      </c>
    </row>
    <row r="39" spans="2:16" x14ac:dyDescent="0.3">
      <c r="B39" s="130"/>
      <c r="C39" s="70" t="s">
        <v>89</v>
      </c>
      <c r="D39" s="72" t="s">
        <v>92</v>
      </c>
      <c r="E39" s="86" t="s">
        <v>92</v>
      </c>
      <c r="F39" s="87" t="s">
        <v>92</v>
      </c>
      <c r="G39" s="87" t="s">
        <v>92</v>
      </c>
      <c r="H39" s="87" t="s">
        <v>92</v>
      </c>
      <c r="I39" s="87" t="s">
        <v>92</v>
      </c>
      <c r="J39" s="87" t="s">
        <v>92</v>
      </c>
      <c r="K39" s="87" t="s">
        <v>92</v>
      </c>
      <c r="L39" s="87" t="s">
        <v>92</v>
      </c>
      <c r="M39" s="87" t="s">
        <v>92</v>
      </c>
      <c r="N39" s="87" t="s">
        <v>92</v>
      </c>
      <c r="O39" s="87" t="s">
        <v>92</v>
      </c>
      <c r="P39" s="88" t="s">
        <v>92</v>
      </c>
    </row>
    <row r="40" spans="2:16" x14ac:dyDescent="0.3">
      <c r="B40" s="130"/>
      <c r="C40" s="71" t="s">
        <v>97</v>
      </c>
      <c r="D40" s="74">
        <f>2400*0.6</f>
        <v>1440</v>
      </c>
      <c r="E40" s="89">
        <f>D40/12</f>
        <v>120</v>
      </c>
      <c r="F40" s="90">
        <f>D40/12</f>
        <v>120</v>
      </c>
      <c r="G40" s="90">
        <f>D40/12</f>
        <v>120</v>
      </c>
      <c r="H40" s="90">
        <f>D40/12</f>
        <v>120</v>
      </c>
      <c r="I40" s="90">
        <f>D40/12</f>
        <v>120</v>
      </c>
      <c r="J40" s="90">
        <f>D40/12</f>
        <v>120</v>
      </c>
      <c r="K40" s="90">
        <f>D40/12</f>
        <v>120</v>
      </c>
      <c r="L40" s="90">
        <f>D40/12</f>
        <v>120</v>
      </c>
      <c r="M40" s="90">
        <f>D40/12</f>
        <v>120</v>
      </c>
      <c r="N40" s="90">
        <f>D40/12</f>
        <v>120</v>
      </c>
      <c r="O40" s="90">
        <f>D40/12</f>
        <v>120</v>
      </c>
      <c r="P40" s="91">
        <f>D40/12</f>
        <v>120</v>
      </c>
    </row>
    <row r="41" spans="2:16" x14ac:dyDescent="0.3">
      <c r="B41" s="130"/>
      <c r="C41" s="70" t="s">
        <v>91</v>
      </c>
      <c r="D41" s="73">
        <f>SUM(E41:P41)</f>
        <v>492</v>
      </c>
      <c r="E41" s="92">
        <v>41</v>
      </c>
      <c r="F41" s="93">
        <v>41</v>
      </c>
      <c r="G41" s="93">
        <v>41</v>
      </c>
      <c r="H41" s="93">
        <v>41</v>
      </c>
      <c r="I41" s="93">
        <v>41</v>
      </c>
      <c r="J41" s="93">
        <v>41</v>
      </c>
      <c r="K41" s="93">
        <v>41</v>
      </c>
      <c r="L41" s="93">
        <v>41</v>
      </c>
      <c r="M41" s="93">
        <v>41</v>
      </c>
      <c r="N41" s="93">
        <v>41</v>
      </c>
      <c r="O41" s="93">
        <v>41</v>
      </c>
      <c r="P41" s="94">
        <v>41</v>
      </c>
    </row>
    <row r="42" spans="2:16" x14ac:dyDescent="0.3">
      <c r="B42" s="130"/>
      <c r="C42" s="71" t="s">
        <v>79</v>
      </c>
      <c r="D42" s="74">
        <v>9.99</v>
      </c>
      <c r="E42" s="89">
        <v>9.99</v>
      </c>
      <c r="F42" s="90" t="s">
        <v>87</v>
      </c>
      <c r="G42" s="90" t="s">
        <v>87</v>
      </c>
      <c r="H42" s="90" t="s">
        <v>87</v>
      </c>
      <c r="I42" s="90" t="s">
        <v>87</v>
      </c>
      <c r="J42" s="90" t="s">
        <v>87</v>
      </c>
      <c r="K42" s="90" t="s">
        <v>87</v>
      </c>
      <c r="L42" s="90" t="s">
        <v>87</v>
      </c>
      <c r="M42" s="90" t="s">
        <v>87</v>
      </c>
      <c r="N42" s="90" t="s">
        <v>87</v>
      </c>
      <c r="O42" s="90" t="s">
        <v>87</v>
      </c>
      <c r="P42" s="91" t="s">
        <v>87</v>
      </c>
    </row>
    <row r="43" spans="2:16" x14ac:dyDescent="0.3">
      <c r="B43" s="130"/>
      <c r="C43" s="70" t="s">
        <v>72</v>
      </c>
      <c r="D43" s="73">
        <v>1800</v>
      </c>
      <c r="E43" s="92">
        <f>D43/12</f>
        <v>150</v>
      </c>
      <c r="F43" s="93">
        <f>D43/12</f>
        <v>150</v>
      </c>
      <c r="G43" s="93">
        <f>D43/12</f>
        <v>150</v>
      </c>
      <c r="H43" s="93">
        <f>D43/12</f>
        <v>150</v>
      </c>
      <c r="I43" s="93">
        <f>D43/12</f>
        <v>150</v>
      </c>
      <c r="J43" s="93">
        <f>D43/12</f>
        <v>150</v>
      </c>
      <c r="K43" s="93">
        <f>D43/12</f>
        <v>150</v>
      </c>
      <c r="L43" s="93">
        <f>D43/12</f>
        <v>150</v>
      </c>
      <c r="M43" s="93">
        <f>D43/12 +50</f>
        <v>200</v>
      </c>
      <c r="N43" s="93">
        <f>D43/12</f>
        <v>150</v>
      </c>
      <c r="O43" s="93">
        <f>D43/12</f>
        <v>150</v>
      </c>
      <c r="P43" s="94">
        <f>D43/12</f>
        <v>150</v>
      </c>
    </row>
    <row r="44" spans="2:16" x14ac:dyDescent="0.3">
      <c r="B44" s="130"/>
      <c r="C44" s="71" t="s">
        <v>77</v>
      </c>
      <c r="D44" s="74">
        <f>SUM(E44:P44)</f>
        <v>1490</v>
      </c>
      <c r="E44" s="89">
        <v>120</v>
      </c>
      <c r="F44" s="90">
        <v>120</v>
      </c>
      <c r="G44" s="90">
        <v>120</v>
      </c>
      <c r="H44" s="90">
        <v>120</v>
      </c>
      <c r="I44" s="90">
        <v>120</v>
      </c>
      <c r="J44" s="90">
        <v>120</v>
      </c>
      <c r="K44" s="90">
        <v>120</v>
      </c>
      <c r="L44" s="90">
        <v>120</v>
      </c>
      <c r="M44" s="90">
        <f>120+50</f>
        <v>170</v>
      </c>
      <c r="N44" s="90">
        <v>120</v>
      </c>
      <c r="O44" s="90">
        <v>120</v>
      </c>
      <c r="P44" s="91">
        <v>120</v>
      </c>
    </row>
    <row r="45" spans="2:16" x14ac:dyDescent="0.3">
      <c r="B45" s="130"/>
      <c r="C45" s="70" t="s">
        <v>73</v>
      </c>
      <c r="D45" s="73">
        <f>SUM(E45:P45)</f>
        <v>132</v>
      </c>
      <c r="E45" s="92">
        <v>11</v>
      </c>
      <c r="F45" s="93">
        <v>11</v>
      </c>
      <c r="G45" s="93">
        <v>11</v>
      </c>
      <c r="H45" s="93">
        <v>11</v>
      </c>
      <c r="I45" s="93">
        <v>11</v>
      </c>
      <c r="J45" s="93">
        <v>11</v>
      </c>
      <c r="K45" s="93">
        <v>11</v>
      </c>
      <c r="L45" s="93">
        <v>11</v>
      </c>
      <c r="M45" s="93">
        <v>11</v>
      </c>
      <c r="N45" s="93">
        <v>11</v>
      </c>
      <c r="O45" s="93">
        <v>11</v>
      </c>
      <c r="P45" s="94">
        <v>11</v>
      </c>
    </row>
    <row r="46" spans="2:16" x14ac:dyDescent="0.3">
      <c r="B46" s="130"/>
      <c r="C46" s="71" t="s">
        <v>74</v>
      </c>
      <c r="D46" s="74">
        <v>1000</v>
      </c>
      <c r="E46" s="89">
        <f>D46/12</f>
        <v>83.333333333333329</v>
      </c>
      <c r="F46" s="90">
        <f>D46/12</f>
        <v>83.333333333333329</v>
      </c>
      <c r="G46" s="90">
        <f>D46/12</f>
        <v>83.333333333333329</v>
      </c>
      <c r="H46" s="90">
        <f>D46/12</f>
        <v>83.333333333333329</v>
      </c>
      <c r="I46" s="90">
        <f>D46/12</f>
        <v>83.333333333333329</v>
      </c>
      <c r="J46" s="90">
        <f>D46/12</f>
        <v>83.333333333333329</v>
      </c>
      <c r="K46" s="90">
        <f>D46/12</f>
        <v>83.333333333333329</v>
      </c>
      <c r="L46" s="90">
        <f>D46/12</f>
        <v>83.333333333333329</v>
      </c>
      <c r="M46" s="90">
        <f>D46/12</f>
        <v>83.333333333333329</v>
      </c>
      <c r="N46" s="90">
        <f>D46/12</f>
        <v>83.333333333333329</v>
      </c>
      <c r="O46" s="90">
        <f>D46/12</f>
        <v>83.333333333333329</v>
      </c>
      <c r="P46" s="91">
        <f>D46/12</f>
        <v>83.333333333333329</v>
      </c>
    </row>
    <row r="47" spans="2:16" x14ac:dyDescent="0.3">
      <c r="B47" s="130"/>
      <c r="C47" s="70" t="s">
        <v>75</v>
      </c>
      <c r="D47" s="73">
        <f>SUM(E47:P47)</f>
        <v>360</v>
      </c>
      <c r="E47" s="92">
        <v>30</v>
      </c>
      <c r="F47" s="93">
        <v>30</v>
      </c>
      <c r="G47" s="93">
        <v>30</v>
      </c>
      <c r="H47" s="93">
        <v>30</v>
      </c>
      <c r="I47" s="93">
        <v>30</v>
      </c>
      <c r="J47" s="93">
        <v>30</v>
      </c>
      <c r="K47" s="93">
        <v>30</v>
      </c>
      <c r="L47" s="93">
        <v>30</v>
      </c>
      <c r="M47" s="93">
        <v>30</v>
      </c>
      <c r="N47" s="93">
        <v>30</v>
      </c>
      <c r="O47" s="93">
        <v>30</v>
      </c>
      <c r="P47" s="94">
        <v>30</v>
      </c>
    </row>
    <row r="48" spans="2:16" x14ac:dyDescent="0.3">
      <c r="B48" s="130"/>
      <c r="C48" s="70" t="s">
        <v>98</v>
      </c>
      <c r="D48" s="73">
        <f>SUM(D40:D47)</f>
        <v>6723.99</v>
      </c>
      <c r="E48" s="92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4"/>
    </row>
    <row r="49" spans="2:18" x14ac:dyDescent="0.3">
      <c r="B49" s="130"/>
      <c r="C49" s="75" t="s">
        <v>90</v>
      </c>
      <c r="D49" s="76" t="s">
        <v>92</v>
      </c>
      <c r="E49" s="95" t="s">
        <v>92</v>
      </c>
      <c r="F49" s="96" t="s">
        <v>92</v>
      </c>
      <c r="G49" s="96" t="s">
        <v>92</v>
      </c>
      <c r="H49" s="96" t="s">
        <v>92</v>
      </c>
      <c r="I49" s="96" t="s">
        <v>92</v>
      </c>
      <c r="J49" s="96" t="s">
        <v>92</v>
      </c>
      <c r="K49" s="96" t="s">
        <v>92</v>
      </c>
      <c r="L49" s="96" t="s">
        <v>92</v>
      </c>
      <c r="M49" s="96" t="s">
        <v>92</v>
      </c>
      <c r="N49" s="96" t="s">
        <v>92</v>
      </c>
      <c r="O49" s="96" t="s">
        <v>92</v>
      </c>
      <c r="P49" s="97" t="s">
        <v>92</v>
      </c>
    </row>
    <row r="50" spans="2:18" x14ac:dyDescent="0.3">
      <c r="B50" s="130"/>
      <c r="C50" s="71" t="s">
        <v>97</v>
      </c>
      <c r="D50" s="74">
        <f>2400 * 0.4</f>
        <v>960</v>
      </c>
      <c r="E50" s="89">
        <f>D50/12</f>
        <v>80</v>
      </c>
      <c r="F50" s="90">
        <f>D50/12</f>
        <v>80</v>
      </c>
      <c r="G50" s="90">
        <f>D50/12</f>
        <v>80</v>
      </c>
      <c r="H50" s="90">
        <f>D50/12</f>
        <v>80</v>
      </c>
      <c r="I50" s="90">
        <f>D50/12</f>
        <v>80</v>
      </c>
      <c r="J50" s="90">
        <f>D50/12</f>
        <v>80</v>
      </c>
      <c r="K50" s="90">
        <f>D50/12</f>
        <v>80</v>
      </c>
      <c r="L50" s="90">
        <f>D50/12</f>
        <v>80</v>
      </c>
      <c r="M50" s="90">
        <f>D50/12</f>
        <v>80</v>
      </c>
      <c r="N50" s="90">
        <f>D50/12</f>
        <v>80</v>
      </c>
      <c r="O50" s="90">
        <f>D50/12</f>
        <v>80</v>
      </c>
      <c r="P50" s="91">
        <f>D50/12</f>
        <v>80</v>
      </c>
    </row>
    <row r="51" spans="2:18" x14ac:dyDescent="0.3">
      <c r="B51" s="130"/>
      <c r="C51" s="75" t="s">
        <v>91</v>
      </c>
      <c r="D51" s="67">
        <f>SUM(E51:P51)</f>
        <v>492</v>
      </c>
      <c r="E51" s="98">
        <v>41</v>
      </c>
      <c r="F51" s="99">
        <v>41</v>
      </c>
      <c r="G51" s="99">
        <v>41</v>
      </c>
      <c r="H51" s="99">
        <v>41</v>
      </c>
      <c r="I51" s="99">
        <v>41</v>
      </c>
      <c r="J51" s="99">
        <v>41</v>
      </c>
      <c r="K51" s="99">
        <v>41</v>
      </c>
      <c r="L51" s="99">
        <v>41</v>
      </c>
      <c r="M51" s="99">
        <v>41</v>
      </c>
      <c r="N51" s="99">
        <v>41</v>
      </c>
      <c r="O51" s="99">
        <v>41</v>
      </c>
      <c r="P51" s="100">
        <v>41</v>
      </c>
    </row>
    <row r="52" spans="2:18" x14ac:dyDescent="0.3">
      <c r="B52" s="130"/>
      <c r="C52" s="71" t="s">
        <v>79</v>
      </c>
      <c r="D52" s="74">
        <v>9.99</v>
      </c>
      <c r="E52" s="89">
        <v>9.99</v>
      </c>
      <c r="F52" s="90" t="s">
        <v>87</v>
      </c>
      <c r="G52" s="90" t="s">
        <v>87</v>
      </c>
      <c r="H52" s="90" t="s">
        <v>87</v>
      </c>
      <c r="I52" s="90" t="s">
        <v>87</v>
      </c>
      <c r="J52" s="90" t="s">
        <v>87</v>
      </c>
      <c r="K52" s="90" t="s">
        <v>87</v>
      </c>
      <c r="L52" s="90" t="s">
        <v>87</v>
      </c>
      <c r="M52" s="90" t="s">
        <v>87</v>
      </c>
      <c r="N52" s="90" t="s">
        <v>87</v>
      </c>
      <c r="O52" s="90" t="s">
        <v>87</v>
      </c>
      <c r="P52" s="91" t="s">
        <v>87</v>
      </c>
    </row>
    <row r="53" spans="2:18" x14ac:dyDescent="0.3">
      <c r="B53" s="130"/>
      <c r="C53" s="75" t="s">
        <v>72</v>
      </c>
      <c r="D53" s="67">
        <v>1200</v>
      </c>
      <c r="E53" s="98">
        <f>D53/12</f>
        <v>100</v>
      </c>
      <c r="F53" s="99">
        <f>D53/12</f>
        <v>100</v>
      </c>
      <c r="G53" s="99">
        <f>D53/12</f>
        <v>100</v>
      </c>
      <c r="H53" s="99">
        <f>D53/12</f>
        <v>100</v>
      </c>
      <c r="I53" s="99">
        <f>D53/12</f>
        <v>100</v>
      </c>
      <c r="J53" s="99">
        <f>D53/12</f>
        <v>100</v>
      </c>
      <c r="K53" s="99">
        <f>D53/12</f>
        <v>100</v>
      </c>
      <c r="L53" s="99">
        <f>D53/12</f>
        <v>100</v>
      </c>
      <c r="M53" s="99">
        <f>D53/12 +50</f>
        <v>150</v>
      </c>
      <c r="N53" s="99">
        <f>D53/12</f>
        <v>100</v>
      </c>
      <c r="O53" s="99">
        <f>D53/12</f>
        <v>100</v>
      </c>
      <c r="P53" s="100">
        <f>D53/12</f>
        <v>100</v>
      </c>
    </row>
    <row r="54" spans="2:18" x14ac:dyDescent="0.3">
      <c r="B54" s="130"/>
      <c r="C54" s="71" t="s">
        <v>77</v>
      </c>
      <c r="D54" s="74">
        <f>SUM(E54:P54)</f>
        <v>1490</v>
      </c>
      <c r="E54" s="89">
        <v>120</v>
      </c>
      <c r="F54" s="90">
        <v>120</v>
      </c>
      <c r="G54" s="90">
        <v>120</v>
      </c>
      <c r="H54" s="90">
        <v>120</v>
      </c>
      <c r="I54" s="90">
        <v>120</v>
      </c>
      <c r="J54" s="90">
        <v>120</v>
      </c>
      <c r="K54" s="90">
        <v>120</v>
      </c>
      <c r="L54" s="90">
        <v>120</v>
      </c>
      <c r="M54" s="90">
        <f>120 +50</f>
        <v>170</v>
      </c>
      <c r="N54" s="90">
        <v>120</v>
      </c>
      <c r="O54" s="90">
        <v>120</v>
      </c>
      <c r="P54" s="91">
        <v>120</v>
      </c>
    </row>
    <row r="55" spans="2:18" x14ac:dyDescent="0.3">
      <c r="B55" s="130"/>
      <c r="C55" s="75" t="s">
        <v>73</v>
      </c>
      <c r="D55" s="67">
        <f>SUM(E55:P55)</f>
        <v>132</v>
      </c>
      <c r="E55" s="98">
        <v>11</v>
      </c>
      <c r="F55" s="99">
        <v>11</v>
      </c>
      <c r="G55" s="99">
        <v>11</v>
      </c>
      <c r="H55" s="99">
        <v>11</v>
      </c>
      <c r="I55" s="99">
        <v>11</v>
      </c>
      <c r="J55" s="99">
        <v>11</v>
      </c>
      <c r="K55" s="99">
        <v>11</v>
      </c>
      <c r="L55" s="99">
        <v>11</v>
      </c>
      <c r="M55" s="99">
        <v>11</v>
      </c>
      <c r="N55" s="99">
        <v>11</v>
      </c>
      <c r="O55" s="99">
        <v>11</v>
      </c>
      <c r="P55" s="100">
        <v>11</v>
      </c>
    </row>
    <row r="56" spans="2:18" x14ac:dyDescent="0.3">
      <c r="B56" s="130"/>
      <c r="C56" s="71" t="s">
        <v>74</v>
      </c>
      <c r="D56" s="74">
        <v>1000</v>
      </c>
      <c r="E56" s="89">
        <f>D56/12</f>
        <v>83.333333333333329</v>
      </c>
      <c r="F56" s="90">
        <f>D56/12</f>
        <v>83.333333333333329</v>
      </c>
      <c r="G56" s="90">
        <f>D56/12</f>
        <v>83.333333333333329</v>
      </c>
      <c r="H56" s="90">
        <f>D56/12</f>
        <v>83.333333333333329</v>
      </c>
      <c r="I56" s="90">
        <f>D56/12</f>
        <v>83.333333333333329</v>
      </c>
      <c r="J56" s="90">
        <f>D56/12</f>
        <v>83.333333333333329</v>
      </c>
      <c r="K56" s="90">
        <f>D56/12</f>
        <v>83.333333333333329</v>
      </c>
      <c r="L56" s="90">
        <f>D56/12</f>
        <v>83.333333333333329</v>
      </c>
      <c r="M56" s="90">
        <f>D56/12</f>
        <v>83.333333333333329</v>
      </c>
      <c r="N56" s="90">
        <f>D56/12</f>
        <v>83.333333333333329</v>
      </c>
      <c r="O56" s="90">
        <f>D56/12</f>
        <v>83.333333333333329</v>
      </c>
      <c r="P56" s="91">
        <f>D56/12</f>
        <v>83.333333333333329</v>
      </c>
    </row>
    <row r="57" spans="2:18" x14ac:dyDescent="0.3">
      <c r="B57" s="130"/>
      <c r="C57" s="75" t="s">
        <v>75</v>
      </c>
      <c r="D57" s="67">
        <f>SUM(E57:P57)</f>
        <v>360</v>
      </c>
      <c r="E57" s="98">
        <v>30</v>
      </c>
      <c r="F57" s="99">
        <v>30</v>
      </c>
      <c r="G57" s="99">
        <v>30</v>
      </c>
      <c r="H57" s="99">
        <v>30</v>
      </c>
      <c r="I57" s="99">
        <v>30</v>
      </c>
      <c r="J57" s="99">
        <v>30</v>
      </c>
      <c r="K57" s="99">
        <v>30</v>
      </c>
      <c r="L57" s="99">
        <v>30</v>
      </c>
      <c r="M57" s="99">
        <v>30</v>
      </c>
      <c r="N57" s="99">
        <v>30</v>
      </c>
      <c r="O57" s="99">
        <v>30</v>
      </c>
      <c r="P57" s="100">
        <v>30</v>
      </c>
    </row>
    <row r="58" spans="2:18" x14ac:dyDescent="0.3">
      <c r="B58" s="130"/>
      <c r="C58" s="75" t="s">
        <v>99</v>
      </c>
      <c r="D58" s="67">
        <f>SUM(D50:D57)</f>
        <v>5643.99</v>
      </c>
      <c r="E58" s="98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100"/>
    </row>
    <row r="59" spans="2:18" x14ac:dyDescent="0.3">
      <c r="B59" s="130"/>
      <c r="C59" s="38" t="s">
        <v>61</v>
      </c>
      <c r="D59" s="65">
        <f>SUM(D20:D57) - D48</f>
        <v>61101.27</v>
      </c>
      <c r="E59" s="101">
        <f t="shared" ref="E59:P59" si="2">SUM(E20:E57)</f>
        <v>17337.036666666667</v>
      </c>
      <c r="F59" s="102">
        <f t="shared" si="2"/>
        <v>3923.0666666666671</v>
      </c>
      <c r="G59" s="102">
        <f t="shared" si="2"/>
        <v>3923.0666666666671</v>
      </c>
      <c r="H59" s="102">
        <f t="shared" si="2"/>
        <v>4434.9416666666666</v>
      </c>
      <c r="I59" s="102">
        <f t="shared" si="2"/>
        <v>3923.0666666666671</v>
      </c>
      <c r="J59" s="102">
        <f t="shared" si="2"/>
        <v>3923.0666666666671</v>
      </c>
      <c r="K59" s="102">
        <f t="shared" si="2"/>
        <v>4349.9416666666666</v>
      </c>
      <c r="L59" s="102">
        <f t="shared" si="2"/>
        <v>3523.0666666666671</v>
      </c>
      <c r="M59" s="102">
        <f t="shared" si="2"/>
        <v>4523.0666666666666</v>
      </c>
      <c r="N59" s="102">
        <f t="shared" si="2"/>
        <v>4034.9416666666671</v>
      </c>
      <c r="O59" s="102">
        <f t="shared" si="2"/>
        <v>3397.0666666666671</v>
      </c>
      <c r="P59" s="103">
        <f t="shared" si="2"/>
        <v>3397.0666666666671</v>
      </c>
      <c r="Q59" s="2"/>
      <c r="R59" s="2"/>
    </row>
    <row r="60" spans="2:18" ht="15" thickBot="1" x14ac:dyDescent="0.35">
      <c r="B60" s="131"/>
      <c r="C60" s="39" t="s">
        <v>78</v>
      </c>
      <c r="D60" s="66">
        <f>SUM(D20:D57)-D21-D28-D31-D30-D42-D52-D48</f>
        <v>47302.3</v>
      </c>
      <c r="E60" s="104">
        <f>SUM(E20:E57)-E21-E28-E31-E30-E42-E52</f>
        <v>3538.0666666666675</v>
      </c>
      <c r="F60" s="105">
        <f>SUM(F20:F57)</f>
        <v>3923.0666666666671</v>
      </c>
      <c r="G60" s="105">
        <f t="shared" ref="G60:P60" si="3">SUM(G20:G57)</f>
        <v>3923.0666666666671</v>
      </c>
      <c r="H60" s="105">
        <f t="shared" si="3"/>
        <v>4434.9416666666666</v>
      </c>
      <c r="I60" s="105">
        <f t="shared" si="3"/>
        <v>3923.0666666666671</v>
      </c>
      <c r="J60" s="105">
        <f t="shared" si="3"/>
        <v>3923.0666666666671</v>
      </c>
      <c r="K60" s="105">
        <f t="shared" si="3"/>
        <v>4349.9416666666666</v>
      </c>
      <c r="L60" s="105">
        <f t="shared" si="3"/>
        <v>3523.0666666666671</v>
      </c>
      <c r="M60" s="105">
        <f t="shared" si="3"/>
        <v>4523.0666666666666</v>
      </c>
      <c r="N60" s="105">
        <f t="shared" si="3"/>
        <v>4034.9416666666671</v>
      </c>
      <c r="O60" s="105">
        <f t="shared" si="3"/>
        <v>3397.0666666666671</v>
      </c>
      <c r="P60" s="106">
        <f t="shared" si="3"/>
        <v>3397.0666666666671</v>
      </c>
      <c r="Q60" s="2"/>
      <c r="R60" s="2"/>
    </row>
    <row r="61" spans="2:18" ht="15" thickBot="1" x14ac:dyDescent="0.35">
      <c r="B61" s="119" t="s">
        <v>80</v>
      </c>
      <c r="C61" s="40" t="s">
        <v>67</v>
      </c>
      <c r="D61" s="113">
        <f>(D16+D17) - SUM(D20:D57) + D48</f>
        <v>1141.1299999999992</v>
      </c>
      <c r="E61" s="107">
        <f t="shared" ref="E61:P61" si="4">(E16+E17) - SUM(E20:E57)</f>
        <v>452.16333333333387</v>
      </c>
      <c r="F61" s="108">
        <f t="shared" si="4"/>
        <v>570.29666666666662</v>
      </c>
      <c r="G61" s="108">
        <f t="shared" si="4"/>
        <v>688.42999999999893</v>
      </c>
      <c r="H61" s="108">
        <f t="shared" si="4"/>
        <v>294.68833333333259</v>
      </c>
      <c r="I61" s="108">
        <f t="shared" si="4"/>
        <v>412.82166666666535</v>
      </c>
      <c r="J61" s="108">
        <f t="shared" si="4"/>
        <v>530.95499999999856</v>
      </c>
      <c r="K61" s="108">
        <f t="shared" si="4"/>
        <v>222.21333333333223</v>
      </c>
      <c r="L61" s="108">
        <f t="shared" si="4"/>
        <v>740.34666666666499</v>
      </c>
      <c r="M61" s="108">
        <f t="shared" si="4"/>
        <v>258.47999999999865</v>
      </c>
      <c r="N61" s="108">
        <f t="shared" si="4"/>
        <v>264.73833333333141</v>
      </c>
      <c r="O61" s="108">
        <f t="shared" si="4"/>
        <v>908.87166666666462</v>
      </c>
      <c r="P61" s="109">
        <f t="shared" si="4"/>
        <v>1553.0049999999978</v>
      </c>
    </row>
    <row r="62" spans="2:18" ht="15" thickBot="1" x14ac:dyDescent="0.35">
      <c r="B62" s="120"/>
      <c r="C62" s="41" t="s">
        <v>94</v>
      </c>
      <c r="D62" s="114">
        <f t="shared" ref="D62:P62" si="5">D61-D16</f>
        <v>-12606.87</v>
      </c>
      <c r="E62" s="110">
        <f t="shared" si="5"/>
        <v>-13295.836666666666</v>
      </c>
      <c r="F62" s="111">
        <f t="shared" si="5"/>
        <v>118.13333333333276</v>
      </c>
      <c r="G62" s="111">
        <f t="shared" si="5"/>
        <v>118.1333333333323</v>
      </c>
      <c r="H62" s="111">
        <f t="shared" si="5"/>
        <v>-393.74166666666633</v>
      </c>
      <c r="I62" s="111">
        <f t="shared" si="5"/>
        <v>118.13333333333276</v>
      </c>
      <c r="J62" s="111">
        <f t="shared" si="5"/>
        <v>118.13333333333321</v>
      </c>
      <c r="K62" s="111">
        <f t="shared" si="5"/>
        <v>-308.74166666666633</v>
      </c>
      <c r="L62" s="111">
        <f t="shared" si="5"/>
        <v>518.13333333333276</v>
      </c>
      <c r="M62" s="111">
        <f t="shared" si="5"/>
        <v>-481.86666666666633</v>
      </c>
      <c r="N62" s="111">
        <f t="shared" si="5"/>
        <v>6.2583333333327573</v>
      </c>
      <c r="O62" s="111">
        <f t="shared" si="5"/>
        <v>644.13333333333321</v>
      </c>
      <c r="P62" s="112">
        <f t="shared" si="5"/>
        <v>644.13333333333321</v>
      </c>
    </row>
    <row r="63" spans="2:18" ht="15" thickBot="1" x14ac:dyDescent="0.35">
      <c r="B63" s="120"/>
      <c r="C63" s="42" t="s">
        <v>93</v>
      </c>
      <c r="D63" s="115" t="b">
        <f t="shared" ref="D63:P63" si="6">IF(D17&gt;D60, FALSE, TRUE)</f>
        <v>0</v>
      </c>
      <c r="E63" s="48" t="b">
        <f t="shared" si="6"/>
        <v>0</v>
      </c>
      <c r="F63" s="43" t="b">
        <f t="shared" si="6"/>
        <v>0</v>
      </c>
      <c r="G63" s="43" t="b">
        <f t="shared" si="6"/>
        <v>0</v>
      </c>
      <c r="H63" s="43" t="b">
        <f t="shared" si="6"/>
        <v>1</v>
      </c>
      <c r="I63" s="43" t="b">
        <f t="shared" si="6"/>
        <v>0</v>
      </c>
      <c r="J63" s="43" t="b">
        <f t="shared" si="6"/>
        <v>0</v>
      </c>
      <c r="K63" s="43" t="b">
        <f t="shared" si="6"/>
        <v>1</v>
      </c>
      <c r="L63" s="43" t="b">
        <f t="shared" si="6"/>
        <v>0</v>
      </c>
      <c r="M63" s="43" t="b">
        <f t="shared" si="6"/>
        <v>1</v>
      </c>
      <c r="N63" s="43" t="b">
        <f t="shared" si="6"/>
        <v>0</v>
      </c>
      <c r="O63" s="43" t="b">
        <f t="shared" si="6"/>
        <v>0</v>
      </c>
      <c r="P63" s="49" t="b">
        <f t="shared" si="6"/>
        <v>0</v>
      </c>
    </row>
    <row r="64" spans="2:18" ht="15" thickBot="1" x14ac:dyDescent="0.35">
      <c r="B64" s="121"/>
      <c r="C64" s="44" t="s">
        <v>86</v>
      </c>
      <c r="D64" s="116" t="b">
        <f t="shared" ref="D64:P64" si="7">IF(D18&gt;D59, FALSE, TRUE)</f>
        <v>0</v>
      </c>
      <c r="E64" s="45" t="b">
        <f t="shared" si="7"/>
        <v>0</v>
      </c>
      <c r="F64" s="46" t="b">
        <f t="shared" si="7"/>
        <v>0</v>
      </c>
      <c r="G64" s="46" t="b">
        <f t="shared" si="7"/>
        <v>0</v>
      </c>
      <c r="H64" s="46" t="b">
        <f t="shared" si="7"/>
        <v>0</v>
      </c>
      <c r="I64" s="46" t="b">
        <f t="shared" si="7"/>
        <v>0</v>
      </c>
      <c r="J64" s="46" t="b">
        <f t="shared" si="7"/>
        <v>0</v>
      </c>
      <c r="K64" s="46" t="b">
        <f t="shared" si="7"/>
        <v>0</v>
      </c>
      <c r="L64" s="46" t="b">
        <f t="shared" si="7"/>
        <v>0</v>
      </c>
      <c r="M64" s="46" t="b">
        <f t="shared" si="7"/>
        <v>0</v>
      </c>
      <c r="N64" s="46" t="b">
        <f t="shared" si="7"/>
        <v>0</v>
      </c>
      <c r="O64" s="46" t="b">
        <f t="shared" si="7"/>
        <v>0</v>
      </c>
      <c r="P64" s="47" t="b">
        <f t="shared" si="7"/>
        <v>0</v>
      </c>
    </row>
  </sheetData>
  <mergeCells count="6">
    <mergeCell ref="D14:P14"/>
    <mergeCell ref="B61:B64"/>
    <mergeCell ref="B13:P13"/>
    <mergeCell ref="B16:B18"/>
    <mergeCell ref="B14:C15"/>
    <mergeCell ref="B19:B60"/>
  </mergeCells>
  <conditionalFormatting sqref="D63:P63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D64:P6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2016-11-19T15:19:45Z</dcterms:created>
  <dcterms:modified xsi:type="dcterms:W3CDTF">2016-11-28T20:07:14Z</dcterms:modified>
</cp:coreProperties>
</file>