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85550478fc4e6/Desktop/Daniele/Polimi/2022-23/Primo semestre/Foundations of operations research/Laboratorio/BigProject/"/>
    </mc:Choice>
  </mc:AlternateContent>
  <xr:revisionPtr revIDLastSave="95264" documentId="8_{F0290205-5B7B-4BEC-ACFB-8761E9DC4117}" xr6:coauthVersionLast="47" xr6:coauthVersionMax="47" xr10:uidLastSave="{4BDCC9ED-A544-49F9-8F79-7D87439462DA}"/>
  <bookViews>
    <workbookView xWindow="-110" yWindow="-110" windowWidth="19420" windowHeight="10300" xr2:uid="{3D45D10C-AC13-4831-96A1-0AD2D391D08E}"/>
  </bookViews>
  <sheets>
    <sheet name="2 PLANTS" sheetId="2" r:id="rId1"/>
    <sheet name="4 PLANTS" sheetId="4" r:id="rId2"/>
  </sheets>
  <definedNames>
    <definedName name="solver_adj" localSheetId="0" hidden="1">'2 PLANTS'!$M$1:$N$5</definedName>
    <definedName name="solver_adj" localSheetId="1" hidden="1">'4 PLANTS'!$O$1:$R$4,'4 PLANTS'!$Y$1:$AB$4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0" localSheetId="0" hidden="1">'2 PLANTS'!$T$2</definedName>
    <definedName name="solver_lhs0" localSheetId="1" hidden="1">'4 PLANTS'!$Y$1:$Y$4</definedName>
    <definedName name="solver_lhs1" localSheetId="0" hidden="1">'2 PLANTS'!$M$1:$N$5</definedName>
    <definedName name="solver_lhs1" localSheetId="1" hidden="1">'4 PLANTS'!$AA$1:$AA$4</definedName>
    <definedName name="solver_lhs10" localSheetId="0" hidden="1">'2 PLANTS'!$T$1:$T$2</definedName>
    <definedName name="solver_lhs10" localSheetId="1" hidden="1">'4 PLANTS'!$Z$1:$Z$4</definedName>
    <definedName name="solver_lhs11" localSheetId="0" hidden="1">'2 PLANTS'!$T$1:$T$2</definedName>
    <definedName name="solver_lhs11" localSheetId="1" hidden="1">'4 PLANTS'!$Y$1:$Y$4</definedName>
    <definedName name="solver_lhs12" localSheetId="1" hidden="1">'4 PLANTS'!$Y$1:$Y$4</definedName>
    <definedName name="solver_lhs13" localSheetId="1" hidden="1">'4 PLANTS'!$AA$1:$AA$4</definedName>
    <definedName name="solver_lhs14" localSheetId="1" hidden="1">'4 PLANTS'!$AA$1:$AA$4</definedName>
    <definedName name="solver_lhs15" localSheetId="1" hidden="1">'4 PLANTS'!$AA$1:$AA$4</definedName>
    <definedName name="solver_lhs2" localSheetId="0" hidden="1">'2 PLANTS'!$N$1:$N$5</definedName>
    <definedName name="solver_lhs2" localSheetId="1" hidden="1">'4 PLANTS'!$AB$1:$AB$4</definedName>
    <definedName name="solver_lhs3" localSheetId="0" hidden="1">'2 PLANTS'!$N$8:$N$9</definedName>
    <definedName name="solver_lhs3" localSheetId="1" hidden="1">'4 PLANTS'!$AD$1:$AG$4</definedName>
    <definedName name="solver_lhs4" localSheetId="0" hidden="1">'2 PLANTS'!$T$1:$T$2</definedName>
    <definedName name="solver_lhs4" localSheetId="1" hidden="1">'4 PLANTS'!$AM$1:$AP$4</definedName>
    <definedName name="solver_lhs5" localSheetId="0" hidden="1">'2 PLANTS'!$T$1:$T$2</definedName>
    <definedName name="solver_lhs5" localSheetId="1" hidden="1">'4 PLANTS'!$BE$1:$BE$4</definedName>
    <definedName name="solver_lhs6" localSheetId="0" hidden="1">'2 PLANTS'!#REF!</definedName>
    <definedName name="solver_lhs6" localSheetId="1" hidden="1">'4 PLANTS'!$BE$1:$BE$4</definedName>
    <definedName name="solver_lhs7" localSheetId="0" hidden="1">'2 PLANTS'!#REF!</definedName>
    <definedName name="solver_lhs7" localSheetId="1" hidden="1">'4 PLANTS'!$O$1:$R$4</definedName>
    <definedName name="solver_lhs8" localSheetId="0" hidden="1">'2 PLANTS'!#REF!</definedName>
    <definedName name="solver_lhs8" localSheetId="1" hidden="1">'4 PLANTS'!$P$7:$P$10</definedName>
    <definedName name="solver_lhs9" localSheetId="0" hidden="1">'2 PLANTS'!$T$1:$T$2</definedName>
    <definedName name="solver_lhs9" localSheetId="1" hidden="1">'4 PLANTS'!$Y$1:$AB$4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10</definedName>
    <definedName name="solver_nwt" localSheetId="0" hidden="1">1</definedName>
    <definedName name="solver_nwt" localSheetId="1" hidden="1">1</definedName>
    <definedName name="solver_opt" localSheetId="0" hidden="1">'2 PLANTS'!$Q$7</definedName>
    <definedName name="solver_opt" localSheetId="1" hidden="1">'4 PLANTS'!$BA$8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0" localSheetId="0" hidden="1">3</definedName>
    <definedName name="solver_rel0" localSheetId="1" hidden="1">5</definedName>
    <definedName name="solver_rel1" localSheetId="0" hidden="1">5</definedName>
    <definedName name="solver_rel1" localSheetId="1" hidden="1">1</definedName>
    <definedName name="solver_rel10" localSheetId="0" hidden="1">3</definedName>
    <definedName name="solver_rel10" localSheetId="1" hidden="1">1</definedName>
    <definedName name="solver_rel11" localSheetId="0" hidden="1">3</definedName>
    <definedName name="solver_rel11" localSheetId="1" hidden="1">1</definedName>
    <definedName name="solver_rel12" localSheetId="1" hidden="1">5</definedName>
    <definedName name="solver_rel13" localSheetId="1" hidden="1">1</definedName>
    <definedName name="solver_rel14" localSheetId="1" hidden="1">5</definedName>
    <definedName name="solver_rel15" localSheetId="1" hidden="1">5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el5" localSheetId="0" hidden="1">3</definedName>
    <definedName name="solver_rel5" localSheetId="1" hidden="1">1</definedName>
    <definedName name="solver_rel6" localSheetId="0" hidden="1">5</definedName>
    <definedName name="solver_rel6" localSheetId="1" hidden="1">3</definedName>
    <definedName name="solver_rel7" localSheetId="0" hidden="1">1</definedName>
    <definedName name="solver_rel7" localSheetId="1" hidden="1">1</definedName>
    <definedName name="solver_rel8" localSheetId="0" hidden="1">1</definedName>
    <definedName name="solver_rel8" localSheetId="1" hidden="1">1</definedName>
    <definedName name="solver_rel9" localSheetId="0" hidden="1">1</definedName>
    <definedName name="solver_rel9" localSheetId="1" hidden="1">5</definedName>
    <definedName name="solver_rhs0" localSheetId="0" hidden="1">'2 PLANTS'!$U$2</definedName>
    <definedName name="solver_rhs0" localSheetId="1" hidden="1">"binario"</definedName>
    <definedName name="solver_rhs1" localSheetId="0" hidden="1">"binario"</definedName>
    <definedName name="solver_rhs1" localSheetId="1" hidden="1">'4 PLANTS'!$Z$1:$Z$4</definedName>
    <definedName name="solver_rhs10" localSheetId="0" hidden="1">'2 PLANTS'!$U$1:$U$2</definedName>
    <definedName name="solver_rhs10" localSheetId="1" hidden="1">'4 PLANTS'!$Y$1:$Y$4</definedName>
    <definedName name="solver_rhs11" localSheetId="0" hidden="1">'2 PLANTS'!$U$1:$U$2</definedName>
    <definedName name="solver_rhs11" localSheetId="1" hidden="1">'4 PLANTS'!$AA$1:$AA$4</definedName>
    <definedName name="solver_rhs12" localSheetId="1" hidden="1">"binario"</definedName>
    <definedName name="solver_rhs13" localSheetId="1" hidden="1">'4 PLANTS'!$AM$1:$AM$4</definedName>
    <definedName name="solver_rhs14" localSheetId="1" hidden="1">"binario"</definedName>
    <definedName name="solver_rhs15" localSheetId="1" hidden="1">"binario"</definedName>
    <definedName name="solver_rhs2" localSheetId="0" hidden="1">'2 PLANTS'!$O$1:$O$5</definedName>
    <definedName name="solver_rhs2" localSheetId="1" hidden="1">'4 PLANTS'!$AA$1:$AA$4</definedName>
    <definedName name="solver_rhs3" localSheetId="0" hidden="1">'2 PLANTS'!$B$4</definedName>
    <definedName name="solver_rhs3" localSheetId="1" hidden="1">'4 PLANTS'!$AH$1:$AK$4</definedName>
    <definedName name="solver_rhs4" localSheetId="0" hidden="1">'2 PLANTS'!$V$1:$V$2</definedName>
    <definedName name="solver_rhs4" localSheetId="1" hidden="1">'4 PLANTS'!$AQ$1:$AT$4</definedName>
    <definedName name="solver_rhs5" localSheetId="0" hidden="1">'2 PLANTS'!$U$1:$U$2</definedName>
    <definedName name="solver_rhs5" localSheetId="1" hidden="1">'4 PLANTS'!$BG$1:$BG$4</definedName>
    <definedName name="solver_rhs6" localSheetId="0" hidden="1">"binario"</definedName>
    <definedName name="solver_rhs6" localSheetId="1" hidden="1">'4 PLANTS'!$BF$1:$BF$4</definedName>
    <definedName name="solver_rhs7" localSheetId="0" hidden="1">'2 PLANTS'!#REF!</definedName>
    <definedName name="solver_rhs7" localSheetId="1" hidden="1">'4 PLANTS'!$T$1:$W$4</definedName>
    <definedName name="solver_rhs8" localSheetId="0" hidden="1">'2 PLANTS'!$B$9:$F$9</definedName>
    <definedName name="solver_rhs8" localSheetId="1" hidden="1">'4 PLANTS'!$B$4</definedName>
    <definedName name="solver_rhs9" localSheetId="0" hidden="1">'2 PLANTS'!$V$1:$V$2</definedName>
    <definedName name="solver_rhs9" localSheetId="1" hidden="1">"binario"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3" i="2"/>
  <c r="D12" i="2"/>
  <c r="D11" i="2"/>
  <c r="D10" i="2"/>
  <c r="V2" i="2" a="1"/>
  <c r="V2" i="2" s="1"/>
  <c r="U2" i="2" a="1"/>
  <c r="U2" i="2" s="1"/>
  <c r="V1" i="2" a="1"/>
  <c r="V1" i="2" s="1"/>
  <c r="U1" i="2" a="1"/>
  <c r="U1" i="2" s="1"/>
  <c r="T1" i="2" a="1"/>
  <c r="T1" i="2" s="1"/>
  <c r="T2" i="2" a="1"/>
  <c r="T2" i="2" s="1"/>
  <c r="M9" i="2" a="1"/>
  <c r="M9" i="2" s="1"/>
  <c r="M8" i="2" a="1"/>
  <c r="M8" i="2" s="1"/>
  <c r="P1" i="2" a="1"/>
  <c r="P1" i="2" s="1"/>
  <c r="P6" i="2" s="1"/>
  <c r="O1" i="2" a="1"/>
  <c r="O1" i="2" s="1"/>
  <c r="AD1" i="4" a="1"/>
  <c r="AD1" i="4" s="1"/>
  <c r="AM1" i="4" a="1"/>
  <c r="AM1" i="4" s="1"/>
  <c r="AH1" i="4" a="1"/>
  <c r="AH1" i="4" s="1"/>
  <c r="AQ1" i="4" a="1"/>
  <c r="AQ1" i="4" s="1"/>
  <c r="AY1" i="4" a="1"/>
  <c r="AY1" i="4" s="1"/>
  <c r="AX1" i="4" a="1"/>
  <c r="AX1" i="4" s="1"/>
  <c r="AW1" i="4" a="1"/>
  <c r="AW1" i="4" s="1"/>
  <c r="AV1" i="4" a="1"/>
  <c r="AV1" i="4" s="1"/>
  <c r="T1" i="4" a="1"/>
  <c r="T1" i="4" s="1"/>
  <c r="W1" i="4" s="1" a="1"/>
  <c r="W1" i="4" s="1"/>
  <c r="O10" i="4"/>
  <c r="O9" i="4"/>
  <c r="O8" i="4"/>
  <c r="O7" i="4"/>
  <c r="BG4" i="4"/>
  <c r="BF4" i="4"/>
  <c r="BG3" i="4"/>
  <c r="BF3" i="4"/>
  <c r="BG2" i="4"/>
  <c r="BF2" i="4"/>
  <c r="BE4" i="4" a="1"/>
  <c r="BE4" i="4" s="1"/>
  <c r="BD4" i="4" s="1"/>
  <c r="BE3" i="4" a="1"/>
  <c r="BE3" i="4" s="1"/>
  <c r="BD3" i="4" s="1"/>
  <c r="BE2" i="4" a="1"/>
  <c r="BE2" i="4" s="1"/>
  <c r="BD2" i="4" s="1"/>
  <c r="BE1" i="4" a="1"/>
  <c r="BE1" i="4" s="1"/>
  <c r="BD1" i="4" s="1"/>
  <c r="BG1" i="4"/>
  <c r="BF1" i="4"/>
  <c r="I1" i="4" a="1"/>
  <c r="I1" i="4" s="1"/>
  <c r="AC8" i="2" a="1"/>
  <c r="AC8" i="2" s="1"/>
  <c r="N8" i="2" l="1" a="1"/>
  <c r="N8" i="2" s="1"/>
  <c r="O8" i="2" s="1" a="1"/>
  <c r="O8" i="2" s="1"/>
  <c r="P8" i="2" s="1"/>
  <c r="Q7" i="2" s="1"/>
  <c r="P7" i="4" a="1"/>
  <c r="P7" i="4" s="1"/>
  <c r="Q7" i="4" s="1" a="1"/>
  <c r="Q7" i="4" s="1"/>
  <c r="R7" i="4" s="1"/>
  <c r="U1" i="4" a="1"/>
  <c r="U1" i="4" s="1"/>
  <c r="V1" i="4" a="1"/>
  <c r="V1" i="4" s="1"/>
  <c r="K6" i="4"/>
  <c r="K9" i="4"/>
  <c r="L6" i="4"/>
  <c r="L7" i="4"/>
  <c r="K7" i="4"/>
  <c r="K8" i="4"/>
  <c r="L8" i="4"/>
  <c r="L9" i="4"/>
  <c r="J6" i="4"/>
  <c r="J9" i="4"/>
  <c r="J7" i="4"/>
  <c r="J8" i="4"/>
  <c r="J6" i="2"/>
  <c r="J9" i="2"/>
  <c r="I7" i="2"/>
  <c r="I5" i="2"/>
  <c r="I8" i="2"/>
  <c r="I9" i="2"/>
  <c r="I6" i="2"/>
  <c r="J8" i="2"/>
  <c r="J5" i="2"/>
  <c r="J7" i="2"/>
  <c r="I8" i="4" l="1"/>
  <c r="I7" i="4"/>
  <c r="I9" i="4"/>
  <c r="I6" i="4"/>
  <c r="BA1" i="4" l="1" a="1"/>
  <c r="BA1" i="4" s="1"/>
  <c r="BA5" i="4" s="1"/>
  <c r="BA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<sst xmlns="http://schemas.openxmlformats.org/spreadsheetml/2006/main" count="30" uniqueCount="20">
  <si>
    <t>n</t>
  </si>
  <si>
    <t>p</t>
  </si>
  <si>
    <t>b</t>
  </si>
  <si>
    <t>M</t>
  </si>
  <si>
    <t>Q</t>
  </si>
  <si>
    <t>kmin</t>
  </si>
  <si>
    <t>kmax</t>
  </si>
  <si>
    <t>a</t>
  </si>
  <si>
    <t>c</t>
  </si>
  <si>
    <t>xy</t>
  </si>
  <si>
    <t>4-5</t>
  </si>
  <si>
    <t>3-5</t>
  </si>
  <si>
    <t>3-4</t>
  </si>
  <si>
    <t>2-5</t>
  </si>
  <si>
    <t>2-4</t>
  </si>
  <si>
    <t>2-3</t>
  </si>
  <si>
    <t>1-5</t>
  </si>
  <si>
    <t>1-4</t>
  </si>
  <si>
    <t>1-3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</si>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</sst>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00%"/>
    <numFmt numFmtId="166" formatCode="0.00000000"/>
    <numFmt numFmtId="167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FEFA-4FD0-450E-B062-29C52CEA5E98}">
  <dimension ref="A1:AD17"/>
  <sheetViews>
    <sheetView tabSelected="1" workbookViewId="0">
      <selection activeCell="D10" sqref="D10"/>
    </sheetView>
  </sheetViews>
  <sheetFormatPr defaultColWidth="8.7265625" defaultRowHeight="14.5" x14ac:dyDescent="0.35"/>
  <cols>
    <col min="1" max="1" width="8.7265625" style="1"/>
    <col min="2" max="2" width="10.7265625" style="1" bestFit="1" customWidth="1"/>
    <col min="3" max="8" width="8.7265625" style="1"/>
    <col min="9" max="9" width="13" style="1" bestFit="1" customWidth="1"/>
    <col min="10" max="13" width="8.7265625" style="1"/>
    <col min="14" max="14" width="8.6328125" style="1" customWidth="1"/>
    <col min="15" max="16" width="8.7265625" style="1"/>
    <col min="17" max="17" width="16.36328125" style="1" bestFit="1" customWidth="1"/>
    <col min="18" max="19" width="8.7265625" style="1"/>
    <col min="20" max="20" width="8.6328125" style="1" customWidth="1"/>
    <col min="21" max="23" width="8.7265625" style="1"/>
    <col min="24" max="24" width="14.36328125" style="1" bestFit="1" customWidth="1"/>
    <col min="25" max="26" width="8.54296875" style="1" customWidth="1"/>
    <col min="27" max="27" width="16.7265625" style="1" customWidth="1"/>
    <col min="28" max="29" width="8.54296875" style="1" customWidth="1"/>
    <col min="30" max="30" width="13" style="1" customWidth="1"/>
    <col min="31" max="35" width="8.54296875" style="1" customWidth="1"/>
    <col min="36" max="39" width="8.7265625" style="1"/>
    <col min="40" max="40" width="9.7265625" style="1" bestFit="1" customWidth="1"/>
    <col min="41" max="41" width="8.7265625" style="1"/>
    <col min="42" max="42" width="13" style="1" bestFit="1" customWidth="1"/>
    <col min="43" max="16384" width="8.7265625" style="1"/>
  </cols>
  <sheetData>
    <row r="1" spans="1:30" x14ac:dyDescent="0.35">
      <c r="A1" s="1" t="s">
        <v>0</v>
      </c>
      <c r="B1" s="1">
        <v>5</v>
      </c>
      <c r="H1" s="1">
        <v>1</v>
      </c>
      <c r="I1" s="2">
        <v>27.812651949435899</v>
      </c>
      <c r="J1" s="2">
        <v>45.931688721456602</v>
      </c>
      <c r="L1" s="1">
        <v>1</v>
      </c>
      <c r="M1" s="2">
        <v>0</v>
      </c>
      <c r="N1" s="2">
        <v>1</v>
      </c>
      <c r="O1" s="2" cm="1">
        <f t="array" ref="O1:O5">1 - M1:M5</f>
        <v>1</v>
      </c>
      <c r="P1" s="2" cm="1">
        <f t="array" ref="P1:P5">M1:M5*I5:I9 + N1:N5*J5:J9</f>
        <v>36.451146533443357</v>
      </c>
      <c r="R1" s="1">
        <v>1</v>
      </c>
      <c r="S1" s="3"/>
      <c r="T1" s="1" cm="1">
        <f t="array" ref="T1">SUM(M1:M5*TRANSPOSE(B9:F9)*TRANSPOSE(B8:F8))</f>
        <v>450.4703783169</v>
      </c>
      <c r="U1" s="1" cm="1">
        <f t="array" ref="U1">SUM(M1:M5*TRANSPOSE(B9:F9)*B6)</f>
        <v>192.74692583863623</v>
      </c>
      <c r="V1" s="1" cm="1">
        <f t="array" ref="V1">SUM(M1:M5*TRANSPOSE(B9:F9)*B7)</f>
        <v>542.54644912423123</v>
      </c>
    </row>
    <row r="2" spans="1:30" x14ac:dyDescent="0.35">
      <c r="A2" s="1" t="s">
        <v>1</v>
      </c>
      <c r="B2" s="1">
        <v>2</v>
      </c>
      <c r="H2" s="1">
        <v>2</v>
      </c>
      <c r="I2" s="2">
        <v>32.100054052016702</v>
      </c>
      <c r="J2" s="2">
        <v>51.8392820597537</v>
      </c>
      <c r="L2" s="1">
        <v>2</v>
      </c>
      <c r="M2" s="2">
        <v>1</v>
      </c>
      <c r="N2" s="2">
        <v>0</v>
      </c>
      <c r="O2" s="2">
        <v>0</v>
      </c>
      <c r="P2" s="2">
        <v>0</v>
      </c>
      <c r="R2" s="1">
        <v>2</v>
      </c>
      <c r="S2" s="3"/>
      <c r="T2" s="1" cm="1">
        <f t="array" ref="T2">SUM(N1:N5*TRANSPOSE(B9:F9)*TRANSPOSE(B8:F8))</f>
        <v>1789.9660267485533</v>
      </c>
      <c r="U2" s="1" cm="1">
        <f t="array" ref="U2">SUM(N1:N5*TRANSPOSE(B9:F9)*B6)</f>
        <v>660.736461774845</v>
      </c>
      <c r="V2" s="1" cm="1">
        <f t="array" ref="V2">SUM(N1:N5*TRANSPOSE(B9:F9)*B7)</f>
        <v>1859.8492275978647</v>
      </c>
    </row>
    <row r="3" spans="1:30" x14ac:dyDescent="0.35">
      <c r="A3" s="1" t="s">
        <v>2</v>
      </c>
      <c r="B3" s="1">
        <v>0.44681901567680399</v>
      </c>
      <c r="L3" s="1">
        <v>3</v>
      </c>
      <c r="M3" s="2">
        <v>0</v>
      </c>
      <c r="N3" s="2">
        <v>1</v>
      </c>
      <c r="O3" s="2">
        <v>1</v>
      </c>
      <c r="P3" s="2">
        <v>0</v>
      </c>
    </row>
    <row r="4" spans="1:30" x14ac:dyDescent="0.35">
      <c r="A4" s="1" t="s">
        <v>3</v>
      </c>
      <c r="B4" s="1">
        <v>2211000</v>
      </c>
      <c r="L4" s="1">
        <v>4</v>
      </c>
      <c r="M4" s="2">
        <v>0</v>
      </c>
      <c r="N4" s="2">
        <v>1</v>
      </c>
      <c r="O4" s="2">
        <v>1</v>
      </c>
      <c r="P4" s="2">
        <v>46.148693778131971</v>
      </c>
    </row>
    <row r="5" spans="1:30" x14ac:dyDescent="0.35">
      <c r="A5" s="1" t="s">
        <v>4</v>
      </c>
      <c r="B5" s="1">
        <v>477</v>
      </c>
      <c r="H5" s="1">
        <v>1</v>
      </c>
      <c r="I5" s="2">
        <f>SQRT(SUM((B10 - I1) ^2, (C10 - J1) ^ 2))</f>
        <v>30.106381219461209</v>
      </c>
      <c r="J5" s="2">
        <f>SQRT(SUM((B10 - I2) ^2, (C10 - J2) ^ 2))</f>
        <v>36.451146533443357</v>
      </c>
      <c r="L5" s="1">
        <v>5</v>
      </c>
      <c r="M5" s="2">
        <v>0</v>
      </c>
      <c r="N5" s="2">
        <v>0</v>
      </c>
      <c r="O5" s="2">
        <v>1</v>
      </c>
      <c r="P5" s="2">
        <v>0</v>
      </c>
    </row>
    <row r="6" spans="1:30" x14ac:dyDescent="0.35">
      <c r="A6" s="1" t="s">
        <v>5</v>
      </c>
      <c r="B6" s="4">
        <v>0.15419754067090899</v>
      </c>
      <c r="H6" s="1">
        <v>2</v>
      </c>
      <c r="I6" s="2">
        <f>SQRT(SUM((B11 - I1) ^2, (C11 - J1) ^ 2))</f>
        <v>0</v>
      </c>
      <c r="J6" s="2">
        <f>SQRT(SUM((B11 - I2) ^2, (C11 - J2) ^ 2))</f>
        <v>7.2994161300686597</v>
      </c>
      <c r="P6" s="1">
        <f>SUM(_xlfn.ANCHORARRAY(P1))</f>
        <v>82.599840311575321</v>
      </c>
    </row>
    <row r="7" spans="1:30" x14ac:dyDescent="0.35">
      <c r="A7" s="1" t="s">
        <v>6</v>
      </c>
      <c r="B7" s="4">
        <v>0.43403715929938502</v>
      </c>
      <c r="H7" s="1">
        <v>3</v>
      </c>
      <c r="I7" s="2">
        <f>SQRT(SUM((B12 - I1) ^2, (C12 - J1) ^ 2))</f>
        <v>7.2994161300686597</v>
      </c>
      <c r="J7" s="2">
        <f>SQRT(SUM((B12 - I2) ^2, (C12 - J2) ^ 2))</f>
        <v>0</v>
      </c>
      <c r="Q7" s="7">
        <f>P8 - P6</f>
        <v>1179606.731254508</v>
      </c>
    </row>
    <row r="8" spans="1:30" x14ac:dyDescent="0.35">
      <c r="A8" s="1" t="s">
        <v>7</v>
      </c>
      <c r="B8" s="1">
        <v>0.336292814603247</v>
      </c>
      <c r="C8" s="1">
        <v>0.36037630265352</v>
      </c>
      <c r="D8" s="1">
        <v>0.235910245192682</v>
      </c>
      <c r="E8" s="1">
        <v>0.54761341350314796</v>
      </c>
      <c r="F8" s="1">
        <v>0.5694452530438</v>
      </c>
      <c r="H8" s="1">
        <v>4</v>
      </c>
      <c r="I8" s="2">
        <f>SQRT(SUM((B13 - I1) ^2, (C13 - J1) ^ 2))</f>
        <v>51.702174570854631</v>
      </c>
      <c r="J8" s="2">
        <f>SQRT(SUM((B13 - I2) ^2, (C13 - J2) ^ 2))</f>
        <v>46.148693778131971</v>
      </c>
      <c r="L8" s="1">
        <v>1</v>
      </c>
      <c r="M8" s="1" cm="1">
        <f t="array" ref="M8">SUM(M1:M5*TRANSPOSE(B9:F9))</f>
        <v>1250</v>
      </c>
      <c r="N8" s="1" cm="1">
        <f t="array" ref="N8:N9">M8:M9*B5</f>
        <v>596250</v>
      </c>
      <c r="O8" s="1" cm="1">
        <f t="array" ref="O8:O9">_xlfn.ANCHORARRAY(N8)*B3</f>
        <v>266415.83809729439</v>
      </c>
      <c r="P8" s="1">
        <f>SUM(_xlfn.ANCHORARRAY(O8))</f>
        <v>1179689.3310948196</v>
      </c>
      <c r="Z8" s="5" t="s">
        <v>19</v>
      </c>
      <c r="AA8" s="6">
        <v>1324450.7985213236</v>
      </c>
      <c r="AC8" s="6" t="str" cm="1">
        <f t="array" ref="AC8:AD17">_xlfn._xlws.SORT(Z8:AA17,2,-1)</f>
        <v>2-3</v>
      </c>
      <c r="AD8" s="1">
        <v>1324477.6736141571</v>
      </c>
    </row>
    <row r="9" spans="1:30" x14ac:dyDescent="0.35">
      <c r="A9" s="1" t="s">
        <v>8</v>
      </c>
      <c r="B9" s="1">
        <v>1967</v>
      </c>
      <c r="C9" s="1">
        <v>1250</v>
      </c>
      <c r="D9" s="1">
        <v>452</v>
      </c>
      <c r="E9" s="1">
        <v>1866</v>
      </c>
      <c r="F9" s="1">
        <v>756</v>
      </c>
      <c r="H9" s="1">
        <v>5</v>
      </c>
      <c r="I9" s="2">
        <f>SQRT(SUM((B14 - I1) ^2, (C14 - J1) ^ 2))</f>
        <v>57.018116401481947</v>
      </c>
      <c r="J9" s="2">
        <f>SQRT(SUM((B14 - I2) ^2, (C14 - J2) ^ 2))</f>
        <v>57.627717409188229</v>
      </c>
      <c r="L9" s="1">
        <v>2</v>
      </c>
      <c r="M9" s="1" cm="1">
        <f t="array" ref="M9">SUM(N1:N5*TRANSPOSE(B9:F9))</f>
        <v>4285</v>
      </c>
      <c r="N9" s="1">
        <v>2043945</v>
      </c>
      <c r="O9" s="1">
        <v>913273.49299752514</v>
      </c>
      <c r="Z9" s="5" t="s">
        <v>18</v>
      </c>
      <c r="AA9" s="6">
        <v>1324457.3066529324</v>
      </c>
      <c r="AC9" s="1" t="str">
        <v>3-5</v>
      </c>
      <c r="AD9" s="1">
        <v>1324477.6736137499</v>
      </c>
    </row>
    <row r="10" spans="1:30" x14ac:dyDescent="0.35">
      <c r="A10" s="1" t="s">
        <v>9</v>
      </c>
      <c r="B10" s="1">
        <v>26.2024675015581</v>
      </c>
      <c r="C10" s="1">
        <v>15.8683972154465</v>
      </c>
      <c r="D10" s="1">
        <f>AVERAGE(SQRT(SUM((B10-B10)^2,(C10-C10)^2)),SQRT(SUM((B10-B11)^2,(C10-C11)^2)),SQRT(SUM((B10-B12)^2,(C10-C12)^2)),SQRT(SUM((B10-B13)^2,(C10-C13)^2)),SQRT(SUM((B10-B14)^2,(C10-C14)^2)))</f>
        <v>39.115271200528717</v>
      </c>
      <c r="Z10" s="5" t="s">
        <v>17</v>
      </c>
      <c r="AA10" s="6">
        <v>1324412.0176672051</v>
      </c>
      <c r="AC10" s="1" t="str">
        <v>2-5</v>
      </c>
      <c r="AD10" s="1">
        <v>1324471.1654821411</v>
      </c>
    </row>
    <row r="11" spans="1:30" x14ac:dyDescent="0.35">
      <c r="B11" s="1">
        <v>27.812651949435899</v>
      </c>
      <c r="C11" s="1">
        <v>45.931688721456602</v>
      </c>
      <c r="D11" s="1">
        <f>AVERAGE(SQRT(SUM((B11-B10)^2,(C11-C10)^2)),SQRT(SUM((B11-B11)^2,(C11-C11)^2)),SQRT(SUM((B11-B12)^2,(C11-C12)^2)),SQRT(SUM((B11-B13)^2,(C11-C13)^2)),SQRT(SUM((B11-B14)^2,(C11-C14)^2)))</f>
        <v>29.225217664373293</v>
      </c>
      <c r="Z11" s="5" t="s">
        <v>16</v>
      </c>
      <c r="AA11" s="6">
        <v>1324442.0821758474</v>
      </c>
      <c r="AC11" s="1" t="str">
        <v>1-3</v>
      </c>
      <c r="AD11" s="1">
        <v>1324457.3066529324</v>
      </c>
    </row>
    <row r="12" spans="1:30" x14ac:dyDescent="0.35">
      <c r="B12" s="1">
        <v>32.100054052016702</v>
      </c>
      <c r="C12" s="1">
        <v>51.8392820597537</v>
      </c>
      <c r="D12" s="1">
        <f>AVERAGE(SQRT(SUM((B12-B10)^2,(C12-C10)^2)),SQRT(SUM((B12-B11)^2,(C12-C11)^2)),SQRT(SUM((B12-B12)^2,(C12-C12)^2)),SQRT(SUM((B12-B13)^2,(C12-C13)^2)),SQRT(SUM((B12-B14)^2,(C12-C14)^2)))</f>
        <v>29.50539477016644</v>
      </c>
      <c r="Z12" s="5" t="s">
        <v>15</v>
      </c>
      <c r="AA12" s="6">
        <v>1324477.6736141571</v>
      </c>
      <c r="AC12" s="1" t="str">
        <v>1-2</v>
      </c>
      <c r="AD12" s="1">
        <v>1324450.7985213236</v>
      </c>
    </row>
    <row r="13" spans="1:30" x14ac:dyDescent="0.35">
      <c r="B13" s="1">
        <v>26.194292556514402</v>
      </c>
      <c r="C13" s="1">
        <v>97.6085284877433</v>
      </c>
      <c r="D13" s="1">
        <f>AVERAGE(SQRT(SUM((B13-B10)^2,(C13-C10)^2)),SQRT(SUM((B13-B11)^2,(C13-C11)^2)),SQRT(SUM((B13-B12)^2,(C13-C12)^2)),SQRT(SUM((B13-B13)^2,(C13-C13)^2)),SQRT(SUM((B13-B14)^2,(C13-C14)^2)))</f>
        <v>55.54181605547204</v>
      </c>
      <c r="Z13" s="5" t="s">
        <v>14</v>
      </c>
      <c r="AA13" s="6">
        <v>1324432.384628596</v>
      </c>
      <c r="AC13" s="1" t="str">
        <v>1-5</v>
      </c>
      <c r="AD13" s="1">
        <v>1324442.0821758474</v>
      </c>
    </row>
    <row r="14" spans="1:30" x14ac:dyDescent="0.35">
      <c r="B14" s="1">
        <v>73.281455269048195</v>
      </c>
      <c r="C14" s="1">
        <v>11.5274226683149</v>
      </c>
      <c r="D14" s="1">
        <f>AVERAGE(SQRT(SUM((B14-B10)^2,(C14-C10)^2)),SQRT(SUM((B14-B11)^2,(C14-C11)^2)),SQRT(SUM((B14-B12)^2,(C14-C12)^2)),SQRT(SUM((B14-B13)^2,(C14-C13)^2)),SQRT(SUM((B14-B14)^2,(C14-C14)^2)))</f>
        <v>52.008522125320312</v>
      </c>
      <c r="Z14" s="5" t="s">
        <v>13</v>
      </c>
      <c r="AA14" s="6">
        <v>1324471.1654821411</v>
      </c>
      <c r="AC14" s="1" t="str">
        <v>4-5</v>
      </c>
      <c r="AD14" s="1">
        <v>1324432.384628603</v>
      </c>
    </row>
    <row r="15" spans="1:30" x14ac:dyDescent="0.35">
      <c r="Z15" s="5" t="s">
        <v>12</v>
      </c>
      <c r="AA15" s="6">
        <v>1324424.4756114583</v>
      </c>
      <c r="AC15" s="1" t="str">
        <v>2-4</v>
      </c>
      <c r="AD15" s="1">
        <v>1324432.384628596</v>
      </c>
    </row>
    <row r="16" spans="1:30" x14ac:dyDescent="0.35">
      <c r="Z16" s="5" t="s">
        <v>11</v>
      </c>
      <c r="AA16" s="1">
        <v>1324477.6736137499</v>
      </c>
      <c r="AC16" s="1" t="str">
        <v>3-4</v>
      </c>
      <c r="AD16" s="1">
        <v>1324424.4756114583</v>
      </c>
    </row>
    <row r="17" spans="26:30" x14ac:dyDescent="0.35">
      <c r="Z17" s="5" t="s">
        <v>10</v>
      </c>
      <c r="AA17" s="1">
        <v>1324432.384628603</v>
      </c>
      <c r="AC17" s="1" t="str">
        <v>1-4</v>
      </c>
      <c r="AD17" s="1">
        <v>1324412.0176672051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5A-6E26-4E65-82F7-21A6AFF11A3C}">
  <dimension ref="A1:BG15"/>
  <sheetViews>
    <sheetView topLeftCell="E1" zoomScaleNormal="100" workbookViewId="0">
      <selection activeCell="O8" sqref="O8"/>
    </sheetView>
  </sheetViews>
  <sheetFormatPr defaultColWidth="8.7265625" defaultRowHeight="14.5" x14ac:dyDescent="0.35"/>
  <cols>
    <col min="1" max="59" width="8.6328125" style="1" customWidth="1"/>
    <col min="60" max="60" width="8.54296875" style="1" customWidth="1"/>
    <col min="61" max="64" width="8.7265625" style="1"/>
    <col min="65" max="65" width="9.7265625" style="1" bestFit="1" customWidth="1"/>
    <col min="66" max="66" width="8.7265625" style="1"/>
    <col min="67" max="67" width="13" style="1" bestFit="1" customWidth="1"/>
    <col min="68" max="16384" width="8.7265625" style="1"/>
  </cols>
  <sheetData>
    <row r="1" spans="1:59" x14ac:dyDescent="0.35">
      <c r="A1" s="1" t="s">
        <v>0</v>
      </c>
      <c r="B1" s="1">
        <v>4</v>
      </c>
      <c r="H1" s="1">
        <v>1</v>
      </c>
      <c r="I1" s="8" cm="1">
        <f t="array" ref="I1:J4">_xlfn.CHOOSEROWS(B10:C13,D10,D11,D12,D13)</f>
        <v>26.2024675015581</v>
      </c>
      <c r="J1" s="8">
        <v>15.8683972154465</v>
      </c>
      <c r="N1" s="1">
        <v>1</v>
      </c>
      <c r="O1" s="2">
        <v>0</v>
      </c>
      <c r="P1" s="2">
        <v>1967</v>
      </c>
      <c r="Q1" s="2">
        <v>0</v>
      </c>
      <c r="R1" s="2">
        <v>0</v>
      </c>
      <c r="T1" s="2" cm="1">
        <f t="array" ref="T1:T4">TRANSPOSE(B9:E9)</f>
        <v>1967</v>
      </c>
      <c r="U1" s="2" cm="1">
        <f t="array" ref="U1:U4">_xlfn.ANCHORARRAY(T1)*Y1:Y4</f>
        <v>1967</v>
      </c>
      <c r="V1" s="2" cm="1">
        <f t="array" ref="V1:V4">_xlfn.ANCHORARRAY(T1)*Z1:Z4</f>
        <v>0</v>
      </c>
      <c r="W1" s="2" cm="1">
        <f t="array" ref="W1:W4">_xlfn.ANCHORARRAY(T1)*AA1:AA4</f>
        <v>0</v>
      </c>
      <c r="Y1" s="2">
        <v>1</v>
      </c>
      <c r="Z1" s="2">
        <v>0</v>
      </c>
      <c r="AA1" s="2">
        <v>0</v>
      </c>
      <c r="AB1" s="2">
        <v>0</v>
      </c>
      <c r="AD1" s="2" cm="1">
        <f t="array" ref="AD1:AG4">- O1:R4</f>
        <v>0</v>
      </c>
      <c r="AE1" s="2">
        <v>-1967</v>
      </c>
      <c r="AF1" s="2">
        <v>0</v>
      </c>
      <c r="AG1" s="2">
        <v>0</v>
      </c>
      <c r="AH1" s="2" cm="1">
        <f t="array" ref="AH1:AK4">Y1:AB4 * 99999</f>
        <v>99999</v>
      </c>
      <c r="AI1" s="2">
        <v>0</v>
      </c>
      <c r="AJ1" s="2">
        <v>0</v>
      </c>
      <c r="AK1" s="2">
        <v>0</v>
      </c>
      <c r="AM1" s="2" cm="1">
        <f t="array" ref="AM1:AP4">O1:R4</f>
        <v>0</v>
      </c>
      <c r="AN1" s="2">
        <v>1967</v>
      </c>
      <c r="AO1" s="2">
        <v>0</v>
      </c>
      <c r="AP1" s="2">
        <v>0</v>
      </c>
      <c r="AQ1" s="2" cm="1">
        <f t="array" ref="AQ1:AT4">(1 - Y1:AB4) * 99999</f>
        <v>0</v>
      </c>
      <c r="AR1" s="2">
        <v>99999</v>
      </c>
      <c r="AS1" s="2">
        <v>99999</v>
      </c>
      <c r="AT1" s="2">
        <v>99999</v>
      </c>
      <c r="AV1" s="2" cm="1">
        <f t="array" ref="AV1:AV4">1 - Y1:Y4</f>
        <v>0</v>
      </c>
      <c r="AW1" s="2" cm="1">
        <f t="array" ref="AW1:AW4">Y1:Y4 - Z1:Z4</f>
        <v>1</v>
      </c>
      <c r="AX1" s="2" cm="1">
        <f t="array" ref="AX1:AX4">Z1:Z4 - AA1:AA4</f>
        <v>0</v>
      </c>
      <c r="AY1" s="2" cm="1">
        <f t="array" ref="AY1:AY4">AA1:AA4 - AB1:AB4</f>
        <v>0</v>
      </c>
      <c r="BA1" s="8" cm="1">
        <f t="array" ref="BA1:BA4">_xlfn.ANCHORARRAY(AV1) * I6:I9 +_xlfn.ANCHORARRAY( AW1) * J6:J9 +_xlfn.ANCHORARRAY( AX1) * K6:K9 +_xlfn.ANCHORARRAY( AY1) * L6:L9</f>
        <v>30.106381219461209</v>
      </c>
      <c r="BC1" s="1">
        <v>1</v>
      </c>
      <c r="BD1" s="3">
        <f>IF(BE1 &gt; 0, BE1/SUM(O1:O4),0)</f>
        <v>0</v>
      </c>
      <c r="BE1" s="9" cm="1">
        <f t="array" ref="BE1">SUM(O1:O4 * TRANSPOSE(B8:E8))</f>
        <v>0</v>
      </c>
      <c r="BF1" s="9">
        <f>SUM(O1:O4) * B6</f>
        <v>0</v>
      </c>
      <c r="BG1" s="9">
        <f>SUM(O1:O4) * B7</f>
        <v>0</v>
      </c>
    </row>
    <row r="2" spans="1:59" x14ac:dyDescent="0.35">
      <c r="A2" s="1" t="s">
        <v>1</v>
      </c>
      <c r="B2" s="1">
        <v>4</v>
      </c>
      <c r="H2" s="1">
        <v>2</v>
      </c>
      <c r="I2" s="8">
        <v>27.812651949435899</v>
      </c>
      <c r="J2" s="8">
        <v>45.931688721456602</v>
      </c>
      <c r="N2" s="1">
        <v>2</v>
      </c>
      <c r="O2" s="2">
        <v>0</v>
      </c>
      <c r="P2" s="2">
        <v>0</v>
      </c>
      <c r="Q2" s="2">
        <v>1250</v>
      </c>
      <c r="R2" s="2">
        <v>0</v>
      </c>
      <c r="T2" s="2">
        <v>1250</v>
      </c>
      <c r="U2" s="2">
        <v>1250</v>
      </c>
      <c r="V2" s="2">
        <v>1250</v>
      </c>
      <c r="W2" s="2">
        <v>0</v>
      </c>
      <c r="Y2" s="2">
        <v>1</v>
      </c>
      <c r="Z2" s="2">
        <v>1</v>
      </c>
      <c r="AA2" s="2">
        <v>0</v>
      </c>
      <c r="AB2" s="2">
        <v>0</v>
      </c>
      <c r="AD2" s="2">
        <v>0</v>
      </c>
      <c r="AE2" s="2">
        <v>0</v>
      </c>
      <c r="AF2" s="2">
        <v>-1250</v>
      </c>
      <c r="AG2" s="2">
        <v>0</v>
      </c>
      <c r="AH2" s="2">
        <v>99999</v>
      </c>
      <c r="AI2" s="2">
        <v>99999</v>
      </c>
      <c r="AJ2" s="2">
        <v>0</v>
      </c>
      <c r="AK2" s="2">
        <v>0</v>
      </c>
      <c r="AM2" s="2">
        <v>0</v>
      </c>
      <c r="AN2" s="2">
        <v>0</v>
      </c>
      <c r="AO2" s="2">
        <v>1250</v>
      </c>
      <c r="AP2" s="2">
        <v>0</v>
      </c>
      <c r="AQ2" s="2">
        <v>0</v>
      </c>
      <c r="AR2" s="2">
        <v>0</v>
      </c>
      <c r="AS2" s="2">
        <v>99999</v>
      </c>
      <c r="AT2" s="2">
        <v>99999</v>
      </c>
      <c r="AV2" s="2">
        <v>0</v>
      </c>
      <c r="AW2" s="2">
        <v>0</v>
      </c>
      <c r="AX2" s="2">
        <v>1</v>
      </c>
      <c r="AY2" s="2">
        <v>0</v>
      </c>
      <c r="BA2" s="8">
        <v>7.2994161300686597</v>
      </c>
      <c r="BC2" s="1">
        <v>2</v>
      </c>
      <c r="BD2" s="3">
        <f>IF(BE2 &gt; 0, BE2/SUM(P1:P4),0)</f>
        <v>0.41772836096815713</v>
      </c>
      <c r="BE2" s="9" cm="1">
        <f t="array" ref="BE2">SUM(P1:P4 * TRANSPOSE(B8:E8))</f>
        <v>1789.9660267485533</v>
      </c>
      <c r="BF2" s="9">
        <f>SUM(P1:P4) * B6</f>
        <v>660.736461774845</v>
      </c>
      <c r="BG2" s="9">
        <f>SUM(P1:P4) * B7</f>
        <v>1859.8492275978649</v>
      </c>
    </row>
    <row r="3" spans="1:59" x14ac:dyDescent="0.35">
      <c r="A3" s="1" t="s">
        <v>2</v>
      </c>
      <c r="B3" s="7">
        <v>0.44681901567680399</v>
      </c>
      <c r="H3" s="1">
        <v>3</v>
      </c>
      <c r="I3" s="8">
        <v>32.100054052016702</v>
      </c>
      <c r="J3" s="8">
        <v>51.8392820597537</v>
      </c>
      <c r="N3" s="1">
        <v>3</v>
      </c>
      <c r="O3" s="2">
        <v>0</v>
      </c>
      <c r="P3" s="2">
        <v>452</v>
      </c>
      <c r="Q3" s="2">
        <v>0</v>
      </c>
      <c r="R3" s="2">
        <v>0</v>
      </c>
      <c r="T3" s="2">
        <v>452</v>
      </c>
      <c r="U3" s="2">
        <v>452</v>
      </c>
      <c r="V3" s="2">
        <v>0</v>
      </c>
      <c r="W3" s="2">
        <v>0</v>
      </c>
      <c r="Y3" s="2">
        <v>1</v>
      </c>
      <c r="Z3" s="2">
        <v>0</v>
      </c>
      <c r="AA3" s="2">
        <v>0</v>
      </c>
      <c r="AB3" s="2">
        <v>0</v>
      </c>
      <c r="AD3" s="2">
        <v>0</v>
      </c>
      <c r="AE3" s="2">
        <v>-452</v>
      </c>
      <c r="AF3" s="2">
        <v>0</v>
      </c>
      <c r="AG3" s="2">
        <v>0</v>
      </c>
      <c r="AH3" s="2">
        <v>99999</v>
      </c>
      <c r="AI3" s="2">
        <v>0</v>
      </c>
      <c r="AJ3" s="2">
        <v>0</v>
      </c>
      <c r="AK3" s="2">
        <v>0</v>
      </c>
      <c r="AM3" s="2">
        <v>0</v>
      </c>
      <c r="AN3" s="2">
        <v>452</v>
      </c>
      <c r="AO3" s="2">
        <v>0</v>
      </c>
      <c r="AP3" s="2">
        <v>0</v>
      </c>
      <c r="AQ3" s="2">
        <v>0</v>
      </c>
      <c r="AR3" s="2">
        <v>99999</v>
      </c>
      <c r="AS3" s="2">
        <v>99999</v>
      </c>
      <c r="AT3" s="2">
        <v>99999</v>
      </c>
      <c r="AV3" s="2">
        <v>0</v>
      </c>
      <c r="AW3" s="2">
        <v>1</v>
      </c>
      <c r="AX3" s="2">
        <v>0</v>
      </c>
      <c r="AY3" s="2">
        <v>0</v>
      </c>
      <c r="BA3" s="8">
        <v>7.2994161300686597</v>
      </c>
      <c r="BC3" s="1">
        <v>3</v>
      </c>
      <c r="BD3" s="3">
        <f>IF(BE3 &gt; 0, BE3/SUM(Q1:Q4),0)</f>
        <v>0.36037630265352</v>
      </c>
      <c r="BE3" s="9" cm="1">
        <f t="array" ref="BE3">SUM(Q1:Q4 * TRANSPOSE(B8:E8))</f>
        <v>450.4703783169</v>
      </c>
      <c r="BF3" s="9">
        <f>SUM(Q1:Q4) * B6</f>
        <v>192.74692583863623</v>
      </c>
      <c r="BG3" s="9">
        <f>SUM(Q1:Q4) * B7</f>
        <v>542.54644912423123</v>
      </c>
    </row>
    <row r="4" spans="1:59" x14ac:dyDescent="0.35">
      <c r="A4" s="1" t="s">
        <v>3</v>
      </c>
      <c r="B4" s="1">
        <v>2211000</v>
      </c>
      <c r="H4" s="1">
        <v>4</v>
      </c>
      <c r="I4" s="8">
        <v>26.194292556514402</v>
      </c>
      <c r="J4" s="8">
        <v>97.6085284877433</v>
      </c>
      <c r="N4" s="1">
        <v>4</v>
      </c>
      <c r="O4" s="2">
        <v>0</v>
      </c>
      <c r="P4" s="2">
        <v>1866</v>
      </c>
      <c r="Q4" s="2">
        <v>0</v>
      </c>
      <c r="R4" s="2">
        <v>0</v>
      </c>
      <c r="T4" s="2">
        <v>1866</v>
      </c>
      <c r="U4" s="2">
        <v>1866</v>
      </c>
      <c r="V4" s="2">
        <v>0</v>
      </c>
      <c r="W4" s="2">
        <v>0</v>
      </c>
      <c r="Y4" s="2">
        <v>1</v>
      </c>
      <c r="Z4" s="2">
        <v>0</v>
      </c>
      <c r="AA4" s="2">
        <v>0</v>
      </c>
      <c r="AB4" s="2">
        <v>0</v>
      </c>
      <c r="AD4" s="2">
        <v>0</v>
      </c>
      <c r="AE4" s="2">
        <v>-1866</v>
      </c>
      <c r="AF4" s="2">
        <v>0</v>
      </c>
      <c r="AG4" s="2">
        <v>0</v>
      </c>
      <c r="AH4" s="2">
        <v>99999</v>
      </c>
      <c r="AI4" s="2">
        <v>0</v>
      </c>
      <c r="AJ4" s="2">
        <v>0</v>
      </c>
      <c r="AK4" s="2">
        <v>0</v>
      </c>
      <c r="AM4" s="2">
        <v>0</v>
      </c>
      <c r="AN4" s="2">
        <v>1866</v>
      </c>
      <c r="AO4" s="2">
        <v>0</v>
      </c>
      <c r="AP4" s="2">
        <v>0</v>
      </c>
      <c r="AQ4" s="2">
        <v>0</v>
      </c>
      <c r="AR4" s="2">
        <v>99999</v>
      </c>
      <c r="AS4" s="2">
        <v>99999</v>
      </c>
      <c r="AT4" s="2">
        <v>99999</v>
      </c>
      <c r="AV4" s="2">
        <v>0</v>
      </c>
      <c r="AW4" s="2">
        <v>1</v>
      </c>
      <c r="AX4" s="2">
        <v>0</v>
      </c>
      <c r="AY4" s="2">
        <v>0</v>
      </c>
      <c r="BA4" s="8">
        <v>51.702174570854631</v>
      </c>
      <c r="BC4" s="1">
        <v>4</v>
      </c>
      <c r="BD4" s="3">
        <f>IF(BE4 &gt; 0, BE4/SUM(R1:R4),0)</f>
        <v>0</v>
      </c>
      <c r="BE4" s="1" cm="1">
        <f t="array" ref="BE4">SUM(R1:R4 * TRANSPOSE(B8:E8))</f>
        <v>0</v>
      </c>
      <c r="BF4" s="1">
        <f>SUM(R1:R4) * B6</f>
        <v>0</v>
      </c>
      <c r="BG4" s="1">
        <f>SUM(R1:R4) * B7</f>
        <v>0</v>
      </c>
    </row>
    <row r="5" spans="1:59" x14ac:dyDescent="0.35">
      <c r="A5" s="1" t="s">
        <v>4</v>
      </c>
      <c r="B5" s="1">
        <v>477</v>
      </c>
      <c r="BA5" s="7">
        <f>SUM(BA1:BA4)</f>
        <v>96.407388050453164</v>
      </c>
    </row>
    <row r="6" spans="1:59" x14ac:dyDescent="0.35">
      <c r="A6" s="1" t="s">
        <v>5</v>
      </c>
      <c r="B6" s="3">
        <v>0.15419754067090899</v>
      </c>
      <c r="H6" s="1">
        <v>1</v>
      </c>
      <c r="I6" s="8">
        <f>SQRT(SUM((B10 - I1) ^2, (C10 - J1) ^ 2))</f>
        <v>0</v>
      </c>
      <c r="J6" s="8">
        <f>SQRT(SUM((B10 - I2) ^2, (C10 - J2) ^ 2))</f>
        <v>30.106381219461209</v>
      </c>
      <c r="K6" s="8">
        <f>SQRT(SUM((B10 - I3) ^2, (C10 - J3) ^ 2))</f>
        <v>36.451146533443357</v>
      </c>
      <c r="L6" s="8">
        <f>SQRT(SUM((B10 - I4) ^2, (C10 - J4) ^ 2))</f>
        <v>81.740131681090645</v>
      </c>
    </row>
    <row r="7" spans="1:59" x14ac:dyDescent="0.35">
      <c r="A7" s="1" t="s">
        <v>6</v>
      </c>
      <c r="B7" s="3">
        <v>0.43403715929938502</v>
      </c>
      <c r="H7" s="1">
        <v>2</v>
      </c>
      <c r="I7" s="8">
        <f>SQRT(SUM((B11 - I1) ^2, (C11 - J1) ^ 2))</f>
        <v>30.106381219461209</v>
      </c>
      <c r="J7" s="8">
        <f>SQRT(SUM((B11 - I2) ^2, (C11 - J2) ^ 2))</f>
        <v>0</v>
      </c>
      <c r="K7" s="8">
        <f>SQRT(SUM((B11 - I3) ^2, (C11 - J3) ^ 2))</f>
        <v>7.2994161300686597</v>
      </c>
      <c r="L7" s="8">
        <f>SQRT(SUM((B11 - I4) ^2, (C11 - J4) ^ 2))</f>
        <v>51.702174570854631</v>
      </c>
      <c r="N7" s="1">
        <v>1</v>
      </c>
      <c r="O7" s="1">
        <f>SUM(O1:O4)</f>
        <v>0</v>
      </c>
      <c r="P7" s="1" cm="1">
        <f t="array" ref="P7:P10">O7:O10*B5</f>
        <v>0</v>
      </c>
      <c r="Q7" s="1" cm="1">
        <f t="array" ref="Q7:Q10">_xlfn.ANCHORARRAY(P7)*B3</f>
        <v>0</v>
      </c>
      <c r="R7" s="1">
        <f>SUM(_xlfn.ANCHORARRAY(Q7))</f>
        <v>1179689.3310948196</v>
      </c>
    </row>
    <row r="8" spans="1:59" x14ac:dyDescent="0.35">
      <c r="A8" s="1" t="s">
        <v>7</v>
      </c>
      <c r="B8" s="7">
        <v>0.336292814603247</v>
      </c>
      <c r="C8" s="7">
        <v>0.36037630265352</v>
      </c>
      <c r="D8" s="7">
        <v>0.235910245192682</v>
      </c>
      <c r="E8" s="7">
        <v>0.54761341350314796</v>
      </c>
      <c r="H8" s="1">
        <v>3</v>
      </c>
      <c r="I8" s="8">
        <f>SQRT(SUM((B12 - I1) ^2, (C12 - J1) ^ 2))</f>
        <v>36.451146533443357</v>
      </c>
      <c r="J8" s="8">
        <f>SQRT(SUM((B12 - I2) ^2, (C12 - J2) ^ 2))</f>
        <v>7.2994161300686597</v>
      </c>
      <c r="K8" s="8">
        <f>SQRT(SUM((B12 - I3) ^2, (C12 - J3) ^ 2))</f>
        <v>0</v>
      </c>
      <c r="L8" s="8">
        <f>SQRT(SUM((B12 - I4) ^2, (C12 - J4) ^ 2))</f>
        <v>46.148693778131971</v>
      </c>
      <c r="N8" s="1">
        <v>2</v>
      </c>
      <c r="O8" s="1">
        <f>SUM(P1:P4)</f>
        <v>4285</v>
      </c>
      <c r="P8" s="1">
        <v>2043945</v>
      </c>
      <c r="Q8" s="1">
        <v>913273.49299752514</v>
      </c>
      <c r="AL8" s="6"/>
      <c r="AU8" s="6"/>
      <c r="AV8" s="6"/>
      <c r="AW8" s="6"/>
      <c r="AX8" s="6"/>
      <c r="AY8" s="6"/>
      <c r="AZ8" s="6"/>
      <c r="BA8" s="1">
        <f>R7 - BA5</f>
        <v>1179592.9237067692</v>
      </c>
      <c r="BB8" s="6"/>
    </row>
    <row r="9" spans="1:59" x14ac:dyDescent="0.35">
      <c r="A9" s="1" t="s">
        <v>8</v>
      </c>
      <c r="B9" s="1">
        <v>1967</v>
      </c>
      <c r="C9" s="1">
        <v>1250</v>
      </c>
      <c r="D9" s="1">
        <v>452</v>
      </c>
      <c r="E9" s="1">
        <v>1866</v>
      </c>
      <c r="H9" s="1">
        <v>4</v>
      </c>
      <c r="I9" s="8">
        <f>SQRT(SUM((B13 - I1) ^2, (C13 - J1) ^ 2))</f>
        <v>81.740131681090645</v>
      </c>
      <c r="J9" s="8">
        <f>SQRT(SUM((B13 - I2) ^2, (C13 - J2) ^ 2))</f>
        <v>51.702174570854631</v>
      </c>
      <c r="K9" s="8">
        <f>SQRT(SUM((B13 - I3) ^2, (C13 - J3) ^ 2))</f>
        <v>46.148693778131971</v>
      </c>
      <c r="L9" s="8">
        <f>SQRT(SUM((B13 - I4) ^2, (C13 - J4) ^ 2))</f>
        <v>0</v>
      </c>
      <c r="N9" s="1">
        <v>3</v>
      </c>
      <c r="O9" s="1">
        <f>SUM(Q1:Q4)</f>
        <v>1250</v>
      </c>
      <c r="P9" s="1">
        <v>596250</v>
      </c>
      <c r="Q9" s="1">
        <v>266415.83809729439</v>
      </c>
      <c r="AL9" s="6"/>
      <c r="AU9" s="6"/>
      <c r="AV9" s="6"/>
      <c r="AW9" s="6"/>
      <c r="AX9" s="6"/>
      <c r="AY9" s="6"/>
      <c r="AZ9" s="6"/>
    </row>
    <row r="10" spans="1:59" x14ac:dyDescent="0.35">
      <c r="A10" s="1" t="s">
        <v>9</v>
      </c>
      <c r="B10" s="7">
        <v>26.2024675015581</v>
      </c>
      <c r="C10" s="7">
        <v>15.8683972154465</v>
      </c>
      <c r="D10" s="1">
        <v>1</v>
      </c>
      <c r="N10" s="1">
        <v>4</v>
      </c>
      <c r="O10" s="1">
        <f>SUM(R1:R4)</f>
        <v>0</v>
      </c>
      <c r="P10" s="1">
        <v>0</v>
      </c>
      <c r="Q10" s="1">
        <v>0</v>
      </c>
      <c r="AL10" s="6"/>
      <c r="AU10" s="6"/>
      <c r="AV10" s="6"/>
      <c r="AW10" s="6"/>
      <c r="AX10" s="6"/>
      <c r="AY10" s="6"/>
      <c r="AZ10" s="6"/>
    </row>
    <row r="11" spans="1:59" x14ac:dyDescent="0.35">
      <c r="B11" s="7">
        <v>27.812651949435899</v>
      </c>
      <c r="C11" s="7">
        <v>45.931688721456602</v>
      </c>
      <c r="D11" s="1">
        <v>2</v>
      </c>
      <c r="AL11" s="6"/>
      <c r="AU11" s="6"/>
      <c r="AV11" s="6"/>
      <c r="AW11" s="6"/>
      <c r="AX11" s="6"/>
      <c r="AY11" s="6"/>
      <c r="AZ11" s="6"/>
    </row>
    <row r="12" spans="1:59" x14ac:dyDescent="0.35">
      <c r="B12" s="7">
        <v>32.100054052016702</v>
      </c>
      <c r="C12" s="7">
        <v>51.8392820597537</v>
      </c>
      <c r="D12" s="1">
        <v>3</v>
      </c>
      <c r="AL12" s="6"/>
      <c r="AU12" s="6"/>
      <c r="AV12" s="6"/>
      <c r="AW12" s="6"/>
      <c r="AX12" s="6"/>
      <c r="AY12" s="6"/>
      <c r="AZ12" s="6"/>
    </row>
    <row r="13" spans="1:59" x14ac:dyDescent="0.35">
      <c r="B13" s="7">
        <v>26.194292556514402</v>
      </c>
      <c r="C13" s="7">
        <v>97.6085284877433</v>
      </c>
      <c r="D13" s="1">
        <v>4</v>
      </c>
      <c r="AL13" s="6"/>
      <c r="AU13" s="6"/>
      <c r="AV13" s="6"/>
      <c r="AW13" s="6"/>
      <c r="AX13" s="6"/>
      <c r="AY13" s="6"/>
      <c r="AZ13" s="6"/>
    </row>
    <row r="14" spans="1:59" x14ac:dyDescent="0.35">
      <c r="AL14" s="6"/>
      <c r="AU14" s="6"/>
      <c r="AV14" s="6"/>
      <c r="AW14" s="6"/>
      <c r="AX14" s="6"/>
      <c r="AY14" s="6"/>
      <c r="AZ14" s="6"/>
    </row>
    <row r="15" spans="1:59" x14ac:dyDescent="0.35">
      <c r="AL15" s="6"/>
      <c r="AU15" s="6"/>
      <c r="AV15" s="6"/>
      <c r="AW15" s="6"/>
      <c r="AX15" s="6"/>
      <c r="AY15" s="6"/>
      <c r="AZ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 PLANTS</vt:lpstr>
      <vt:lpstr>4 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Cicala</dc:creator>
  <cp:keywords/>
  <dc:description/>
  <cp:lastModifiedBy>Daniele</cp:lastModifiedBy>
  <cp:revision/>
  <dcterms:created xsi:type="dcterms:W3CDTF">2022-12-21T08:51:59Z</dcterms:created>
  <dcterms:modified xsi:type="dcterms:W3CDTF">2023-01-02T14:48:54Z</dcterms:modified>
  <cp:category/>
  <cp:contentStatus/>
</cp:coreProperties>
</file>