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ecol\OneDrive\Рабочий стол\дз дистант\Эконометрика\"/>
    </mc:Choice>
  </mc:AlternateContent>
  <xr:revisionPtr revIDLastSave="0" documentId="8_{A9FF4F87-128B-4B93-B773-289DABE8E7A7}" xr6:coauthVersionLast="47" xr6:coauthVersionMax="47" xr10:uidLastSave="{00000000-0000-0000-0000-000000000000}"/>
  <bookViews>
    <workbookView xWindow="-120" yWindow="-120" windowWidth="29040" windowHeight="15720"/>
  </bookViews>
  <sheets>
    <sheet name="Лист1" sheetId="1" r:id="rId1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4" i="1" l="1"/>
  <c r="B92" i="1"/>
  <c r="B91" i="1"/>
  <c r="B90" i="1"/>
  <c r="M27" i="1"/>
  <c r="P28" i="1"/>
  <c r="O28" i="1"/>
  <c r="M28" i="1"/>
  <c r="C28" i="1"/>
  <c r="C27" i="1"/>
  <c r="D27" i="1"/>
  <c r="D28" i="1"/>
  <c r="E28" i="1"/>
  <c r="E27" i="1"/>
  <c r="F28" i="1"/>
  <c r="F27" i="1"/>
  <c r="G28" i="1"/>
  <c r="G27" i="1"/>
  <c r="P2" i="1"/>
  <c r="L2" i="1"/>
  <c r="J2" i="1"/>
  <c r="B76" i="1"/>
  <c r="B68" i="1"/>
  <c r="B59" i="1"/>
  <c r="B47" i="1"/>
  <c r="J21" i="1"/>
  <c r="P21" i="1"/>
  <c r="L21" i="1"/>
  <c r="G21" i="1"/>
  <c r="F21" i="1"/>
  <c r="E21" i="1"/>
  <c r="P20" i="1"/>
  <c r="J20" i="1"/>
  <c r="G20" i="1"/>
  <c r="F20" i="1"/>
  <c r="E20" i="1"/>
  <c r="P19" i="1"/>
  <c r="L19" i="1"/>
  <c r="J19" i="1"/>
  <c r="G19" i="1"/>
  <c r="F19" i="1"/>
  <c r="E19" i="1"/>
  <c r="P18" i="1"/>
  <c r="L18" i="1"/>
  <c r="G18" i="1"/>
  <c r="F18" i="1"/>
  <c r="E18" i="1"/>
  <c r="P17" i="1"/>
  <c r="J17" i="1"/>
  <c r="G17" i="1"/>
  <c r="F17" i="1"/>
  <c r="E17" i="1"/>
  <c r="P16" i="1"/>
  <c r="L16" i="1"/>
  <c r="J16" i="1"/>
  <c r="G16" i="1"/>
  <c r="F16" i="1"/>
  <c r="E16" i="1"/>
  <c r="P15" i="1"/>
  <c r="L15" i="1"/>
  <c r="G15" i="1"/>
  <c r="F15" i="1"/>
  <c r="E15" i="1"/>
  <c r="P14" i="1"/>
  <c r="L14" i="1"/>
  <c r="J14" i="1"/>
  <c r="G14" i="1"/>
  <c r="F14" i="1"/>
  <c r="E14" i="1"/>
  <c r="P13" i="1"/>
  <c r="L13" i="1"/>
  <c r="J13" i="1"/>
  <c r="G13" i="1"/>
  <c r="F13" i="1"/>
  <c r="E13" i="1"/>
  <c r="P12" i="1"/>
  <c r="L12" i="1"/>
  <c r="G12" i="1"/>
  <c r="F12" i="1"/>
  <c r="E12" i="1"/>
  <c r="P11" i="1"/>
  <c r="L11" i="1"/>
  <c r="J11" i="1"/>
  <c r="G11" i="1"/>
  <c r="F11" i="1"/>
  <c r="E11" i="1"/>
  <c r="P10" i="1"/>
  <c r="L10" i="1"/>
  <c r="J10" i="1"/>
  <c r="G10" i="1"/>
  <c r="F10" i="1"/>
  <c r="E10" i="1"/>
  <c r="P9" i="1"/>
  <c r="L9" i="1"/>
  <c r="G9" i="1"/>
  <c r="F9" i="1"/>
  <c r="E9" i="1"/>
  <c r="P8" i="1"/>
  <c r="L8" i="1"/>
  <c r="J8" i="1"/>
  <c r="G8" i="1"/>
  <c r="F8" i="1"/>
  <c r="E8" i="1"/>
  <c r="P7" i="1"/>
  <c r="L7" i="1"/>
  <c r="J7" i="1"/>
  <c r="G7" i="1"/>
  <c r="F7" i="1"/>
  <c r="E7" i="1"/>
  <c r="P6" i="1"/>
  <c r="L6" i="1"/>
  <c r="G6" i="1"/>
  <c r="F6" i="1"/>
  <c r="E6" i="1"/>
  <c r="P5" i="1"/>
  <c r="L5" i="1"/>
  <c r="J5" i="1"/>
  <c r="G5" i="1"/>
  <c r="F5" i="1"/>
  <c r="E5" i="1"/>
  <c r="P4" i="1"/>
  <c r="L4" i="1"/>
  <c r="J4" i="1"/>
  <c r="G4" i="1"/>
  <c r="F4" i="1"/>
  <c r="E4" i="1"/>
  <c r="P3" i="1"/>
  <c r="L3" i="1"/>
  <c r="G3" i="1"/>
  <c r="F3" i="1"/>
  <c r="E3" i="1"/>
  <c r="G2" i="1"/>
  <c r="F2" i="1"/>
  <c r="E2" i="1"/>
  <c r="B31" i="1" l="1"/>
  <c r="B30" i="1" s="1"/>
  <c r="I2" i="1" s="1"/>
  <c r="P27" i="1"/>
  <c r="L17" i="1"/>
  <c r="L28" i="1" s="1"/>
  <c r="L20" i="1"/>
  <c r="J3" i="1"/>
  <c r="J6" i="1"/>
  <c r="J9" i="1"/>
  <c r="J12" i="1"/>
  <c r="J15" i="1"/>
  <c r="J18" i="1"/>
  <c r="L27" i="1" l="1"/>
  <c r="J27" i="1"/>
  <c r="J28" i="1"/>
  <c r="K2" i="1"/>
  <c r="M2" i="1"/>
  <c r="I20" i="1"/>
  <c r="I17" i="1"/>
  <c r="I14" i="1"/>
  <c r="I11" i="1"/>
  <c r="I8" i="1"/>
  <c r="I5" i="1"/>
  <c r="I21" i="1"/>
  <c r="I18" i="1"/>
  <c r="I15" i="1"/>
  <c r="I12" i="1"/>
  <c r="I9" i="1"/>
  <c r="I6" i="1"/>
  <c r="I3" i="1"/>
  <c r="I16" i="1"/>
  <c r="I10" i="1"/>
  <c r="I7" i="1"/>
  <c r="I4" i="1"/>
  <c r="I13" i="1"/>
  <c r="I19" i="1"/>
  <c r="B34" i="1"/>
  <c r="I27" i="1" l="1"/>
  <c r="I28" i="1"/>
  <c r="O2" i="1"/>
  <c r="B57" i="1"/>
  <c r="B56" i="1"/>
  <c r="B46" i="1"/>
  <c r="K15" i="1"/>
  <c r="H15" i="1"/>
  <c r="M15" i="1"/>
  <c r="M4" i="1"/>
  <c r="H4" i="1"/>
  <c r="K4" i="1"/>
  <c r="M19" i="1"/>
  <c r="K19" i="1"/>
  <c r="H19" i="1"/>
  <c r="M13" i="1"/>
  <c r="H13" i="1"/>
  <c r="K13" i="1"/>
  <c r="K21" i="1"/>
  <c r="H21" i="1"/>
  <c r="M21" i="1"/>
  <c r="M7" i="1"/>
  <c r="K7" i="1"/>
  <c r="H7" i="1"/>
  <c r="M10" i="1"/>
  <c r="H10" i="1"/>
  <c r="K10" i="1"/>
  <c r="M17" i="1"/>
  <c r="H17" i="1"/>
  <c r="K17" i="1"/>
  <c r="K9" i="1"/>
  <c r="H9" i="1"/>
  <c r="M9" i="1"/>
  <c r="K12" i="1"/>
  <c r="H12" i="1"/>
  <c r="M12" i="1"/>
  <c r="K18" i="1"/>
  <c r="H18" i="1"/>
  <c r="M18" i="1"/>
  <c r="M5" i="1"/>
  <c r="K5" i="1"/>
  <c r="H5" i="1"/>
  <c r="M8" i="1"/>
  <c r="H8" i="1"/>
  <c r="K8" i="1"/>
  <c r="M16" i="1"/>
  <c r="H16" i="1"/>
  <c r="K16" i="1"/>
  <c r="M11" i="1"/>
  <c r="K11" i="1"/>
  <c r="H11" i="1"/>
  <c r="H2" i="1"/>
  <c r="M14" i="1"/>
  <c r="K14" i="1"/>
  <c r="H14" i="1"/>
  <c r="K3" i="1"/>
  <c r="H3" i="1"/>
  <c r="M3" i="1"/>
  <c r="K6" i="1"/>
  <c r="H6" i="1"/>
  <c r="M6" i="1"/>
  <c r="H20" i="1"/>
  <c r="M20" i="1"/>
  <c r="K20" i="1"/>
  <c r="U8" i="1" l="1"/>
  <c r="K28" i="1"/>
  <c r="U14" i="1"/>
  <c r="V8" i="1"/>
  <c r="H27" i="1"/>
  <c r="H28" i="1"/>
  <c r="U20" i="1"/>
  <c r="V20" i="1" s="1"/>
  <c r="U6" i="1"/>
  <c r="V6" i="1" s="1"/>
  <c r="U13" i="1"/>
  <c r="V13" i="1" s="1"/>
  <c r="K27" i="1"/>
  <c r="B36" i="1" s="1"/>
  <c r="U2" i="1"/>
  <c r="U10" i="1"/>
  <c r="U5" i="1"/>
  <c r="U18" i="1"/>
  <c r="U19" i="1"/>
  <c r="U3" i="1"/>
  <c r="V3" i="1" s="1"/>
  <c r="U7" i="1"/>
  <c r="V7" i="1" s="1"/>
  <c r="U4" i="1"/>
  <c r="V4" i="1" s="1"/>
  <c r="U17" i="1"/>
  <c r="V17" i="1" s="1"/>
  <c r="U11" i="1"/>
  <c r="V11" i="1" s="1"/>
  <c r="U12" i="1"/>
  <c r="V12" i="1" s="1"/>
  <c r="U16" i="1"/>
  <c r="V16" i="1" s="1"/>
  <c r="U9" i="1"/>
  <c r="U21" i="1"/>
  <c r="U15" i="1"/>
  <c r="O11" i="1"/>
  <c r="T11" i="1"/>
  <c r="S11" i="1"/>
  <c r="T18" i="1"/>
  <c r="S18" i="1"/>
  <c r="O18" i="1"/>
  <c r="O3" i="1"/>
  <c r="T3" i="1"/>
  <c r="S3" i="1"/>
  <c r="S10" i="1"/>
  <c r="O10" i="1"/>
  <c r="T10" i="1"/>
  <c r="S4" i="1"/>
  <c r="T4" i="1"/>
  <c r="O4" i="1"/>
  <c r="T21" i="1"/>
  <c r="S21" i="1"/>
  <c r="O21" i="1"/>
  <c r="T20" i="1"/>
  <c r="O20" i="1"/>
  <c r="S20" i="1"/>
  <c r="S19" i="1"/>
  <c r="T19" i="1"/>
  <c r="O19" i="1"/>
  <c r="O12" i="1"/>
  <c r="S12" i="1"/>
  <c r="T12" i="1"/>
  <c r="S16" i="1"/>
  <c r="O16" i="1"/>
  <c r="T16" i="1"/>
  <c r="S7" i="1"/>
  <c r="T7" i="1"/>
  <c r="O7" i="1"/>
  <c r="O14" i="1"/>
  <c r="S14" i="1"/>
  <c r="T14" i="1"/>
  <c r="O9" i="1"/>
  <c r="T9" i="1"/>
  <c r="S9" i="1"/>
  <c r="O15" i="1"/>
  <c r="T15" i="1"/>
  <c r="S15" i="1"/>
  <c r="O8" i="1"/>
  <c r="T8" i="1"/>
  <c r="S8" i="1"/>
  <c r="O6" i="1"/>
  <c r="T6" i="1"/>
  <c r="S6" i="1"/>
  <c r="S2" i="1"/>
  <c r="B65" i="1"/>
  <c r="N2" i="1" s="1"/>
  <c r="O5" i="1"/>
  <c r="S5" i="1"/>
  <c r="T5" i="1"/>
  <c r="O17" i="1"/>
  <c r="T17" i="1"/>
  <c r="S17" i="1"/>
  <c r="S13" i="1"/>
  <c r="O13" i="1"/>
  <c r="T13" i="1"/>
  <c r="V19" i="1" l="1"/>
  <c r="V14" i="1"/>
  <c r="V5" i="1"/>
  <c r="V10" i="1"/>
  <c r="V18" i="1"/>
  <c r="V15" i="1"/>
  <c r="V21" i="1"/>
  <c r="V9" i="1"/>
  <c r="T27" i="1"/>
  <c r="U28" i="1"/>
  <c r="U27" i="1"/>
  <c r="V2" i="1"/>
  <c r="Q2" i="1"/>
  <c r="R2" i="1" s="1"/>
  <c r="O27" i="1"/>
  <c r="S27" i="1"/>
  <c r="Q13" i="1"/>
  <c r="R13" i="1" s="1"/>
  <c r="Q12" i="1"/>
  <c r="R12" i="1" s="1"/>
  <c r="Q3" i="1"/>
  <c r="R3" i="1" s="1"/>
  <c r="S28" i="1"/>
  <c r="N19" i="1"/>
  <c r="N18" i="1"/>
  <c r="N17" i="1"/>
  <c r="N16" i="1"/>
  <c r="N10" i="1"/>
  <c r="N11" i="1"/>
  <c r="Q14" i="1"/>
  <c r="R14" i="1" s="1"/>
  <c r="Q18" i="1"/>
  <c r="R18" i="1" s="1"/>
  <c r="N15" i="1"/>
  <c r="Q15" i="1"/>
  <c r="R15" i="1" s="1"/>
  <c r="Q10" i="1"/>
  <c r="R10" i="1" s="1"/>
  <c r="N9" i="1"/>
  <c r="Q9" i="1"/>
  <c r="R9" i="1" s="1"/>
  <c r="Q11" i="1"/>
  <c r="R11" i="1" s="1"/>
  <c r="N8" i="1"/>
  <c r="N12" i="1"/>
  <c r="Q8" i="1"/>
  <c r="R8" i="1" s="1"/>
  <c r="Q4" i="1"/>
  <c r="R4" i="1" s="1"/>
  <c r="Q19" i="1"/>
  <c r="R19" i="1" s="1"/>
  <c r="N7" i="1"/>
  <c r="N4" i="1"/>
  <c r="N6" i="1"/>
  <c r="Q16" i="1"/>
  <c r="R16" i="1" s="1"/>
  <c r="N20" i="1"/>
  <c r="Q20" i="1"/>
  <c r="R20" i="1" s="1"/>
  <c r="N5" i="1"/>
  <c r="Q6" i="1"/>
  <c r="R6" i="1" s="1"/>
  <c r="Q5" i="1"/>
  <c r="R5" i="1" s="1"/>
  <c r="N21" i="1"/>
  <c r="N14" i="1"/>
  <c r="T28" i="1"/>
  <c r="N13" i="1"/>
  <c r="Q7" i="1"/>
  <c r="R7" i="1" s="1"/>
  <c r="Q17" i="1"/>
  <c r="R17" i="1" s="1"/>
  <c r="B33" i="1"/>
  <c r="B50" i="1"/>
  <c r="B51" i="1" s="1"/>
  <c r="B35" i="1"/>
  <c r="Q21" i="1"/>
  <c r="R21" i="1" s="1"/>
  <c r="N3" i="1"/>
  <c r="N27" i="1" l="1"/>
  <c r="N28" i="1"/>
  <c r="V28" i="1"/>
  <c r="V27" i="1"/>
  <c r="B66" i="1"/>
  <c r="B67" i="1" s="1"/>
  <c r="R27" i="1"/>
  <c r="B82" i="1"/>
  <c r="B40" i="1"/>
  <c r="B39" i="1"/>
  <c r="B38" i="1"/>
  <c r="B53" i="1"/>
  <c r="B54" i="1" s="1"/>
  <c r="Q28" i="1"/>
  <c r="Q27" i="1"/>
  <c r="R28" i="1" l="1"/>
  <c r="B74" i="1" l="1"/>
  <c r="B75" i="1" s="1"/>
</calcChain>
</file>

<file path=xl/sharedStrings.xml><?xml version="1.0" encoding="utf-8"?>
<sst xmlns="http://schemas.openxmlformats.org/spreadsheetml/2006/main" count="110" uniqueCount="107">
  <si>
    <t>№</t>
  </si>
  <si>
    <t>Регион</t>
  </si>
  <si>
    <t>Величина прожиточного минимума трудоспособного населения, руб., x</t>
  </si>
  <si>
    <t>Среднедушевые денежные доходы населения по субъектам РФ, руб., y</t>
  </si>
  <si>
    <t>x*y</t>
  </si>
  <si>
    <t>X^2</t>
  </si>
  <si>
    <t>Y^2</t>
  </si>
  <si>
    <t>(y-yрасч)^2</t>
  </si>
  <si>
    <t>yрасч</t>
  </si>
  <si>
    <t>(y-yср)^2</t>
  </si>
  <si>
    <t>A</t>
  </si>
  <si>
    <t>(х - хср.)^2</t>
  </si>
  <si>
    <t>eps</t>
  </si>
  <si>
    <t>(eps - mu)^2</t>
  </si>
  <si>
    <t>abs(eps)</t>
  </si>
  <si>
    <t>rang(x)</t>
  </si>
  <si>
    <t>rang(abs(eps))</t>
  </si>
  <si>
    <t>D^2</t>
  </si>
  <si>
    <t>Eps^2</t>
  </si>
  <si>
    <t>(eps_t — eps_ t-1)^2</t>
  </si>
  <si>
    <t>Владимирская область</t>
  </si>
  <si>
    <t>Воронежская область</t>
  </si>
  <si>
    <t>Ивановская область</t>
  </si>
  <si>
    <t>Калужская область</t>
  </si>
  <si>
    <t xml:space="preserve">Костромская область 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</si>
  <si>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</si>
  <si>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</si>
  <si>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</si>
  <si>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</si>
  <si>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</si>
  <si>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</si>
  <si>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 xml:space="preserve">Тамбовская область </t>
  </si>
  <si>
    <t>Тверская область</t>
  </si>
  <si>
    <t>Тульская область</t>
  </si>
  <si>
    <t xml:space="preserve">Ярославская область   </t>
  </si>
  <si>
    <t>Республика  Северная Осетия - Алания</t>
  </si>
  <si>
    <t>Чеченская Республика</t>
  </si>
  <si>
    <t>Ставропольский край</t>
  </si>
  <si>
    <t>Республика Башкортостан</t>
  </si>
  <si>
    <t xml:space="preserve">Республика Марий Эл  </t>
  </si>
  <si>
    <t>Сумма ∑</t>
  </si>
  <si>
    <t>Ср. знач.</t>
  </si>
  <si>
    <t>a</t>
  </si>
  <si>
    <t>b</t>
  </si>
  <si>
    <t>Этап 1, Проверка адекватности</t>
  </si>
  <si>
    <t>Sigma^2</t>
  </si>
  <si>
    <t>r_xy</t>
  </si>
  <si>
    <t>R^2</t>
  </si>
  <si>
    <t>Качество построенной модели не совсем хорошее, так как превышает 10%</t>
  </si>
  <si>
    <t>AIC</t>
  </si>
  <si>
    <t>SC</t>
  </si>
  <si>
    <t>HC</t>
  </si>
  <si>
    <t>Этап 2. Проверка значимости уравнения регрессии</t>
  </si>
  <si>
    <t>H0: b = 0 То есть коэф при регрессорах равны 0 и уравнение не значимо</t>
  </si>
  <si>
    <t xml:space="preserve"> H1: b ≠ 0 То есть линейная связь между переменными существует</t>
  </si>
  <si>
    <t>F_расч</t>
  </si>
  <si>
    <t>Так как F_расч &gt; F_табл, то отклоняем гипотезу H0 и принимаем H1, уравнение регрессии признается статистически значимым.</t>
  </si>
  <si>
    <t>F_табл</t>
  </si>
  <si>
    <t>Оцениваем отдельные понятия уравнения регрессии</t>
  </si>
  <si>
    <t>H0: b = 0, коэф b не значим</t>
  </si>
  <si>
    <t>H1: b ≠ 0, коэф b значим</t>
  </si>
  <si>
    <t>m_b Стандартная ошибка коэффициента регрессии</t>
  </si>
  <si>
    <t>t_b фактическое значение t – критерия Стьюдента</t>
  </si>
  <si>
    <t>Так как t_b &gt; t_табл, то мы отклоняем гипотезу H0</t>
  </si>
  <si>
    <t>m_a Стандартная ошибка параметра а определяется</t>
  </si>
  <si>
    <t xml:space="preserve">t_a     t – критерий </t>
  </si>
  <si>
    <t>Так как t_a &lt; t_табл, то мы принимаем гипотезу H0 и коэф a  не значим</t>
  </si>
  <si>
    <t xml:space="preserve">m_r ошибка коэффициента корреляции </t>
  </si>
  <si>
    <t xml:space="preserve">t_r Фактическое значение t – критерия Стьюдента </t>
  </si>
  <si>
    <t>Так как t_r &gt; t_табл, то мы отклоняем гипотезу H0, значит коэф корреляции значим</t>
  </si>
  <si>
    <t>t_табл табличное значение распределения Стъюдента для вероятности р=0,05, и степени свободы m=n-2</t>
  </si>
  <si>
    <t>Этап 3 Проверка выполняемости условий классической линейной регрессионной модели</t>
  </si>
  <si>
    <t>а) Проверка условия математическое ожидание остатков равно нулю</t>
  </si>
  <si>
    <t>H0: Мат.ожид ошибки = 0</t>
  </si>
  <si>
    <t>H1: Мат.ожид. Ошибки ≠ 0</t>
  </si>
  <si>
    <t>mu</t>
  </si>
  <si>
    <t>Sigma</t>
  </si>
  <si>
    <t>t_расч</t>
  </si>
  <si>
    <t xml:space="preserve">   По скольку t_табл &gt; t_расч, то мы принимаем H0, следовательно мат.ожидание = 0</t>
  </si>
  <si>
    <t>t_табл</t>
  </si>
  <si>
    <t>б) Проверка условия D(eps) = const (дисперсия остатков постоянна)</t>
  </si>
  <si>
    <t>H0: D(ESP) = const</t>
  </si>
  <si>
    <t>H1: D(esp) ≠ const</t>
  </si>
  <si>
    <t>ro</t>
  </si>
  <si>
    <t xml:space="preserve">  По скольку t_расч &lt; t_набл, то мы принимаем H0, следовательно D(esp) = const</t>
  </si>
  <si>
    <t>в)  Проверка условия cov(eps_i И eps_j) = 0 ( остатки не коррелированы )</t>
  </si>
  <si>
    <t>H0: cov = 0</t>
  </si>
  <si>
    <t>H1: cov ≠  0</t>
  </si>
  <si>
    <t>d</t>
  </si>
  <si>
    <t>d_l</t>
  </si>
  <si>
    <t>d_u</t>
  </si>
  <si>
    <t xml:space="preserve"> По скольку d попадает в интервал принятия H0, то сделаем вывод, что автокорреляция отсутствует cov = 0</t>
  </si>
  <si>
    <t xml:space="preserve"> Для к = 1, n = 19, коэф = 0,05</t>
  </si>
  <si>
    <t>Этап 4. Экономическая интерпретация модели</t>
  </si>
  <si>
    <t>Параметр регрессии позволяет сделать вывод, что с увеличением величины прожиточного минимума трудоспособного населения
  на 1 руб, среднедушевые денежные доходы населения по субъектам РФ,
 возрастает в среднем на 2,91 руб</t>
  </si>
  <si>
    <t>г)   остатки есть нормально распределенная случайная величина</t>
  </si>
  <si>
    <t>Н0   распределение остатков нормально</t>
  </si>
  <si>
    <t>Н1 остатки не распределены по нормальному закону распределения</t>
  </si>
  <si>
    <t>JB</t>
  </si>
  <si>
    <t xml:space="preserve">m1 </t>
  </si>
  <si>
    <t xml:space="preserve">m2  </t>
  </si>
  <si>
    <t>rang(eps)</t>
  </si>
  <si>
    <r>
      <t>Это значит, что расчетные модели на 32%</t>
    </r>
    <r>
      <rPr>
        <sz val="11"/>
        <color rgb="FF000000"/>
        <rFont val="Liberation Sans"/>
        <charset val="2"/>
      </rPr>
      <t xml:space="preserve"> </t>
    </r>
    <r>
      <rPr>
        <sz val="11"/>
        <color rgb="FF000000"/>
        <rFont val="Liberation Sans"/>
        <charset val="204"/>
      </rPr>
      <t>объясняют зависимость между изучаемыми параметрами</t>
    </r>
  </si>
  <si>
    <t xml:space="preserve"> Согласно полученного результата коэф. Корреляции можно сказать, что связь между x и y — заметная</t>
  </si>
  <si>
    <t>rang(eps)-eps сред</t>
  </si>
  <si>
    <t>X^2_табл</t>
  </si>
  <si>
    <t>9,39 &gt; -94,1 , то принимаем   о соответствии распределения остатков нормальному распределению на уровне значимости α=0,05.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</si>
</sst>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1">
    <font>
      <sz val="11"/>
      <color rgb="FF000000"/>
      <name val="Liberation Sans"/>
      <charset val="204"/>
    </font>
    <font>
      <sz val="11"/>
      <color rgb="FF000000"/>
      <name val="Liberation Sans"/>
      <charset val="204"/>
    </font>
    <font>
      <sz val="10"/>
      <color rgb="FF000000"/>
      <name val="Arial"/>
      <family val="2"/>
      <charset val="204"/>
    </font>
    <font>
      <b/>
      <sz val="10"/>
      <color rgb="FF000000"/>
      <name val="Liberation Sans"/>
      <charset val="204"/>
    </font>
    <font>
      <sz val="10"/>
      <color rgb="FFFFFFFF"/>
      <name val="Liberation Sans"/>
      <charset val="204"/>
    </font>
    <font>
      <sz val="10"/>
      <color rgb="FFCC0000"/>
      <name val="Liberation Sans"/>
      <charset val="204"/>
    </font>
    <font>
      <b/>
      <sz val="10"/>
      <color rgb="FFFFFFFF"/>
      <name val="Liberation Sans"/>
      <charset val="204"/>
    </font>
    <font>
      <i/>
      <sz val="10"/>
      <color rgb="FF808080"/>
      <name val="Liberation Sans"/>
      <charset val="204"/>
    </font>
    <font>
      <sz val="10"/>
      <color rgb="FF006600"/>
      <name val="Liberation Sans"/>
      <charset val="204"/>
    </font>
    <font>
      <b/>
      <sz val="24"/>
      <color rgb="FF000000"/>
      <name val="Liberation Sans"/>
      <charset val="204"/>
    </font>
    <font>
      <sz val="18"/>
      <color rgb="FF000000"/>
      <name val="Liberation Sans"/>
      <charset val="204"/>
    </font>
    <font>
      <sz val="12"/>
      <color rgb="FF000000"/>
      <name val="Liberation Sans"/>
      <charset val="204"/>
    </font>
    <font>
      <u/>
      <sz val="10"/>
      <color rgb="FF0000EE"/>
      <name val="Liberation Sans"/>
      <charset val="204"/>
    </font>
    <font>
      <sz val="10"/>
      <color rgb="FF996600"/>
      <name val="Liberation Sans"/>
      <charset val="204"/>
    </font>
    <font>
      <sz val="10"/>
      <color rgb="FF333333"/>
      <name val="Liberation Sans"/>
      <charset val="204"/>
    </font>
    <font>
      <b/>
      <i/>
      <u/>
      <sz val="10"/>
      <color rgb="FF000000"/>
      <name val="Liberation Sans"/>
      <charset val="204"/>
    </font>
    <font>
      <sz val="10"/>
      <color rgb="FF000000"/>
      <name val="Liberation Serif"/>
      <charset val="204"/>
    </font>
    <font>
      <sz val="11"/>
      <color rgb="FF000000"/>
      <name val="Calibri"/>
      <family val="2"/>
      <charset val="204"/>
    </font>
    <font>
      <sz val="10"/>
      <color rgb="FF000000"/>
      <name val="Times New Roman"/>
      <family val="1"/>
      <charset val="204"/>
    </font>
    <font>
      <sz val="11"/>
      <color rgb="FF000000"/>
      <name val="Liberation Sans"/>
      <charset val="2"/>
    </font>
    <font>
      <sz val="14"/>
      <color rgb="FF000000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0">
    <xf numFmtId="0" fontId="0" fillId="0" borderId="0"/>
    <xf numFmtId="0" fontId="2" fillId="0" borderId="0" applyNumberFormat="0" applyBorder="0" applyProtection="0"/>
    <xf numFmtId="0" fontId="3" fillId="0" borderId="0" applyNumberFormat="0" applyBorder="0" applyProtection="0"/>
    <xf numFmtId="0" fontId="4" fillId="2" borderId="0" applyNumberFormat="0" applyBorder="0" applyProtection="0"/>
    <xf numFmtId="0" fontId="4" fillId="3" borderId="0" applyNumberFormat="0" applyBorder="0" applyProtection="0"/>
    <xf numFmtId="0" fontId="3" fillId="4" borderId="0" applyNumberFormat="0" applyBorder="0" applyProtection="0"/>
    <xf numFmtId="0" fontId="5" fillId="5" borderId="0" applyNumberFormat="0" applyBorder="0" applyProtection="0"/>
    <xf numFmtId="0" fontId="6" fillId="6" borderId="0" applyNumberFormat="0" applyBorder="0" applyProtection="0"/>
    <xf numFmtId="0" fontId="7" fillId="0" borderId="0" applyNumberFormat="0" applyBorder="0" applyProtection="0"/>
    <xf numFmtId="0" fontId="8" fillId="7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0" borderId="0" applyNumberFormat="0" applyBorder="0" applyProtection="0"/>
    <xf numFmtId="0" fontId="13" fillId="8" borderId="0" applyNumberFormat="0" applyBorder="0" applyProtection="0"/>
    <xf numFmtId="0" fontId="14" fillId="8" borderId="1" applyNumberFormat="0" applyProtection="0"/>
    <xf numFmtId="0" fontId="15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5" fillId="0" borderId="0" applyNumberFormat="0" applyBorder="0" applyProtection="0"/>
  </cellStyleXfs>
  <cellXfs count="19">
    <xf numFmtId="0" fontId="0" fillId="0" borderId="0" xfId="0"/>
    <xf numFmtId="0" fontId="16" fillId="0" borderId="0" xfId="0" applyFont="1" applyAlignment="1">
      <alignment wrapText="1"/>
    </xf>
    <xf numFmtId="0" fontId="0" fillId="0" borderId="0" xfId="0" applyAlignment="1">
      <alignment horizontal="center"/>
    </xf>
    <xf numFmtId="0" fontId="17" fillId="0" borderId="0" xfId="0" applyFont="1" applyAlignment="1">
      <alignment horizontal="center"/>
    </xf>
    <xf numFmtId="0" fontId="18" fillId="0" borderId="2" xfId="1" applyFont="1" applyFill="1" applyBorder="1" applyAlignment="1"/>
    <xf numFmtId="164" fontId="18" fillId="0" borderId="2" xfId="1" applyNumberFormat="1" applyFont="1" applyFill="1" applyBorder="1" applyAlignment="1">
      <alignment wrapText="1"/>
    </xf>
    <xf numFmtId="3" fontId="18" fillId="0" borderId="2" xfId="1" applyNumberFormat="1" applyFont="1" applyFill="1" applyBorder="1" applyAlignment="1">
      <alignment horizontal="right" vertical="top"/>
    </xf>
    <xf numFmtId="3" fontId="18" fillId="0" borderId="2" xfId="1" applyNumberFormat="1" applyFont="1" applyFill="1" applyBorder="1" applyAlignment="1"/>
    <xf numFmtId="0" fontId="18" fillId="0" borderId="2" xfId="1" applyFont="1" applyFill="1" applyBorder="1" applyAlignment="1">
      <alignment wrapText="1"/>
    </xf>
    <xf numFmtId="0" fontId="16" fillId="0" borderId="0" xfId="0" applyFont="1" applyAlignment="1">
      <alignment horizontal="center" wrapText="1"/>
    </xf>
    <xf numFmtId="0" fontId="0" fillId="9" borderId="0" xfId="0" applyFill="1"/>
    <xf numFmtId="3" fontId="0" fillId="9" borderId="0" xfId="0" applyNumberFormat="1" applyFill="1"/>
    <xf numFmtId="4" fontId="0" fillId="0" borderId="0" xfId="0" applyNumberFormat="1"/>
    <xf numFmtId="0" fontId="20" fillId="0" borderId="0" xfId="0" applyFont="1" applyAlignment="1">
      <alignment horizontal="justify" vertical="center"/>
    </xf>
    <xf numFmtId="0" fontId="0" fillId="0" borderId="0" xfId="0" applyAlignment="1"/>
    <xf numFmtId="3" fontId="0" fillId="0" borderId="0" xfId="0" applyNumberFormat="1"/>
    <xf numFmtId="2" fontId="0" fillId="0" borderId="0" xfId="0" applyNumberFormat="1"/>
    <xf numFmtId="2" fontId="0" fillId="9" borderId="0" xfId="0" applyNumberFormat="1" applyFill="1"/>
    <xf numFmtId="0" fontId="0" fillId="10" borderId="0" xfId="0" applyFill="1"/>
  </cellXfs>
  <cellStyles count="20">
    <cellStyle name="Accent" xfId="2"/>
    <cellStyle name="Accent 1" xfId="3"/>
    <cellStyle name="Accent 2" xfId="4"/>
    <cellStyle name="Accent 3" xfId="5"/>
    <cellStyle name="Bad" xfId="6"/>
    <cellStyle name="Error" xfId="7"/>
    <cellStyle name="Footnote" xfId="8"/>
    <cellStyle name="Good" xfId="9"/>
    <cellStyle name="Heading" xfId="10"/>
    <cellStyle name="Heading 1" xfId="11"/>
    <cellStyle name="Heading 2" xfId="12"/>
    <cellStyle name="Hyperlink" xfId="13"/>
    <cellStyle name="Neutral" xfId="14"/>
    <cellStyle name="Note" xfId="15"/>
    <cellStyle name="Result" xfId="16"/>
    <cellStyle name="Status" xfId="17"/>
    <cellStyle name="Text" xfId="18"/>
    <cellStyle name="Warning" xfId="19"/>
    <cellStyle name="Обычный" xfId="0" builtinId="0" customBuiltin="1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ru-RU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Зависимость </a:t>
            </a: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y </a:t>
            </a:r>
            <a:r>
              <a:rPr lang="ru-RU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от </a:t>
            </a: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x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1.0564942659982859E-2"/>
          <c:y val="0.1443839186916541"/>
          <c:w val="0.95999006633155015"/>
          <c:h val="0.83557815357762044"/>
        </c:manualLayout>
      </c:layout>
      <c:scatterChart>
        <c:scatterStyle val="smoothMarker"/>
        <c:varyColors val="0"/>
        <c:ser>
          <c:idx val="0"/>
          <c:order val="0"/>
          <c:spPr>
            <a:ln>
              <a:noFill/>
            </a:ln>
          </c:spPr>
          <c:marker>
            <c:symbol val="square"/>
            <c:size val="7"/>
          </c:marker>
          <c:trendline>
            <c:spPr>
              <a:ln w="6345" cap="rnd">
                <a:solidFill>
                  <a:srgbClr val="000000"/>
                </a:solidFill>
                <a:prstDash val="solid"/>
                <a:round/>
              </a:ln>
            </c:spPr>
            <c:trendlineType val="linear"/>
            <c:dispRSqr val="0"/>
            <c:dispEq val="0"/>
          </c:trendline>
          <c:xVal>
            <c:numRef>
              <c:f>Лист1!$C$2:$C$21</c:f>
              <c:numCache>
                <c:formatCode>#,##0</c:formatCode>
                <c:ptCount val="20"/>
                <c:pt idx="0">
                  <c:v>10594</c:v>
                </c:pt>
                <c:pt idx="1">
                  <c:v>9271</c:v>
                </c:pt>
                <c:pt idx="2">
                  <c:v>10993</c:v>
                </c:pt>
                <c:pt idx="3">
                  <c:v>10806</c:v>
                </c:pt>
                <c:pt idx="4">
                  <c:v>10723</c:v>
                </c:pt>
                <c:pt idx="5">
                  <c:v>9549</c:v>
                </c:pt>
                <c:pt idx="6">
                  <c:v>9356</c:v>
                </c:pt>
                <c:pt idx="7">
                  <c:v>13478</c:v>
                </c:pt>
                <c:pt idx="8">
                  <c:v>10251</c:v>
                </c:pt>
                <c:pt idx="9">
                  <c:v>10324</c:v>
                </c:pt>
                <c:pt idx="10">
                  <c:v>11044</c:v>
                </c:pt>
                <c:pt idx="11">
                  <c:v>9485</c:v>
                </c:pt>
                <c:pt idx="12">
                  <c:v>11051</c:v>
                </c:pt>
                <c:pt idx="13">
                  <c:v>10194</c:v>
                </c:pt>
                <c:pt idx="14">
                  <c:v>10469</c:v>
                </c:pt>
                <c:pt idx="15">
                  <c:v>9651</c:v>
                </c:pt>
                <c:pt idx="16">
                  <c:v>9844</c:v>
                </c:pt>
                <c:pt idx="17">
                  <c:v>9144</c:v>
                </c:pt>
                <c:pt idx="18">
                  <c:v>9187</c:v>
                </c:pt>
                <c:pt idx="19">
                  <c:v>9989</c:v>
                </c:pt>
              </c:numCache>
            </c:numRef>
          </c:xVal>
          <c:yVal>
            <c:numRef>
              <c:f>Лист1!$D$2:$D$21</c:f>
              <c:numCache>
                <c:formatCode>#,##0</c:formatCode>
                <c:ptCount val="20"/>
                <c:pt idx="0">
                  <c:v>23554</c:v>
                </c:pt>
                <c:pt idx="1">
                  <c:v>29498</c:v>
                </c:pt>
                <c:pt idx="2">
                  <c:v>24860</c:v>
                </c:pt>
                <c:pt idx="3">
                  <c:v>28715</c:v>
                </c:pt>
                <c:pt idx="4">
                  <c:v>24093</c:v>
                </c:pt>
                <c:pt idx="5">
                  <c:v>26112</c:v>
                </c:pt>
                <c:pt idx="6">
                  <c:v>28956</c:v>
                </c:pt>
                <c:pt idx="7">
                  <c:v>42345</c:v>
                </c:pt>
                <c:pt idx="8">
                  <c:v>23979</c:v>
                </c:pt>
                <c:pt idx="9">
                  <c:v>24272</c:v>
                </c:pt>
                <c:pt idx="10">
                  <c:v>24766</c:v>
                </c:pt>
                <c:pt idx="11">
                  <c:v>26058</c:v>
                </c:pt>
                <c:pt idx="12">
                  <c:v>24353</c:v>
                </c:pt>
                <c:pt idx="13">
                  <c:v>27226</c:v>
                </c:pt>
                <c:pt idx="14">
                  <c:v>27200</c:v>
                </c:pt>
                <c:pt idx="15">
                  <c:v>22702</c:v>
                </c:pt>
                <c:pt idx="16">
                  <c:v>22484</c:v>
                </c:pt>
                <c:pt idx="17">
                  <c:v>22485</c:v>
                </c:pt>
                <c:pt idx="18">
                  <c:v>28468</c:v>
                </c:pt>
                <c:pt idx="19">
                  <c:v>19331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BA-4A13-B4B0-02A120DDB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091919"/>
        <c:axId val="1184101903"/>
      </c:scatterChart>
      <c:valAx>
        <c:axId val="1184101903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#,##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ru-RU"/>
          </a:p>
        </c:txPr>
        <c:crossAx val="1184091919"/>
        <c:crossesAt val="0"/>
        <c:crossBetween val="midCat"/>
      </c:valAx>
      <c:valAx>
        <c:axId val="1184091919"/>
        <c:scaling>
          <c:orientation val="minMax"/>
        </c:scaling>
        <c:delete val="0"/>
        <c:axPos val="b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#,##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ru-RU"/>
          </a:p>
        </c:txPr>
        <c:crossAx val="1184101903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ru-RU" sz="1000" b="0" i="0" u="none" strike="noStrike" kern="1200" baseline="0">
          <a:solidFill>
            <a:srgbClr val="000000"/>
          </a:solidFill>
          <a:latin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9141119" y="13111435"/>
    <xdr:ext cx="5758196" cy="3233519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E0117E2-8B76-480D-BFA8-4B2B35768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0"/>
  <sheetViews>
    <sheetView tabSelected="1" workbookViewId="0">
      <selection activeCell="D102" sqref="D102"/>
    </sheetView>
  </sheetViews>
  <sheetFormatPr defaultRowHeight="14.25"/>
  <cols>
    <col min="1" max="1" width="10.625" customWidth="1"/>
    <col min="2" max="2" width="12.5" customWidth="1"/>
    <col min="3" max="3" width="13.5" customWidth="1"/>
    <col min="4" max="4" width="12.75" customWidth="1"/>
    <col min="5" max="7" width="10.625" customWidth="1"/>
    <col min="8" max="8" width="14.125" customWidth="1"/>
    <col min="9" max="16" width="10.625" customWidth="1"/>
    <col min="17" max="17" width="11.625" customWidth="1"/>
    <col min="18" max="19" width="10.625" customWidth="1"/>
    <col min="20" max="20" width="16.5" customWidth="1"/>
    <col min="21" max="21" width="10.625" customWidth="1"/>
    <col min="22" max="22" width="9" customWidth="1"/>
  </cols>
  <sheetData>
    <row r="1" spans="1:22" ht="77.25">
      <c r="A1" t="s">
        <v>0</v>
      </c>
      <c r="B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101</v>
      </c>
      <c r="V1" s="2" t="s">
        <v>104</v>
      </c>
    </row>
    <row r="2" spans="1:22" ht="25.5">
      <c r="A2" s="4">
        <v>3</v>
      </c>
      <c r="B2" s="5" t="s">
        <v>20</v>
      </c>
      <c r="C2" s="6">
        <v>10594</v>
      </c>
      <c r="D2" s="7">
        <v>23554</v>
      </c>
      <c r="E2" s="2">
        <f t="shared" ref="E2:E21" si="0">C2*D2</f>
        <v>249531076</v>
      </c>
      <c r="F2" s="2">
        <f t="shared" ref="F2:F21" si="1">C2^2</f>
        <v>112232836</v>
      </c>
      <c r="G2" s="2">
        <f t="shared" ref="G2:G21" si="2">D2^2</f>
        <v>554790916</v>
      </c>
      <c r="H2">
        <f t="shared" ref="H2:H21" si="3">(D2-I2)^2</f>
        <v>11406620.945428109</v>
      </c>
      <c r="I2">
        <f>$B$30+$B$31*C2</f>
        <v>26931.368938305099</v>
      </c>
      <c r="J2" s="15">
        <f>(D2-$D$28)^2</f>
        <v>6344605.3224999923</v>
      </c>
      <c r="K2">
        <f>ABS((D2-I2)/D2)</f>
        <v>0.14338833906364518</v>
      </c>
      <c r="L2" s="15">
        <f>(C2-$C$28)^2</f>
        <v>104878.82250000024</v>
      </c>
      <c r="M2" s="16">
        <f>(D2-I2)</f>
        <v>-3377.3689383050987</v>
      </c>
      <c r="N2" s="15">
        <f>(M2-$B$65)^2</f>
        <v>11406620.945428122</v>
      </c>
      <c r="O2">
        <f>ABS(M2)</f>
        <v>3377.3689383050987</v>
      </c>
      <c r="P2">
        <f>_xlfn.RANK.EQ(C2,C$2:C$21,1)</f>
        <v>14</v>
      </c>
      <c r="Q2">
        <f>_xlfn.RANK.EQ(O2,O$2:O$21,1)</f>
        <v>14</v>
      </c>
      <c r="R2">
        <f>ABS(P2-Q2)^2</f>
        <v>0</v>
      </c>
      <c r="S2">
        <f t="shared" ref="S2:S21" si="4">M2^2</f>
        <v>11406620.945428109</v>
      </c>
      <c r="U2">
        <f>_xlfn.RANK.EQ(M2,M$2:M$21,1)</f>
        <v>3</v>
      </c>
      <c r="V2">
        <f>U2-$M$28</f>
        <v>2.9999999999983631</v>
      </c>
    </row>
    <row r="3" spans="1:22" ht="25.5">
      <c r="A3" s="4">
        <v>4</v>
      </c>
      <c r="B3" s="5" t="s">
        <v>21</v>
      </c>
      <c r="C3" s="6">
        <v>9271</v>
      </c>
      <c r="D3" s="7">
        <v>29498</v>
      </c>
      <c r="E3" s="2">
        <f t="shared" si="0"/>
        <v>273475958</v>
      </c>
      <c r="F3" s="2">
        <f t="shared" si="1"/>
        <v>85951441</v>
      </c>
      <c r="G3" s="2">
        <f t="shared" si="2"/>
        <v>870132004</v>
      </c>
      <c r="H3">
        <f t="shared" si="3"/>
        <v>36891942.734927736</v>
      </c>
      <c r="I3">
        <f t="shared" ref="I2:I21" si="5">$B$30+$B$31*C3</f>
        <v>23424.126216743738</v>
      </c>
      <c r="J3">
        <f t="shared" ref="J2:J21" si="6">(D3-$D$28)^2</f>
        <v>11731652.52250001</v>
      </c>
      <c r="K3">
        <f t="shared" ref="K2:K21" si="7">ABS((D3-I3)/D3)</f>
        <v>0.20590798641454547</v>
      </c>
      <c r="L3">
        <f t="shared" ref="L2:L21" si="8">(C3-$C$28)^2</f>
        <v>998300.72249999922</v>
      </c>
      <c r="M3" s="16">
        <f t="shared" ref="M2:M21" si="9">(D3-I3)</f>
        <v>6073.873783256262</v>
      </c>
      <c r="N3">
        <f t="shared" ref="N2:N21" si="10">(M3-$B$65)^2</f>
        <v>36891942.734927714</v>
      </c>
      <c r="O3">
        <f t="shared" ref="O2:O21" si="11">ABS(M3)</f>
        <v>6073.873783256262</v>
      </c>
      <c r="P3">
        <f t="shared" ref="P2:P21" si="12">_xlfn.RANK.EQ(C3,C$2:C$26,1)</f>
        <v>3</v>
      </c>
      <c r="Q3">
        <f t="shared" ref="Q2:Q21" si="13">_xlfn.RANK.EQ(O3,O$2:O$26,1)</f>
        <v>19</v>
      </c>
      <c r="R3">
        <f t="shared" ref="R2:R21" si="14">ABS(P3-Q3)^2</f>
        <v>256</v>
      </c>
      <c r="S3">
        <f t="shared" si="4"/>
        <v>36891942.734927736</v>
      </c>
      <c r="T3">
        <f t="shared" ref="T3:T21" si="15">(M3-M2)^2</f>
        <v>89325988.981866598</v>
      </c>
      <c r="U3">
        <f t="shared" ref="U3:U21" si="16">_xlfn.RANK.EQ(M3,M$2:M$21,1)</f>
        <v>19</v>
      </c>
      <c r="V3">
        <f>U3-$M$28</f>
        <v>18.999999999998362</v>
      </c>
    </row>
    <row r="4" spans="1:22" ht="25.5">
      <c r="A4" s="4">
        <v>5</v>
      </c>
      <c r="B4" s="5" t="s">
        <v>22</v>
      </c>
      <c r="C4" s="6">
        <v>10993</v>
      </c>
      <c r="D4" s="7">
        <v>24860</v>
      </c>
      <c r="E4" s="2">
        <f t="shared" si="0"/>
        <v>273285980</v>
      </c>
      <c r="F4" s="2">
        <f t="shared" si="1"/>
        <v>120846049</v>
      </c>
      <c r="G4" s="2">
        <f t="shared" si="2"/>
        <v>618019600</v>
      </c>
      <c r="H4">
        <f t="shared" si="3"/>
        <v>9791321.9242456704</v>
      </c>
      <c r="I4">
        <f t="shared" si="5"/>
        <v>27989.108806712491</v>
      </c>
      <c r="J4">
        <f t="shared" si="6"/>
        <v>1471005.1224999966</v>
      </c>
      <c r="K4">
        <f t="shared" si="7"/>
        <v>0.12586921989993929</v>
      </c>
      <c r="L4">
        <f t="shared" si="8"/>
        <v>522512.12250000052</v>
      </c>
      <c r="M4" s="16">
        <f t="shared" si="9"/>
        <v>-3129.1088067124911</v>
      </c>
      <c r="N4">
        <f t="shared" si="10"/>
        <v>9791321.9242456816</v>
      </c>
      <c r="O4">
        <f t="shared" si="11"/>
        <v>3129.1088067124911</v>
      </c>
      <c r="P4">
        <f t="shared" si="12"/>
        <v>17</v>
      </c>
      <c r="Q4">
        <f t="shared" si="13"/>
        <v>11</v>
      </c>
      <c r="R4">
        <f t="shared" si="14"/>
        <v>36</v>
      </c>
      <c r="S4">
        <f t="shared" si="4"/>
        <v>9791321.9242456704</v>
      </c>
      <c r="T4">
        <f t="shared" si="15"/>
        <v>84694888.551267982</v>
      </c>
      <c r="U4">
        <f t="shared" si="16"/>
        <v>6</v>
      </c>
      <c r="V4">
        <f t="shared" ref="V3:V21" si="17">U4-$M$28</f>
        <v>5.9999999999983631</v>
      </c>
    </row>
    <row r="5" spans="1:22" ht="25.5">
      <c r="A5" s="4">
        <v>6</v>
      </c>
      <c r="B5" s="5" t="s">
        <v>23</v>
      </c>
      <c r="C5" s="6">
        <v>10806</v>
      </c>
      <c r="D5" s="7">
        <v>28715</v>
      </c>
      <c r="E5" s="2">
        <f t="shared" si="0"/>
        <v>310294290</v>
      </c>
      <c r="F5" s="2">
        <f t="shared" si="1"/>
        <v>116769636</v>
      </c>
      <c r="G5" s="2">
        <f t="shared" si="2"/>
        <v>824551225</v>
      </c>
      <c r="H5">
        <f t="shared" si="3"/>
        <v>1492364.9862028246</v>
      </c>
      <c r="I5">
        <f t="shared" si="5"/>
        <v>27493.376086431334</v>
      </c>
      <c r="J5">
        <f t="shared" si="6"/>
        <v>6980956.622500008</v>
      </c>
      <c r="K5">
        <f t="shared" si="7"/>
        <v>4.2543058107911071E-2</v>
      </c>
      <c r="L5">
        <f t="shared" si="8"/>
        <v>287135.22250000038</v>
      </c>
      <c r="M5" s="16">
        <f t="shared" si="9"/>
        <v>1221.6239135686665</v>
      </c>
      <c r="N5">
        <f t="shared" si="10"/>
        <v>1492364.9862028202</v>
      </c>
      <c r="O5">
        <f t="shared" si="11"/>
        <v>1221.6239135686665</v>
      </c>
      <c r="P5">
        <f t="shared" si="12"/>
        <v>16</v>
      </c>
      <c r="Q5">
        <f t="shared" si="13"/>
        <v>3</v>
      </c>
      <c r="R5">
        <f t="shared" si="14"/>
        <v>169</v>
      </c>
      <c r="S5">
        <f t="shared" si="4"/>
        <v>1492364.9862028246</v>
      </c>
      <c r="T5">
        <f t="shared" si="15"/>
        <v>18928875.203325082</v>
      </c>
      <c r="U5">
        <f t="shared" si="16"/>
        <v>13</v>
      </c>
      <c r="V5">
        <f t="shared" si="17"/>
        <v>12.999999999998362</v>
      </c>
    </row>
    <row r="6" spans="1:22" ht="25.5">
      <c r="A6" s="4">
        <v>7</v>
      </c>
      <c r="B6" s="5" t="s">
        <v>24</v>
      </c>
      <c r="C6" s="6">
        <v>10723</v>
      </c>
      <c r="D6" s="7">
        <v>24093</v>
      </c>
      <c r="E6" s="2">
        <f t="shared" si="0"/>
        <v>258349239</v>
      </c>
      <c r="F6" s="2">
        <f t="shared" si="1"/>
        <v>114982729</v>
      </c>
      <c r="G6" s="2">
        <f t="shared" si="2"/>
        <v>580472649</v>
      </c>
      <c r="H6">
        <f t="shared" si="3"/>
        <v>10114594.229884284</v>
      </c>
      <c r="I6">
        <f t="shared" si="5"/>
        <v>27273.344985985685</v>
      </c>
      <c r="J6">
        <f t="shared" si="6"/>
        <v>3919806.0224999944</v>
      </c>
      <c r="K6">
        <f t="shared" si="7"/>
        <v>0.13200286332070246</v>
      </c>
      <c r="L6">
        <f t="shared" si="8"/>
        <v>205073.12250000032</v>
      </c>
      <c r="M6" s="16">
        <f t="shared" si="9"/>
        <v>-3180.3449859856846</v>
      </c>
      <c r="N6">
        <f t="shared" si="10"/>
        <v>10114594.229884297</v>
      </c>
      <c r="O6">
        <f t="shared" si="11"/>
        <v>3180.3449859856846</v>
      </c>
      <c r="P6">
        <f t="shared" si="12"/>
        <v>15</v>
      </c>
      <c r="Q6">
        <f t="shared" si="13"/>
        <v>12</v>
      </c>
      <c r="R6">
        <f t="shared" si="14"/>
        <v>9</v>
      </c>
      <c r="S6">
        <f t="shared" si="4"/>
        <v>10114594.229884284</v>
      </c>
      <c r="T6">
        <f t="shared" si="15"/>
        <v>19377330.192643743</v>
      </c>
      <c r="U6">
        <f t="shared" si="16"/>
        <v>5</v>
      </c>
      <c r="V6">
        <f t="shared" si="17"/>
        <v>4.9999999999983631</v>
      </c>
    </row>
    <row r="7" spans="1:22">
      <c r="A7" s="4">
        <v>8</v>
      </c>
      <c r="B7" s="5" t="s">
        <v>25</v>
      </c>
      <c r="C7" s="6">
        <v>9549</v>
      </c>
      <c r="D7" s="7">
        <v>26112</v>
      </c>
      <c r="E7" s="2">
        <f t="shared" si="0"/>
        <v>249343488</v>
      </c>
      <c r="F7" s="2">
        <f t="shared" si="1"/>
        <v>91183401</v>
      </c>
      <c r="G7" s="2">
        <f t="shared" si="2"/>
        <v>681836544</v>
      </c>
      <c r="H7">
        <f t="shared" si="3"/>
        <v>3806019.1817809395</v>
      </c>
      <c r="I7">
        <f t="shared" si="5"/>
        <v>24161.097854380969</v>
      </c>
      <c r="J7">
        <f t="shared" si="6"/>
        <v>1532.722500000114</v>
      </c>
      <c r="K7">
        <f t="shared" si="7"/>
        <v>7.4712857905140595E-2</v>
      </c>
      <c r="L7">
        <f t="shared" si="8"/>
        <v>520057.32249999949</v>
      </c>
      <c r="M7" s="16">
        <f t="shared" si="9"/>
        <v>1950.9021456190312</v>
      </c>
      <c r="N7">
        <f t="shared" si="10"/>
        <v>3806019.1817809325</v>
      </c>
      <c r="O7">
        <f t="shared" si="11"/>
        <v>1950.9021456190312</v>
      </c>
      <c r="P7">
        <f t="shared" si="12"/>
        <v>6</v>
      </c>
      <c r="Q7">
        <f t="shared" si="13"/>
        <v>7</v>
      </c>
      <c r="R7">
        <f t="shared" si="14"/>
        <v>1</v>
      </c>
      <c r="S7">
        <f t="shared" si="4"/>
        <v>3806019.1817809395</v>
      </c>
      <c r="T7">
        <f t="shared" si="15"/>
        <v>26329697.125601623</v>
      </c>
      <c r="U7">
        <f t="shared" si="16"/>
        <v>15</v>
      </c>
      <c r="V7">
        <f t="shared" si="17"/>
        <v>14.999999999998362</v>
      </c>
    </row>
    <row r="8" spans="1:22" ht="25.5">
      <c r="A8" s="4">
        <v>9</v>
      </c>
      <c r="B8" s="5" t="s">
        <v>26</v>
      </c>
      <c r="C8" s="6">
        <v>9356</v>
      </c>
      <c r="D8" s="7">
        <v>28956</v>
      </c>
      <c r="E8" s="2">
        <f t="shared" si="0"/>
        <v>270912336</v>
      </c>
      <c r="F8" s="2">
        <f t="shared" si="1"/>
        <v>87534736</v>
      </c>
      <c r="G8" s="2">
        <f t="shared" si="2"/>
        <v>838449936</v>
      </c>
      <c r="H8">
        <f t="shared" si="3"/>
        <v>28159374.50411028</v>
      </c>
      <c r="I8">
        <f t="shared" si="5"/>
        <v>23649.459271416992</v>
      </c>
      <c r="J8">
        <f t="shared" si="6"/>
        <v>8312553.9225000087</v>
      </c>
      <c r="K8">
        <f t="shared" si="7"/>
        <v>0.18326221607207516</v>
      </c>
      <c r="L8">
        <f t="shared" si="8"/>
        <v>835670.22249999933</v>
      </c>
      <c r="M8" s="16">
        <f t="shared" si="9"/>
        <v>5306.5407285830079</v>
      </c>
      <c r="N8">
        <f t="shared" si="10"/>
        <v>28159374.504110262</v>
      </c>
      <c r="O8">
        <f t="shared" si="11"/>
        <v>5306.5407285830079</v>
      </c>
      <c r="P8">
        <f t="shared" si="12"/>
        <v>4</v>
      </c>
      <c r="Q8">
        <f t="shared" si="13"/>
        <v>17</v>
      </c>
      <c r="R8">
        <f t="shared" si="14"/>
        <v>169</v>
      </c>
      <c r="S8">
        <f t="shared" si="4"/>
        <v>28159374.50411028</v>
      </c>
      <c r="T8">
        <f t="shared" si="15"/>
        <v>11260310.299476486</v>
      </c>
      <c r="U8">
        <f t="shared" si="16"/>
        <v>18</v>
      </c>
      <c r="V8">
        <f t="shared" si="17"/>
        <v>17.999999999998362</v>
      </c>
    </row>
    <row r="9" spans="1:22" ht="25.5">
      <c r="A9" s="4">
        <v>10</v>
      </c>
      <c r="B9" s="5" t="s">
        <v>27</v>
      </c>
      <c r="C9" s="6">
        <v>13478</v>
      </c>
      <c r="D9" s="7">
        <v>42345</v>
      </c>
      <c r="E9" s="2">
        <f t="shared" si="0"/>
        <v>570725910</v>
      </c>
      <c r="F9" s="2">
        <f t="shared" si="1"/>
        <v>181656484</v>
      </c>
      <c r="G9" s="2">
        <f t="shared" si="2"/>
        <v>1793099025</v>
      </c>
      <c r="H9">
        <f t="shared" si="3"/>
        <v>60345134.230804034</v>
      </c>
      <c r="I9">
        <f t="shared" si="5"/>
        <v>34576.786934512929</v>
      </c>
      <c r="J9">
        <f t="shared" si="6"/>
        <v>264782865.62250006</v>
      </c>
      <c r="K9">
        <f t="shared" si="7"/>
        <v>0.18345053880002529</v>
      </c>
      <c r="L9">
        <f t="shared" si="8"/>
        <v>10290301.622500002</v>
      </c>
      <c r="M9" s="16">
        <f t="shared" si="9"/>
        <v>7768.2130654870707</v>
      </c>
      <c r="N9">
        <f t="shared" si="10"/>
        <v>60345134.230804004</v>
      </c>
      <c r="O9">
        <f t="shared" si="11"/>
        <v>7768.2130654870707</v>
      </c>
      <c r="P9">
        <f t="shared" si="12"/>
        <v>20</v>
      </c>
      <c r="Q9">
        <f t="shared" si="13"/>
        <v>20</v>
      </c>
      <c r="R9">
        <f t="shared" si="14"/>
        <v>0</v>
      </c>
      <c r="S9">
        <f t="shared" si="4"/>
        <v>60345134.230804034</v>
      </c>
      <c r="T9">
        <f t="shared" si="15"/>
        <v>6059830.6942787096</v>
      </c>
      <c r="U9">
        <f t="shared" si="16"/>
        <v>20</v>
      </c>
      <c r="V9">
        <f t="shared" si="17"/>
        <v>19.999999999998362</v>
      </c>
    </row>
    <row r="10" spans="1:22" ht="25.5">
      <c r="A10" s="4">
        <v>11</v>
      </c>
      <c r="B10" s="5" t="s">
        <v>28</v>
      </c>
      <c r="C10" s="6">
        <v>10251</v>
      </c>
      <c r="D10" s="7">
        <v>23979</v>
      </c>
      <c r="E10" s="2">
        <f t="shared" si="0"/>
        <v>245808729</v>
      </c>
      <c r="F10" s="2">
        <f t="shared" si="1"/>
        <v>105083001</v>
      </c>
      <c r="G10" s="2">
        <f t="shared" si="2"/>
        <v>574992441</v>
      </c>
      <c r="H10">
        <f t="shared" si="3"/>
        <v>4174191.3658944285</v>
      </c>
      <c r="I10">
        <f t="shared" si="5"/>
        <v>26022.083788270669</v>
      </c>
      <c r="J10">
        <f t="shared" si="6"/>
        <v>4384207.8224999942</v>
      </c>
      <c r="K10">
        <f t="shared" si="7"/>
        <v>8.5203043841305698E-2</v>
      </c>
      <c r="L10">
        <f t="shared" si="8"/>
        <v>366.72249999998604</v>
      </c>
      <c r="M10" s="16">
        <f t="shared" si="9"/>
        <v>-2043.0837882706692</v>
      </c>
      <c r="N10">
        <f t="shared" si="10"/>
        <v>4174191.3658944359</v>
      </c>
      <c r="O10">
        <f t="shared" si="11"/>
        <v>2043.0837882706692</v>
      </c>
      <c r="P10">
        <f t="shared" si="12"/>
        <v>11</v>
      </c>
      <c r="Q10">
        <f t="shared" si="13"/>
        <v>8</v>
      </c>
      <c r="R10">
        <f t="shared" si="14"/>
        <v>9</v>
      </c>
      <c r="S10">
        <f t="shared" si="4"/>
        <v>4174191.3658944285</v>
      </c>
      <c r="T10">
        <f t="shared" si="15"/>
        <v>96261545.952556521</v>
      </c>
      <c r="U10">
        <f t="shared" si="16"/>
        <v>8</v>
      </c>
      <c r="V10">
        <f t="shared" si="17"/>
        <v>7.9999999999983631</v>
      </c>
    </row>
    <row r="11" spans="1:22" ht="25.5">
      <c r="A11" s="4">
        <v>12</v>
      </c>
      <c r="B11" s="5" t="s">
        <v>29</v>
      </c>
      <c r="C11" s="6">
        <v>10324</v>
      </c>
      <c r="D11" s="7">
        <v>24272</v>
      </c>
      <c r="E11" s="2">
        <f t="shared" si="0"/>
        <v>250584128</v>
      </c>
      <c r="F11" s="2">
        <f t="shared" si="1"/>
        <v>106584976</v>
      </c>
      <c r="G11" s="2">
        <f t="shared" si="2"/>
        <v>589129984</v>
      </c>
      <c r="H11">
        <f t="shared" si="3"/>
        <v>3777600.8530765134</v>
      </c>
      <c r="I11">
        <f t="shared" si="5"/>
        <v>26215.605117578289</v>
      </c>
      <c r="J11">
        <f t="shared" si="6"/>
        <v>3243060.7224999946</v>
      </c>
      <c r="K11">
        <f t="shared" si="7"/>
        <v>8.0076018357708001E-2</v>
      </c>
      <c r="L11">
        <f t="shared" si="8"/>
        <v>2899.8225000000393</v>
      </c>
      <c r="M11" s="16">
        <f t="shared" si="9"/>
        <v>-1943.6051175782886</v>
      </c>
      <c r="N11">
        <f t="shared" si="10"/>
        <v>3777600.8530765204</v>
      </c>
      <c r="O11">
        <f t="shared" si="11"/>
        <v>1943.6051175782886</v>
      </c>
      <c r="P11">
        <f t="shared" si="12"/>
        <v>12</v>
      </c>
      <c r="Q11">
        <f t="shared" si="13"/>
        <v>6</v>
      </c>
      <c r="R11">
        <f t="shared" si="14"/>
        <v>36</v>
      </c>
      <c r="S11">
        <f t="shared" si="4"/>
        <v>3777600.8530765134</v>
      </c>
      <c r="T11">
        <f t="shared" si="15"/>
        <v>9896.0059227230922</v>
      </c>
      <c r="U11">
        <f t="shared" si="16"/>
        <v>9</v>
      </c>
      <c r="V11">
        <f t="shared" si="17"/>
        <v>8.9999999999983622</v>
      </c>
    </row>
    <row r="12" spans="1:22" ht="25.5">
      <c r="A12" s="4">
        <v>13</v>
      </c>
      <c r="B12" s="5" t="s">
        <v>30</v>
      </c>
      <c r="C12" s="6">
        <v>11044</v>
      </c>
      <c r="D12" s="7">
        <v>24766</v>
      </c>
      <c r="E12" s="2">
        <f t="shared" si="0"/>
        <v>273515704</v>
      </c>
      <c r="F12" s="2">
        <f t="shared" si="1"/>
        <v>121969936</v>
      </c>
      <c r="G12" s="2">
        <f t="shared" si="2"/>
        <v>613354756</v>
      </c>
      <c r="H12">
        <f t="shared" si="3"/>
        <v>11278236.918250805</v>
      </c>
      <c r="I12">
        <f t="shared" si="5"/>
        <v>28124.308639516446</v>
      </c>
      <c r="J12">
        <f t="shared" si="6"/>
        <v>1707856.9224999961</v>
      </c>
      <c r="K12">
        <f t="shared" si="7"/>
        <v>0.13560157633515491</v>
      </c>
      <c r="L12">
        <f t="shared" si="8"/>
        <v>598843.82250000059</v>
      </c>
      <c r="M12" s="16">
        <f t="shared" si="9"/>
        <v>-3358.3086395164464</v>
      </c>
      <c r="N12">
        <f t="shared" si="10"/>
        <v>11278236.918250818</v>
      </c>
      <c r="O12">
        <f t="shared" si="11"/>
        <v>3358.3086395164464</v>
      </c>
      <c r="P12">
        <f t="shared" si="12"/>
        <v>18</v>
      </c>
      <c r="Q12">
        <f t="shared" si="13"/>
        <v>13</v>
      </c>
      <c r="R12">
        <f t="shared" si="14"/>
        <v>25</v>
      </c>
      <c r="S12">
        <f t="shared" si="4"/>
        <v>11278236.918250805</v>
      </c>
      <c r="T12">
        <f t="shared" si="15"/>
        <v>2001386.0549842278</v>
      </c>
      <c r="U12">
        <f t="shared" si="16"/>
        <v>4</v>
      </c>
      <c r="V12">
        <f t="shared" si="17"/>
        <v>3.9999999999983631</v>
      </c>
    </row>
    <row r="13" spans="1:22" ht="25.5">
      <c r="A13" s="4">
        <v>14</v>
      </c>
      <c r="B13" s="5" t="s">
        <v>31</v>
      </c>
      <c r="C13" s="6">
        <v>9485</v>
      </c>
      <c r="D13" s="7">
        <v>26058</v>
      </c>
      <c r="E13" s="2">
        <f t="shared" si="0"/>
        <v>247160130</v>
      </c>
      <c r="F13" s="2">
        <f t="shared" si="1"/>
        <v>89965225</v>
      </c>
      <c r="G13" s="2">
        <f t="shared" si="2"/>
        <v>679019364</v>
      </c>
      <c r="H13">
        <f t="shared" si="3"/>
        <v>4270689.580353329</v>
      </c>
      <c r="I13">
        <f t="shared" si="5"/>
        <v>23991.435319097578</v>
      </c>
      <c r="J13">
        <f t="shared" si="6"/>
        <v>220.52249999995678</v>
      </c>
      <c r="K13">
        <f t="shared" si="7"/>
        <v>7.930634280844355E-2</v>
      </c>
      <c r="L13">
        <f t="shared" si="8"/>
        <v>616460.52249999938</v>
      </c>
      <c r="M13" s="16">
        <f t="shared" si="9"/>
        <v>2066.564680902422</v>
      </c>
      <c r="N13">
        <f t="shared" si="10"/>
        <v>4270689.5803533215</v>
      </c>
      <c r="O13">
        <f t="shared" si="11"/>
        <v>2066.564680902422</v>
      </c>
      <c r="P13">
        <f t="shared" si="12"/>
        <v>5</v>
      </c>
      <c r="Q13">
        <f t="shared" si="13"/>
        <v>9</v>
      </c>
      <c r="R13">
        <f t="shared" si="14"/>
        <v>16</v>
      </c>
      <c r="S13">
        <f t="shared" si="4"/>
        <v>4270689.580353329</v>
      </c>
      <c r="T13">
        <f t="shared" si="15"/>
        <v>29429250.54259244</v>
      </c>
      <c r="U13">
        <f t="shared" si="16"/>
        <v>16</v>
      </c>
      <c r="V13">
        <f t="shared" si="17"/>
        <v>15.999999999998362</v>
      </c>
    </row>
    <row r="14" spans="1:22" ht="25.5">
      <c r="A14" s="4">
        <v>15</v>
      </c>
      <c r="B14" s="5" t="s">
        <v>32</v>
      </c>
      <c r="C14" s="6">
        <v>11051</v>
      </c>
      <c r="D14" s="7">
        <v>24353</v>
      </c>
      <c r="E14" s="2">
        <f t="shared" si="0"/>
        <v>269125003</v>
      </c>
      <c r="F14" s="2">
        <f t="shared" si="1"/>
        <v>122124601</v>
      </c>
      <c r="G14" s="2">
        <f t="shared" si="2"/>
        <v>593068609</v>
      </c>
      <c r="H14">
        <f t="shared" si="3"/>
        <v>14363080.351288859</v>
      </c>
      <c r="I14">
        <f t="shared" si="5"/>
        <v>28142.865479313066</v>
      </c>
      <c r="J14">
        <f t="shared" si="6"/>
        <v>2957884.0224999948</v>
      </c>
      <c r="K14">
        <f t="shared" si="7"/>
        <v>0.15562211962850844</v>
      </c>
      <c r="L14">
        <f t="shared" si="8"/>
        <v>609726.72250000061</v>
      </c>
      <c r="M14" s="16">
        <f t="shared" si="9"/>
        <v>-3789.8654793130663</v>
      </c>
      <c r="N14">
        <f t="shared" si="10"/>
        <v>14363080.351288872</v>
      </c>
      <c r="O14">
        <f t="shared" si="11"/>
        <v>3789.8654793130663</v>
      </c>
      <c r="P14">
        <f t="shared" si="12"/>
        <v>19</v>
      </c>
      <c r="Q14">
        <f t="shared" si="13"/>
        <v>15</v>
      </c>
      <c r="R14">
        <f t="shared" si="14"/>
        <v>16</v>
      </c>
      <c r="S14">
        <f t="shared" si="4"/>
        <v>14363080.351288859</v>
      </c>
      <c r="T14">
        <f t="shared" si="15"/>
        <v>34297774.221481606</v>
      </c>
      <c r="U14">
        <f t="shared" si="16"/>
        <v>2</v>
      </c>
      <c r="V14">
        <f t="shared" si="17"/>
        <v>1.9999999999983629</v>
      </c>
    </row>
    <row r="15" spans="1:22" ht="25.5">
      <c r="A15" s="4">
        <v>16</v>
      </c>
      <c r="B15" s="5" t="s">
        <v>33</v>
      </c>
      <c r="C15" s="6">
        <v>10194</v>
      </c>
      <c r="D15" s="7">
        <v>27226</v>
      </c>
      <c r="E15" s="2">
        <f t="shared" si="0"/>
        <v>277541844</v>
      </c>
      <c r="F15" s="2">
        <f t="shared" si="1"/>
        <v>103917636</v>
      </c>
      <c r="G15" s="2">
        <f t="shared" si="2"/>
        <v>741255076</v>
      </c>
      <c r="H15">
        <f t="shared" si="3"/>
        <v>1836084.3690355518</v>
      </c>
      <c r="I15">
        <f t="shared" si="5"/>
        <v>25870.978092783902</v>
      </c>
      <c r="J15">
        <f t="shared" si="6"/>
        <v>1329754.9225000034</v>
      </c>
      <c r="K15">
        <f t="shared" si="7"/>
        <v>4.9769408183945422E-2</v>
      </c>
      <c r="L15">
        <f t="shared" si="8"/>
        <v>5798.8224999999447</v>
      </c>
      <c r="M15" s="16">
        <f t="shared" si="9"/>
        <v>1355.021907216098</v>
      </c>
      <c r="N15">
        <f t="shared" si="10"/>
        <v>1836084.3690355469</v>
      </c>
      <c r="O15">
        <f t="shared" si="11"/>
        <v>1355.021907216098</v>
      </c>
      <c r="P15">
        <f t="shared" si="12"/>
        <v>10</v>
      </c>
      <c r="Q15">
        <f t="shared" si="13"/>
        <v>4</v>
      </c>
      <c r="R15">
        <f t="shared" si="14"/>
        <v>36</v>
      </c>
      <c r="S15">
        <f t="shared" si="4"/>
        <v>1836084.3690355518</v>
      </c>
      <c r="T15">
        <f t="shared" si="15"/>
        <v>26469866.220066894</v>
      </c>
      <c r="U15">
        <f t="shared" si="16"/>
        <v>14</v>
      </c>
      <c r="V15">
        <f t="shared" si="17"/>
        <v>13.999999999998362</v>
      </c>
    </row>
    <row r="16" spans="1:22" ht="25.5">
      <c r="A16" s="4">
        <v>17</v>
      </c>
      <c r="B16" s="5" t="s">
        <v>34</v>
      </c>
      <c r="C16" s="6">
        <v>10469</v>
      </c>
      <c r="D16" s="7">
        <v>27200</v>
      </c>
      <c r="E16" s="2">
        <f t="shared" si="0"/>
        <v>284756800</v>
      </c>
      <c r="F16" s="2">
        <f t="shared" si="1"/>
        <v>109599961</v>
      </c>
      <c r="G16" s="2">
        <f t="shared" si="2"/>
        <v>739840000</v>
      </c>
      <c r="H16">
        <f t="shared" si="3"/>
        <v>360003.84111457813</v>
      </c>
      <c r="I16">
        <f t="shared" si="5"/>
        <v>26599.996799079723</v>
      </c>
      <c r="J16">
        <f t="shared" si="6"/>
        <v>1270467.1225000033</v>
      </c>
      <c r="K16">
        <f t="shared" si="7"/>
        <v>2.2058941210304297E-2</v>
      </c>
      <c r="L16">
        <f t="shared" si="8"/>
        <v>39541.322500000148</v>
      </c>
      <c r="M16" s="16">
        <f t="shared" si="9"/>
        <v>600.00320092027687</v>
      </c>
      <c r="N16">
        <f t="shared" si="10"/>
        <v>360003.84111457609</v>
      </c>
      <c r="O16">
        <f t="shared" si="11"/>
        <v>600.00320092027687</v>
      </c>
      <c r="P16">
        <f t="shared" si="12"/>
        <v>13</v>
      </c>
      <c r="Q16">
        <f t="shared" si="13"/>
        <v>1</v>
      </c>
      <c r="R16">
        <f t="shared" si="14"/>
        <v>144</v>
      </c>
      <c r="S16">
        <f t="shared" si="4"/>
        <v>360003.84111457813</v>
      </c>
      <c r="T16">
        <f t="shared" si="15"/>
        <v>570053.24685661553</v>
      </c>
      <c r="U16">
        <f t="shared" si="16"/>
        <v>12</v>
      </c>
      <c r="V16">
        <f t="shared" si="17"/>
        <v>11.999999999998362</v>
      </c>
    </row>
    <row r="17" spans="1:22" ht="38.25">
      <c r="A17" s="4">
        <v>42</v>
      </c>
      <c r="B17" s="8" t="s">
        <v>35</v>
      </c>
      <c r="C17" s="6">
        <v>9651</v>
      </c>
      <c r="D17" s="7">
        <v>22702</v>
      </c>
      <c r="E17" s="2">
        <f t="shared" si="0"/>
        <v>219097002</v>
      </c>
      <c r="F17" s="2">
        <f t="shared" si="1"/>
        <v>93141801</v>
      </c>
      <c r="G17" s="2">
        <f t="shared" si="2"/>
        <v>515380804</v>
      </c>
      <c r="H17">
        <f t="shared" si="3"/>
        <v>2991161.6716476721</v>
      </c>
      <c r="I17">
        <f t="shared" si="5"/>
        <v>24431.497519988876</v>
      </c>
      <c r="J17">
        <f t="shared" si="6"/>
        <v>11362629.722499991</v>
      </c>
      <c r="K17">
        <f t="shared" si="7"/>
        <v>7.6182605937312825E-2</v>
      </c>
      <c r="L17">
        <f t="shared" si="8"/>
        <v>383346.72249999957</v>
      </c>
      <c r="M17" s="16">
        <f t="shared" si="9"/>
        <v>-1729.4975199888759</v>
      </c>
      <c r="N17">
        <f t="shared" si="10"/>
        <v>2991161.6716476786</v>
      </c>
      <c r="O17">
        <f t="shared" si="11"/>
        <v>1729.4975199888759</v>
      </c>
      <c r="P17">
        <f t="shared" si="12"/>
        <v>7</v>
      </c>
      <c r="Q17">
        <f t="shared" si="13"/>
        <v>5</v>
      </c>
      <c r="R17">
        <f t="shared" si="14"/>
        <v>4</v>
      </c>
      <c r="S17">
        <f t="shared" si="4"/>
        <v>2991161.6716476721</v>
      </c>
      <c r="T17">
        <f t="shared" si="15"/>
        <v>5426573.6087162625</v>
      </c>
      <c r="U17">
        <f t="shared" si="16"/>
        <v>10</v>
      </c>
      <c r="V17">
        <f t="shared" si="17"/>
        <v>9.9999999999983622</v>
      </c>
    </row>
    <row r="18" spans="1:22" ht="25.5">
      <c r="A18" s="4">
        <v>43</v>
      </c>
      <c r="B18" s="8" t="s">
        <v>36</v>
      </c>
      <c r="C18" s="6">
        <v>9844</v>
      </c>
      <c r="D18" s="7">
        <v>22484</v>
      </c>
      <c r="E18" s="2">
        <f t="shared" si="0"/>
        <v>221332496</v>
      </c>
      <c r="F18" s="2">
        <f t="shared" si="1"/>
        <v>96904336</v>
      </c>
      <c r="G18" s="2">
        <f t="shared" si="2"/>
        <v>505530256</v>
      </c>
      <c r="H18">
        <f t="shared" si="3"/>
        <v>6047350.3728461424</v>
      </c>
      <c r="I18">
        <f t="shared" si="5"/>
        <v>24943.136102952853</v>
      </c>
      <c r="J18">
        <f t="shared" si="6"/>
        <v>12879844.32249999</v>
      </c>
      <c r="K18">
        <f t="shared" si="7"/>
        <v>0.109372714061237</v>
      </c>
      <c r="L18">
        <f t="shared" si="8"/>
        <v>181603.82249999969</v>
      </c>
      <c r="M18" s="16">
        <f t="shared" si="9"/>
        <v>-2459.1361029528525</v>
      </c>
      <c r="N18">
        <f t="shared" si="10"/>
        <v>6047350.3728461517</v>
      </c>
      <c r="O18">
        <f t="shared" si="11"/>
        <v>2459.1361029528525</v>
      </c>
      <c r="P18">
        <f t="shared" si="12"/>
        <v>8</v>
      </c>
      <c r="Q18">
        <f t="shared" si="13"/>
        <v>10</v>
      </c>
      <c r="R18">
        <f t="shared" si="14"/>
        <v>4</v>
      </c>
      <c r="S18">
        <f t="shared" si="4"/>
        <v>6047350.3728461424</v>
      </c>
      <c r="T18">
        <f t="shared" si="15"/>
        <v>532372.46174967987</v>
      </c>
      <c r="U18">
        <f t="shared" si="16"/>
        <v>7</v>
      </c>
      <c r="V18">
        <f t="shared" si="17"/>
        <v>6.9999999999983631</v>
      </c>
    </row>
    <row r="19" spans="1:22" ht="25.5">
      <c r="A19" s="4">
        <v>44</v>
      </c>
      <c r="B19" s="8" t="s">
        <v>37</v>
      </c>
      <c r="C19" s="6">
        <v>9144</v>
      </c>
      <c r="D19" s="7">
        <v>22485</v>
      </c>
      <c r="E19" s="2">
        <f t="shared" si="0"/>
        <v>205602840</v>
      </c>
      <c r="F19" s="2">
        <f t="shared" si="1"/>
        <v>83612736</v>
      </c>
      <c r="G19" s="2">
        <f t="shared" si="2"/>
        <v>505575225</v>
      </c>
      <c r="H19">
        <f t="shared" si="3"/>
        <v>362948.56085754186</v>
      </c>
      <c r="I19">
        <f t="shared" si="5"/>
        <v>23087.452123290757</v>
      </c>
      <c r="J19">
        <f t="shared" si="6"/>
        <v>12872667.622499989</v>
      </c>
      <c r="K19">
        <f t="shared" si="7"/>
        <v>2.6793512265544019E-2</v>
      </c>
      <c r="L19">
        <f t="shared" si="8"/>
        <v>1268213.8224999991</v>
      </c>
      <c r="M19" s="16">
        <f t="shared" si="9"/>
        <v>-602.4521232907573</v>
      </c>
      <c r="N19">
        <f t="shared" si="10"/>
        <v>362948.5608575439</v>
      </c>
      <c r="O19">
        <f t="shared" si="11"/>
        <v>602.4521232907573</v>
      </c>
      <c r="P19">
        <f t="shared" si="12"/>
        <v>1</v>
      </c>
      <c r="Q19">
        <f t="shared" si="13"/>
        <v>2</v>
      </c>
      <c r="R19">
        <f t="shared" si="14"/>
        <v>1</v>
      </c>
      <c r="S19">
        <f t="shared" si="4"/>
        <v>362948.56085754186</v>
      </c>
      <c r="T19">
        <f t="shared" si="15"/>
        <v>3447275.4003338758</v>
      </c>
      <c r="U19">
        <f t="shared" si="16"/>
        <v>11</v>
      </c>
      <c r="V19">
        <f t="shared" si="17"/>
        <v>10.999999999998362</v>
      </c>
    </row>
    <row r="20" spans="1:22" ht="25.5">
      <c r="A20" s="4">
        <v>45</v>
      </c>
      <c r="B20" s="5" t="s">
        <v>38</v>
      </c>
      <c r="C20" s="6">
        <v>9187</v>
      </c>
      <c r="D20" s="7">
        <v>28468</v>
      </c>
      <c r="E20" s="2">
        <f t="shared" si="0"/>
        <v>261535516</v>
      </c>
      <c r="F20" s="2">
        <f t="shared" si="1"/>
        <v>84400969</v>
      </c>
      <c r="G20" s="2">
        <f t="shared" si="2"/>
        <v>810427024</v>
      </c>
      <c r="H20">
        <f t="shared" si="3"/>
        <v>27736610.635092359</v>
      </c>
      <c r="I20">
        <f t="shared" si="5"/>
        <v>23201.444139184285</v>
      </c>
      <c r="J20">
        <f t="shared" si="6"/>
        <v>5736743.5225000074</v>
      </c>
      <c r="K20">
        <f t="shared" si="7"/>
        <v>0.18499915205900364</v>
      </c>
      <c r="L20">
        <f t="shared" si="8"/>
        <v>1173213.9224999992</v>
      </c>
      <c r="M20" s="16">
        <f t="shared" si="9"/>
        <v>5266.5558608157153</v>
      </c>
      <c r="N20">
        <f t="shared" si="10"/>
        <v>27736610.63509234</v>
      </c>
      <c r="O20">
        <f t="shared" si="11"/>
        <v>5266.5558608157153</v>
      </c>
      <c r="P20">
        <f t="shared" si="12"/>
        <v>2</v>
      </c>
      <c r="Q20">
        <f t="shared" si="13"/>
        <v>16</v>
      </c>
      <c r="R20">
        <f t="shared" si="14"/>
        <v>196</v>
      </c>
      <c r="S20">
        <f t="shared" si="4"/>
        <v>27736610.635092359</v>
      </c>
      <c r="T20">
        <f t="shared" si="15"/>
        <v>34445254.717505522</v>
      </c>
      <c r="U20">
        <f t="shared" si="16"/>
        <v>17</v>
      </c>
      <c r="V20">
        <f t="shared" si="17"/>
        <v>16.999999999998362</v>
      </c>
    </row>
    <row r="21" spans="1:22" ht="25.5">
      <c r="A21" s="4">
        <v>46</v>
      </c>
      <c r="B21" s="5" t="s">
        <v>39</v>
      </c>
      <c r="C21" s="6">
        <v>9989</v>
      </c>
      <c r="D21" s="7">
        <v>19331</v>
      </c>
      <c r="E21" s="2">
        <f t="shared" si="0"/>
        <v>193097359</v>
      </c>
      <c r="F21" s="2">
        <f t="shared" si="1"/>
        <v>99780121</v>
      </c>
      <c r="G21" s="2">
        <f t="shared" si="2"/>
        <v>373687561</v>
      </c>
      <c r="H21">
        <f t="shared" si="3"/>
        <v>35958345.46973224</v>
      </c>
      <c r="I21">
        <f t="shared" si="5"/>
        <v>25327.527784454287</v>
      </c>
      <c r="J21">
        <f t="shared" si="6"/>
        <v>45452541.422499977</v>
      </c>
      <c r="K21">
        <f t="shared" si="7"/>
        <v>0.31020266848348699</v>
      </c>
      <c r="L21">
        <f t="shared" si="8"/>
        <v>79045.322499999791</v>
      </c>
      <c r="M21" s="16">
        <f t="shared" si="9"/>
        <v>-5996.527784454287</v>
      </c>
      <c r="N21">
        <f t="shared" si="10"/>
        <v>35958345.469732262</v>
      </c>
      <c r="O21">
        <f t="shared" si="11"/>
        <v>5996.527784454287</v>
      </c>
      <c r="P21">
        <f t="shared" si="12"/>
        <v>9</v>
      </c>
      <c r="Q21">
        <f t="shared" si="13"/>
        <v>18</v>
      </c>
      <c r="R21">
        <f t="shared" si="14"/>
        <v>81</v>
      </c>
      <c r="S21">
        <f t="shared" si="4"/>
        <v>35958345.46973224</v>
      </c>
      <c r="T21">
        <f t="shared" si="15"/>
        <v>126857053.2003486</v>
      </c>
      <c r="U21">
        <f t="shared" si="16"/>
        <v>1</v>
      </c>
      <c r="V21">
        <f t="shared" si="17"/>
        <v>0.99999999999836287</v>
      </c>
    </row>
    <row r="22" spans="1:22">
      <c r="A22" s="9"/>
      <c r="B22" s="9"/>
      <c r="C22" s="9"/>
      <c r="D22" s="9"/>
      <c r="E22" s="2"/>
      <c r="F22" s="2"/>
      <c r="G22" s="2"/>
    </row>
    <row r="23" spans="1:22">
      <c r="A23" s="9"/>
      <c r="B23" s="9"/>
      <c r="C23" s="9"/>
      <c r="D23" s="9"/>
      <c r="E23" s="2"/>
      <c r="F23" s="2"/>
      <c r="G23" s="2"/>
    </row>
    <row r="24" spans="1:22">
      <c r="A24" s="9"/>
      <c r="B24" s="9"/>
      <c r="C24" s="9"/>
      <c r="D24" s="9"/>
      <c r="E24" s="2"/>
      <c r="F24" s="2"/>
      <c r="G24" s="2"/>
    </row>
    <row r="25" spans="1:22">
      <c r="A25" s="9"/>
      <c r="B25" s="9"/>
      <c r="C25" s="9"/>
      <c r="D25" s="9"/>
      <c r="E25" s="2"/>
      <c r="F25" s="2"/>
      <c r="G25" s="2"/>
    </row>
    <row r="26" spans="1:22">
      <c r="A26" s="9"/>
      <c r="B26" s="9"/>
      <c r="C26" s="9"/>
      <c r="D26" s="9"/>
      <c r="E26" s="2"/>
      <c r="F26" s="2"/>
      <c r="G26" s="2"/>
    </row>
    <row r="27" spans="1:22">
      <c r="A27" s="10" t="s">
        <v>40</v>
      </c>
      <c r="B27" s="10"/>
      <c r="C27" s="11">
        <f>SUM(C2:C21)</f>
        <v>205403</v>
      </c>
      <c r="D27" s="11">
        <f>SUM(D2:D21)</f>
        <v>521457</v>
      </c>
      <c r="E27" s="10">
        <f>SUM(E2:E21)</f>
        <v>5405075828</v>
      </c>
      <c r="F27" s="10">
        <f>SUM(F2:F21)</f>
        <v>2128242611</v>
      </c>
      <c r="G27" s="10">
        <f>SUM(G2:G21)</f>
        <v>14002612999</v>
      </c>
      <c r="H27" s="10">
        <f>SUM(H2:H21)</f>
        <v>275163676.72657388</v>
      </c>
      <c r="I27" s="10">
        <f>SUM(I2:I21)</f>
        <v>521457</v>
      </c>
      <c r="J27" s="11">
        <f>SUM(J2:J21)</f>
        <v>406742856.54999989</v>
      </c>
      <c r="K27" s="10">
        <f>SUM(K2:K21)</f>
        <v>2.4063251827559391</v>
      </c>
      <c r="L27" s="11">
        <f>SUM(L2:L21)</f>
        <v>18722990.550000001</v>
      </c>
      <c r="M27" s="11">
        <f>SUM(M2:M21)</f>
        <v>3.2741809263825417E-11</v>
      </c>
      <c r="N27" s="11">
        <f>SUM(N2:N21)</f>
        <v>275163676.72657394</v>
      </c>
      <c r="O27" s="10">
        <f>SUM(O2:O21)</f>
        <v>63218.598572737072</v>
      </c>
      <c r="P27" s="10">
        <f t="shared" ref="C27:V27" si="18">SUM(P2:P21)</f>
        <v>210</v>
      </c>
      <c r="Q27" s="10">
        <f t="shared" si="18"/>
        <v>210</v>
      </c>
      <c r="R27" s="10">
        <f t="shared" si="18"/>
        <v>1208</v>
      </c>
      <c r="S27" s="10">
        <f t="shared" si="18"/>
        <v>275163676.72657388</v>
      </c>
      <c r="T27" s="10">
        <f t="shared" si="18"/>
        <v>615725222.68157518</v>
      </c>
      <c r="U27" s="10">
        <f t="shared" ref="U27:V27" si="19">SUM(U2:U21)</f>
        <v>210</v>
      </c>
      <c r="V27" s="10">
        <f t="shared" si="19"/>
        <v>209.99999999996717</v>
      </c>
    </row>
    <row r="28" spans="1:22">
      <c r="A28" s="10" t="s">
        <v>41</v>
      </c>
      <c r="B28" s="10"/>
      <c r="C28" s="11">
        <f>AVERAGE(C2:C21)</f>
        <v>10270.15</v>
      </c>
      <c r="D28" s="11">
        <f>AVERAGE(D2:D21)</f>
        <v>26072.85</v>
      </c>
      <c r="E28" s="10">
        <f>AVERAGE(E2:E21)</f>
        <v>270253791.39999998</v>
      </c>
      <c r="F28" s="10">
        <f>AVERAGE(F2:F21)</f>
        <v>106412130.55</v>
      </c>
      <c r="G28" s="10">
        <f>AVERAGE(G2:G21)</f>
        <v>700130649.95000005</v>
      </c>
      <c r="H28" s="10">
        <f>AVERAGE(H2:H21)</f>
        <v>13758183.836328695</v>
      </c>
      <c r="I28" s="10">
        <f>AVERAGE(I2:I21)</f>
        <v>26072.85</v>
      </c>
      <c r="J28" s="10">
        <f t="shared" ref="C28:U28" si="20">AVERAGE(J2:J21)</f>
        <v>20337142.827499993</v>
      </c>
      <c r="K28" s="10">
        <f>AVERAGE(K2:K21)</f>
        <v>0.12031625913779695</v>
      </c>
      <c r="L28" s="11">
        <f>AVERAGE(L2:L21)</f>
        <v>936149.52750000008</v>
      </c>
      <c r="M28" s="17">
        <f>AVERAGE(M2:M21)</f>
        <v>1.6370904631912709E-12</v>
      </c>
      <c r="N28" s="11">
        <f>AVERAGE(N2:N21)</f>
        <v>13758183.836328696</v>
      </c>
      <c r="O28" s="10">
        <f>AVERAGE(O2:O21)</f>
        <v>3160.9299286368537</v>
      </c>
      <c r="P28" s="10">
        <f>AVERAGE(P2:P21)</f>
        <v>10.5</v>
      </c>
      <c r="Q28" s="10">
        <f t="shared" si="20"/>
        <v>10.5</v>
      </c>
      <c r="R28" s="10">
        <f t="shared" si="20"/>
        <v>60.4</v>
      </c>
      <c r="S28" s="10">
        <f t="shared" si="20"/>
        <v>13758183.836328695</v>
      </c>
      <c r="T28" s="10">
        <f t="shared" si="20"/>
        <v>32406590.667451326</v>
      </c>
      <c r="U28" s="10">
        <f t="shared" ref="U28:V28" si="21">AVERAGE(U2:U21)</f>
        <v>10.5</v>
      </c>
      <c r="V28" s="10">
        <f t="shared" si="21"/>
        <v>10.499999999998359</v>
      </c>
    </row>
    <row r="30" spans="1:22">
      <c r="A30" t="s">
        <v>42</v>
      </c>
      <c r="B30" s="12">
        <f>D28-(B31*C28)</f>
        <v>-1153.0826053238234</v>
      </c>
      <c r="M30" s="15"/>
    </row>
    <row r="31" spans="1:22">
      <c r="A31" t="s">
        <v>43</v>
      </c>
      <c r="B31" s="12">
        <f>(E28-C28*D28)/(F28-C28^2)</f>
        <v>2.6509771138029943</v>
      </c>
    </row>
    <row r="32" spans="1:22">
      <c r="A32" s="10" t="s">
        <v>44</v>
      </c>
      <c r="B32" s="10"/>
      <c r="C32" s="10"/>
    </row>
    <row r="33" spans="1:4">
      <c r="A33" t="s">
        <v>45</v>
      </c>
      <c r="B33" s="12">
        <f>H27/(19-2)</f>
        <v>16186098.630974934</v>
      </c>
    </row>
    <row r="34" spans="1:4">
      <c r="A34" t="s">
        <v>46</v>
      </c>
      <c r="B34" s="12">
        <f>B31*SQRT((F28-C28^2)/(G28-D28^2))</f>
        <v>0.56876599122743798</v>
      </c>
      <c r="C34" t="s">
        <v>103</v>
      </c>
    </row>
    <row r="35" spans="1:4">
      <c r="A35" t="s">
        <v>47</v>
      </c>
      <c r="B35" s="12">
        <f>1-H27/J27</f>
        <v>0.32349475277693363</v>
      </c>
      <c r="C35" t="s">
        <v>102</v>
      </c>
    </row>
    <row r="36" spans="1:4">
      <c r="A36" t="s">
        <v>10</v>
      </c>
      <c r="B36" s="12">
        <f>K27/19*100</f>
        <v>12.664869382925994</v>
      </c>
      <c r="C36" t="s">
        <v>48</v>
      </c>
    </row>
    <row r="38" spans="1:4">
      <c r="A38" t="s">
        <v>49</v>
      </c>
      <c r="B38" s="12">
        <f>LN(B33)+2*1/19</f>
        <v>16.704926480511812</v>
      </c>
    </row>
    <row r="39" spans="1:4">
      <c r="A39" t="s">
        <v>50</v>
      </c>
      <c r="B39" s="12">
        <f>LN(B33)+1*LN(19)/19</f>
        <v>16.754633795204782</v>
      </c>
    </row>
    <row r="40" spans="1:4">
      <c r="A40" t="s">
        <v>51</v>
      </c>
      <c r="B40" s="12">
        <f>LN(B33)+2*1+LN(LN(19))/19</f>
        <v>18.65650112785508</v>
      </c>
    </row>
    <row r="42" spans="1:4">
      <c r="A42" s="10" t="s">
        <v>52</v>
      </c>
      <c r="B42" s="10"/>
      <c r="C42" s="10"/>
      <c r="D42" s="10"/>
    </row>
    <row r="43" spans="1:4">
      <c r="A43" t="s">
        <v>53</v>
      </c>
    </row>
    <row r="44" spans="1:4">
      <c r="A44" t="s">
        <v>54</v>
      </c>
    </row>
    <row r="46" spans="1:4">
      <c r="A46" t="s">
        <v>55</v>
      </c>
      <c r="B46" s="12">
        <f>B34^2/(1-B34^2)*(19-2)</f>
        <v>8.1291472901088131</v>
      </c>
      <c r="C46" t="s">
        <v>56</v>
      </c>
    </row>
    <row r="47" spans="1:4">
      <c r="A47" t="s">
        <v>57</v>
      </c>
      <c r="B47" s="12">
        <f>_xlfn.F.INV.RT(0.05,1,17)</f>
        <v>4.4513217724681331</v>
      </c>
    </row>
    <row r="49" spans="1:8">
      <c r="A49" t="s">
        <v>58</v>
      </c>
      <c r="E49" t="s">
        <v>59</v>
      </c>
      <c r="H49" t="s">
        <v>60</v>
      </c>
    </row>
    <row r="50" spans="1:8">
      <c r="A50" t="s">
        <v>61</v>
      </c>
      <c r="B50" s="12">
        <f>SQRT(H27/(19-2)/L27)</f>
        <v>0.92978702668921387</v>
      </c>
    </row>
    <row r="51" spans="1:8">
      <c r="A51" t="s">
        <v>62</v>
      </c>
      <c r="B51" s="12">
        <f>B31/B50</f>
        <v>2.851165952747905</v>
      </c>
      <c r="E51" t="s">
        <v>63</v>
      </c>
    </row>
    <row r="53" spans="1:8">
      <c r="A53" t="s">
        <v>64</v>
      </c>
      <c r="B53" s="12">
        <f>SQRT(B33*F27/(19*L27))</f>
        <v>9840.5018840729026</v>
      </c>
    </row>
    <row r="54" spans="1:8">
      <c r="A54" t="s">
        <v>65</v>
      </c>
      <c r="B54" s="12">
        <f>B30/B53</f>
        <v>-0.11717721503515144</v>
      </c>
      <c r="C54" t="s">
        <v>66</v>
      </c>
    </row>
    <row r="56" spans="1:8">
      <c r="A56" t="s">
        <v>67</v>
      </c>
      <c r="B56" s="12">
        <f>SQRT((1-B34^2)/(19-2))</f>
        <v>0.19948540374483395</v>
      </c>
    </row>
    <row r="57" spans="1:8">
      <c r="A57" t="s">
        <v>68</v>
      </c>
      <c r="B57" s="12">
        <f>SQRT(B34^2*(19-2)/(1-B34^2))</f>
        <v>2.8511659527478952</v>
      </c>
      <c r="C57" t="s">
        <v>69</v>
      </c>
    </row>
    <row r="59" spans="1:8">
      <c r="A59" t="s">
        <v>70</v>
      </c>
      <c r="B59" s="12">
        <f>_xlfn.T.INV.2T(0.05,17)</f>
        <v>2.109815577833317</v>
      </c>
    </row>
    <row r="61" spans="1:8">
      <c r="A61" s="10" t="s">
        <v>71</v>
      </c>
      <c r="B61" s="10"/>
      <c r="C61" s="10"/>
      <c r="D61" s="10"/>
      <c r="E61" s="10"/>
      <c r="F61" s="10"/>
    </row>
    <row r="62" spans="1:8">
      <c r="A62" t="s">
        <v>72</v>
      </c>
    </row>
    <row r="63" spans="1:8">
      <c r="A63" t="s">
        <v>73</v>
      </c>
    </row>
    <row r="64" spans="1:8">
      <c r="A64" t="s">
        <v>74</v>
      </c>
    </row>
    <row r="65" spans="1:3">
      <c r="A65" t="s">
        <v>75</v>
      </c>
      <c r="B65">
        <f>M27/19</f>
        <v>1.723253119148706E-12</v>
      </c>
    </row>
    <row r="66" spans="1:3">
      <c r="A66" t="s">
        <v>76</v>
      </c>
      <c r="B66">
        <f>SQRT(N27/18)</f>
        <v>3909.8428266688811</v>
      </c>
    </row>
    <row r="67" spans="1:3">
      <c r="A67" t="s">
        <v>77</v>
      </c>
      <c r="B67">
        <f>B65/(B66/SQRT(19))</f>
        <v>1.9211734418772335E-15</v>
      </c>
      <c r="C67" t="s">
        <v>78</v>
      </c>
    </row>
    <row r="68" spans="1:3">
      <c r="A68" t="s">
        <v>79</v>
      </c>
      <c r="B68">
        <f>_xlfn.T.INV.2T(0.05,19-2)</f>
        <v>2.109815577833317</v>
      </c>
    </row>
    <row r="70" spans="1:3">
      <c r="A70" t="s">
        <v>80</v>
      </c>
    </row>
    <row r="71" spans="1:3">
      <c r="A71" t="s">
        <v>81</v>
      </c>
    </row>
    <row r="72" spans="1:3">
      <c r="A72" t="s">
        <v>82</v>
      </c>
    </row>
    <row r="74" spans="1:3">
      <c r="A74" t="s">
        <v>83</v>
      </c>
      <c r="B74" s="12">
        <f>1-6*R27/(19*(361-1))</f>
        <v>-5.9649122807017507E-2</v>
      </c>
    </row>
    <row r="75" spans="1:3">
      <c r="A75" t="s">
        <v>77</v>
      </c>
      <c r="B75" s="12">
        <f>B74*SQRT(19-2)/SQRT(1-B74^2)</f>
        <v>-0.24637833363662254</v>
      </c>
      <c r="C75" t="s">
        <v>84</v>
      </c>
    </row>
    <row r="76" spans="1:3">
      <c r="A76" t="s">
        <v>79</v>
      </c>
      <c r="B76" s="12">
        <f>_xlfn.T.INV.2T(0.05,19-2)</f>
        <v>2.109815577833317</v>
      </c>
    </row>
    <row r="78" spans="1:3">
      <c r="A78" t="s">
        <v>85</v>
      </c>
    </row>
    <row r="79" spans="1:3">
      <c r="A79" t="s">
        <v>86</v>
      </c>
    </row>
    <row r="80" spans="1:3">
      <c r="A80" t="s">
        <v>87</v>
      </c>
    </row>
    <row r="82" spans="1:3">
      <c r="A82" t="s">
        <v>88</v>
      </c>
      <c r="B82">
        <f>T27/S27</f>
        <v>2.2376689758125754</v>
      </c>
    </row>
    <row r="83" spans="1:3">
      <c r="A83" t="s">
        <v>89</v>
      </c>
      <c r="B83">
        <v>1.18</v>
      </c>
      <c r="C83" t="s">
        <v>92</v>
      </c>
    </row>
    <row r="84" spans="1:3">
      <c r="A84" t="s">
        <v>90</v>
      </c>
      <c r="B84">
        <v>1.4</v>
      </c>
      <c r="C84" t="s">
        <v>91</v>
      </c>
    </row>
    <row r="86" spans="1:3">
      <c r="A86" t="s">
        <v>95</v>
      </c>
    </row>
    <row r="87" spans="1:3">
      <c r="A87" t="s">
        <v>96</v>
      </c>
    </row>
    <row r="88" spans="1:3">
      <c r="A88" t="s">
        <v>97</v>
      </c>
    </row>
    <row r="90" spans="1:3">
      <c r="A90" t="s">
        <v>99</v>
      </c>
      <c r="B90">
        <f>(V27^3/19)/SQRT((V27^2/18)^3)</f>
        <v>4.0193438088498485</v>
      </c>
    </row>
    <row r="91" spans="1:3" ht="15.75" customHeight="1">
      <c r="A91" s="14" t="s">
        <v>100</v>
      </c>
      <c r="B91">
        <f>(V27^4/19)/SQRT((V27^2/18)^4)</f>
        <v>17.052631578947366</v>
      </c>
    </row>
    <row r="92" spans="1:3">
      <c r="A92" t="s">
        <v>98</v>
      </c>
      <c r="B92">
        <f>17*((B90^2/6)-((B91-3)^2/24))</f>
        <v>-94.106301939058142</v>
      </c>
    </row>
    <row r="94" spans="1:3">
      <c r="A94" t="s">
        <v>105</v>
      </c>
      <c r="B94">
        <f>_xlfn.CHISQ.INV(0.05,18)</f>
        <v>9.3904550806889837</v>
      </c>
    </row>
    <row r="95" spans="1:3">
      <c r="A95" t="s">
        <v>106</v>
      </c>
    </row>
    <row r="97" spans="1:4">
      <c r="A97" s="18" t="s">
        <v>93</v>
      </c>
      <c r="B97" s="18"/>
      <c r="C97" s="18"/>
      <c r="D97" s="18"/>
    </row>
    <row r="98" spans="1:4" ht="15.75" customHeight="1">
      <c r="A98" s="14" t="s">
        <v>94</v>
      </c>
    </row>
    <row r="110" spans="1:4" ht="17.25" customHeight="1">
      <c r="A110" s="13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&amp;CСтраница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105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Руслан Ахметов</dc:creator>
  <cp:lastModifiedBy>Руслан Ахметов</cp:lastModifiedBy>
  <cp:revision>7</cp:revision>
  <dcterms:created xsi:type="dcterms:W3CDTF">2023-03-19T11:26:26Z</dcterms:created>
  <dcterms:modified xsi:type="dcterms:W3CDTF">2023-10-02T23:54:52Z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